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System Required\Desktop\202s\"/>
    </mc:Choice>
  </mc:AlternateContent>
  <xr:revisionPtr revIDLastSave="0" documentId="13_ncr:1_{A758BF5E-6398-42D1-BAB6-9C8CBF9902EF}" xr6:coauthVersionLast="47" xr6:coauthVersionMax="47" xr10:uidLastSave="{00000000-0000-0000-0000-000000000000}"/>
  <workbookProtection workbookAlgorithmName="SHA-512" workbookHashValue="PhQZ7qGoyX+GMIijLuqgwaX1RcT7PEvr6v6MRK0WKNejbAOpYOr3mmyvA5xW8f7vQ6W8gaeu5hyWmK25Uft91g==" workbookSaltValue="H78FFG/dVmYcUWY9EpLQRw==" workbookSpinCount="100000" lockStructure="1"/>
  <bookViews>
    <workbookView xWindow="28680" yWindow="-120" windowWidth="29040" windowHeight="15720" tabRatio="764" firstSheet="1" activeTab="1" xr2:uid="{B97FA7CA-EFFA-481D-908E-C20D2EA5139F}"/>
  </bookViews>
  <sheets>
    <sheet name="MAPPING" sheetId="24" state="hidden" r:id="rId1"/>
    <sheet name="202 Instructions" sheetId="18" r:id="rId2"/>
    <sheet name="GENERAL" sheetId="1" r:id="rId3"/>
    <sheet name="VISUALS (Examples)" sheetId="21" r:id="rId4"/>
    <sheet name="BUILDING" sheetId="23" r:id="rId5"/>
    <sheet name="SUMMARY" sheetId="8" r:id="rId6"/>
    <sheet name="DEV TEAM" sheetId="2" r:id="rId7"/>
    <sheet name="FIN CAP" sheetId="16" r:id="rId8"/>
    <sheet name="SOURCES" sheetId="6" r:id="rId9"/>
    <sheet name="USES" sheetId="5" r:id="rId10"/>
    <sheet name="CURR FIN &amp; ACQUISITION" sheetId="10" r:id="rId11"/>
    <sheet name="DRAW SCHEDULE" sheetId="26" r:id="rId12"/>
    <sheet name="TAX CREDIT" sheetId="7" r:id="rId13"/>
    <sheet name="INCOME" sheetId="3" r:id="rId14"/>
    <sheet name="EXPENSES" sheetId="4" r:id="rId15"/>
    <sheet name="PRO FORMA" sheetId="9" r:id="rId16"/>
    <sheet name="INCOME TARGETING" sheetId="14" r:id="rId17"/>
    <sheet name="LEV &amp; COST EFFECTIVENESS" sheetId="20" r:id="rId18"/>
    <sheet name="SELF-SCORE" sheetId="19" r:id="rId19"/>
    <sheet name="SD_Dropdowns" sheetId="25" state="veryHidden" r:id="rId20"/>
    <sheet name="APPLICANT NOTES (1)" sheetId="27" r:id="rId21"/>
    <sheet name="APPLICANT NOTES (2)" sheetId="32" r:id="rId22"/>
    <sheet name="APPLICANT NOTES (3)" sheetId="33" r:id="rId23"/>
    <sheet name="FINAL BUDGET" sheetId="29" r:id="rId24"/>
  </sheets>
  <definedNames>
    <definedName name="_xlnm._FilterDatabase" localSheetId="0" hidden="1">MAPPING!$H$950:$H$1032</definedName>
    <definedName name="DEV_ChronicPastDue">'DEV TEAM'!$J$292</definedName>
    <definedName name="DEV_ChronicPastDueExplain">'DEV TEAM'!$C$293</definedName>
    <definedName name="DEV_City1">'DEV TEAM'!$E$10</definedName>
    <definedName name="DEV_City10">'DEV TEAM'!$E$109</definedName>
    <definedName name="DEV_City11">'DEV TEAM'!$E$120</definedName>
    <definedName name="DEV_City12">'DEV TEAM'!$E$131</definedName>
    <definedName name="DEV_City13">'DEV TEAM'!$E$142</definedName>
    <definedName name="DEV_City14">'DEV TEAM'!$E$153</definedName>
    <definedName name="DEV_City15">'DEV TEAM'!$E$164</definedName>
    <definedName name="DEV_City16">'DEV TEAM'!$E$175</definedName>
    <definedName name="DEV_City17">'DEV TEAM'!$E$186</definedName>
    <definedName name="DEV_City18">'DEV TEAM'!$E$197</definedName>
    <definedName name="DEV_City19">'DEV TEAM'!$E$208</definedName>
    <definedName name="DEV_City2">'DEV TEAM'!$E$21</definedName>
    <definedName name="DEV_City20">'DEV TEAM'!$E$219</definedName>
    <definedName name="DEV_City3">'DEV TEAM'!$E$32</definedName>
    <definedName name="DEV_City4">'DEV TEAM'!$E$43</definedName>
    <definedName name="DEV_City5">'DEV TEAM'!$E$54</definedName>
    <definedName name="DEV_City6">'DEV TEAM'!$E$65</definedName>
    <definedName name="DEV_City7">'DEV TEAM'!$E$76</definedName>
    <definedName name="DEV_City8">'DEV TEAM'!$E$87</definedName>
    <definedName name="DEV_City9">'DEV TEAM'!$E$98</definedName>
    <definedName name="DEV_CompanyName1">'DEV TEAM'!$E$8</definedName>
    <definedName name="DEV_CompanyName10">'DEV TEAM'!$E$107</definedName>
    <definedName name="DEV_CompanyName11">'DEV TEAM'!$E$118</definedName>
    <definedName name="DEV_CompanyName12">'DEV TEAM'!$E$129</definedName>
    <definedName name="DEV_CompanyName13">'DEV TEAM'!$E$140</definedName>
    <definedName name="DEV_CompanyName14">'DEV TEAM'!$E$151</definedName>
    <definedName name="DEV_CompanyName15">'DEV TEAM'!$E$162</definedName>
    <definedName name="DEV_CompanyName16">'DEV TEAM'!$E$173</definedName>
    <definedName name="DEV_CompanyName17">'DEV TEAM'!$E$184</definedName>
    <definedName name="DEV_CompanyName18">'DEV TEAM'!$E$195</definedName>
    <definedName name="DEV_CompanyName19">'DEV TEAM'!$E$206</definedName>
    <definedName name="DEV_CompanyName2">'DEV TEAM'!$E$19</definedName>
    <definedName name="DEV_CompanyName20">'DEV TEAM'!$E$217</definedName>
    <definedName name="DEV_CompanyName3">'DEV TEAM'!$E$30</definedName>
    <definedName name="DEV_CompanyName4">'DEV TEAM'!$E$41</definedName>
    <definedName name="DEV_CompanyName5">'DEV TEAM'!$E$52</definedName>
    <definedName name="DEV_CompanyName6">'DEV TEAM'!$E$63</definedName>
    <definedName name="DEV_CompanyName7">'DEV TEAM'!$E$74</definedName>
    <definedName name="DEV_CompanyName8">'DEV TEAM'!$E$85</definedName>
    <definedName name="DEV_CompanyName9">'DEV TEAM'!$E$96</definedName>
    <definedName name="DEV_ContactName1">'DEV TEAM'!$E$11</definedName>
    <definedName name="DEV_ContactName10">'DEV TEAM'!$E$110</definedName>
    <definedName name="DEV_ContactName11">'DEV TEAM'!$E$121</definedName>
    <definedName name="DEV_ContactName12">'DEV TEAM'!$E$132</definedName>
    <definedName name="DEV_ContactName13">'DEV TEAM'!$E$143</definedName>
    <definedName name="DEV_ContactName14">'DEV TEAM'!$E$154</definedName>
    <definedName name="DEV_ContactName15">'DEV TEAM'!$E$165</definedName>
    <definedName name="DEV_ContactName16">'DEV TEAM'!$E$176</definedName>
    <definedName name="DEV_ContactName17">'DEV TEAM'!$E$187</definedName>
    <definedName name="DEV_ContactName18">'DEV TEAM'!$E$198</definedName>
    <definedName name="DEV_ContactName19">'DEV TEAM'!$E$209</definedName>
    <definedName name="DEV_ContactName2">'DEV TEAM'!$E$22</definedName>
    <definedName name="DEV_ContactName20">'DEV TEAM'!$E$220</definedName>
    <definedName name="DEV_ContactName3">'DEV TEAM'!$E$33</definedName>
    <definedName name="DEV_ContactName4">'DEV TEAM'!$E$44</definedName>
    <definedName name="DEV_ContactName5">'DEV TEAM'!$E$55</definedName>
    <definedName name="DEV_ContactName6">'DEV TEAM'!$E$66</definedName>
    <definedName name="DEV_ContactName7">'DEV TEAM'!$E$77</definedName>
    <definedName name="DEV_ContactName8">'DEV TEAM'!$E$88</definedName>
    <definedName name="DEV_ContactName9">'DEV TEAM'!$E$99</definedName>
    <definedName name="DEV_DBDunsNumber1">'DEV TEAM'!$E$13</definedName>
    <definedName name="DEV_DBDunsNumber10">'DEV TEAM'!$E$112</definedName>
    <definedName name="DEV_DBDunsNumber11">'DEV TEAM'!$E$123</definedName>
    <definedName name="DEV_DBDunsNumber12">'DEV TEAM'!$E$134</definedName>
    <definedName name="DEV_DBDunsNumber13">'DEV TEAM'!$E$145</definedName>
    <definedName name="DEV_DBDunsNumber14">'DEV TEAM'!$E$156</definedName>
    <definedName name="DEV_DBDunsNumber15">'DEV TEAM'!$E$167</definedName>
    <definedName name="DEV_DBDunsNumber16">'DEV TEAM'!$E$178</definedName>
    <definedName name="DEV_DBDunsNumber17">'DEV TEAM'!$E$189</definedName>
    <definedName name="DEV_DBDunsNumber18">'DEV TEAM'!$E$200</definedName>
    <definedName name="DEV_DBDunsNumber19">'DEV TEAM'!$E$211</definedName>
    <definedName name="DEV_DBDunsNumber2">'DEV TEAM'!$E$24</definedName>
    <definedName name="DEV_DBDunsNumber20">'DEV TEAM'!$E$222</definedName>
    <definedName name="DEV_DBDunsNumber3">'DEV TEAM'!$E$35</definedName>
    <definedName name="DEV_DBDunsNumber4">'DEV TEAM'!$E$46</definedName>
    <definedName name="DEV_DBDunsNumber5">'DEV TEAM'!$E$57</definedName>
    <definedName name="DEV_DBDunsNumber6">'DEV TEAM'!$E$68</definedName>
    <definedName name="DEV_DBDunsNumber7">'DEV TEAM'!$E$79</definedName>
    <definedName name="DEV_DBDunsNumber8">'DEV TEAM'!$E$90</definedName>
    <definedName name="DEV_DBDunsNumber9">'DEV TEAM'!$E$101</definedName>
    <definedName name="DEV_DefaultLoan">'DEV TEAM'!$J$277</definedName>
    <definedName name="DEV_DefaultLoanExplain">'DEV TEAM'!$C$278</definedName>
    <definedName name="DEV_DevelopmentTeamRole10">'DEV TEAM'!$E$106</definedName>
    <definedName name="DEV_DevelopmentTeamRole11">'DEV TEAM'!$E$117</definedName>
    <definedName name="DEV_DevelopmentTeamRole12">'DEV TEAM'!$E$128</definedName>
    <definedName name="DEV_DevelopmentTeamRole13">'DEV TEAM'!$E$139</definedName>
    <definedName name="DEV_DevelopmentTeamRole14">'DEV TEAM'!$E$150</definedName>
    <definedName name="DEV_DevelopmentTeamRole15">'DEV TEAM'!$E$161</definedName>
    <definedName name="DEV_DevelopmentTeamRole16">'DEV TEAM'!$E$172</definedName>
    <definedName name="DEV_DevelopmentTeamRole17">'DEV TEAM'!$E$183</definedName>
    <definedName name="DEV_DevelopmentTeamRole18">'DEV TEAM'!$E$194</definedName>
    <definedName name="DEV_DevelopmentTeamRole19">'DEV TEAM'!$E$205</definedName>
    <definedName name="DEV_DevelopmentTeamRole1Developer">'DEV TEAM'!$E$7</definedName>
    <definedName name="DEV_DevelopmentTeamRole20">'DEV TEAM'!$E$216</definedName>
    <definedName name="DEV_DevelopmentTeamRole2Guarantor">'DEV TEAM'!$E$18</definedName>
    <definedName name="DEV_DevelopmentTeamRole3">'DEV TEAM'!$E$29</definedName>
    <definedName name="DEV_DevelopmentTeamRole4">'DEV TEAM'!$E$40</definedName>
    <definedName name="DEV_DevelopmentTeamRole5">'DEV TEAM'!$E$51</definedName>
    <definedName name="DEV_DevelopmentTeamRole6">'DEV TEAM'!$E$62</definedName>
    <definedName name="DEV_DevelopmentTeamRole7">'DEV TEAM'!$E$73</definedName>
    <definedName name="DEV_DevelopmentTeamRole8">'DEV TEAM'!$E$84</definedName>
    <definedName name="DEV_DevelopmentTeamRole9">'DEV TEAM'!$E$95</definedName>
    <definedName name="DEV_DirectInterest">'DEV TEAM'!$J$272</definedName>
    <definedName name="DEV_DirectInterestExplain">'DEV TEAM'!$C$273</definedName>
    <definedName name="DEV_Email1">'DEV TEAM'!$I$12</definedName>
    <definedName name="DEV_Email10">'DEV TEAM'!$I$111</definedName>
    <definedName name="DEV_Email11">'DEV TEAM'!$I$122</definedName>
    <definedName name="DEV_Email12">'DEV TEAM'!$I$133</definedName>
    <definedName name="DEV_Email13">'DEV TEAM'!$I$144</definedName>
    <definedName name="DEV_Email14">'DEV TEAM'!$I$155</definedName>
    <definedName name="DEV_Email15">'DEV TEAM'!$I$166</definedName>
    <definedName name="DEV_Email16">'DEV TEAM'!$I$177</definedName>
    <definedName name="DEV_Email17">'DEV TEAM'!$I$188</definedName>
    <definedName name="DEV_Email18">'DEV TEAM'!$I$199</definedName>
    <definedName name="DEV_Email19">'DEV TEAM'!$I$210</definedName>
    <definedName name="DEV_Email2">'DEV TEAM'!$I$23</definedName>
    <definedName name="DEV_Email20">'DEV TEAM'!$I$221</definedName>
    <definedName name="DEV_Email3">'DEV TEAM'!$I$34</definedName>
    <definedName name="DEV_Email4">'DEV TEAM'!$I$45</definedName>
    <definedName name="DEV_Email5">'DEV TEAM'!$I$56</definedName>
    <definedName name="DEV_Email6">'DEV TEAM'!$I$67</definedName>
    <definedName name="DEV_Email7">'DEV TEAM'!$I$78</definedName>
    <definedName name="DEV_Email8">'DEV TEAM'!$I$89</definedName>
    <definedName name="DEV_Email9">'DEV TEAM'!$I$100</definedName>
    <definedName name="DEV_FailedDocProvide">'DEV TEAM'!$J$282</definedName>
    <definedName name="DEV_FailedDocProvideExplain">'DEV TEAM'!$C$283</definedName>
    <definedName name="DEV_LenderCity1">'DEV TEAM'!$E$230</definedName>
    <definedName name="DEV_LenderCity2">'DEV TEAM'!$E$237</definedName>
    <definedName name="DEV_LenderCity3">'DEV TEAM'!$E$244</definedName>
    <definedName name="DEV_LenderCity4">'DEV TEAM'!$E$251</definedName>
    <definedName name="DEV_LenderCity5">'DEV TEAM'!$E$258</definedName>
    <definedName name="DEV_LenderCity6">'DEV TEAM'!$E$265</definedName>
    <definedName name="DEV_LenderContact1">'DEV TEAM'!$E$231</definedName>
    <definedName name="DEV_LenderContact2">'DEV TEAM'!$E$238</definedName>
    <definedName name="DEV_LenderContact3">'DEV TEAM'!$E$245</definedName>
    <definedName name="DEV_LenderContact4">'DEV TEAM'!$E$252</definedName>
    <definedName name="DEV_LenderContact5">'DEV TEAM'!$E$259</definedName>
    <definedName name="DEV_LenderContact6">'DEV TEAM'!$E$266</definedName>
    <definedName name="DEV_LenderDBDunsNumber1">'DEV TEAM'!$E$233</definedName>
    <definedName name="DEV_LenderDBDunsNumber2">'DEV TEAM'!$E$240</definedName>
    <definedName name="DEV_LenderDBDunsNumber3">'DEV TEAM'!$E$247</definedName>
    <definedName name="DEV_LenderDBDunsNumber4">'DEV TEAM'!$E$254</definedName>
    <definedName name="DEV_LenderDBDunsNumber5">'DEV TEAM'!$E$261</definedName>
    <definedName name="DEV_LenderDBDunsNumber6">'DEV TEAM'!$E$268</definedName>
    <definedName name="DEV_LenderEmail1">'DEV TEAM'!$I$232</definedName>
    <definedName name="DEV_LenderEmail2">'DEV TEAM'!$I$239</definedName>
    <definedName name="DEV_LenderEmail3">'DEV TEAM'!$I$246</definedName>
    <definedName name="DEV_LenderEmail4">'DEV TEAM'!$I$253</definedName>
    <definedName name="DEV_LenderEmail5">'DEV TEAM'!$I$260</definedName>
    <definedName name="DEV_LenderEmail6">'DEV TEAM'!$I$267</definedName>
    <definedName name="DEV_LenderFederalHistoricEquityProvider">'DEV TEAM'!$E$256</definedName>
    <definedName name="DEV_LenderLIHTCEquityProvider">'DEV TEAM'!$E$249</definedName>
    <definedName name="DEV_LenderPhone1">'DEV TEAM'!$I$231</definedName>
    <definedName name="DEV_LenderPhone2">'DEV TEAM'!$I$238</definedName>
    <definedName name="DEV_LenderPhone3">'DEV TEAM'!$I$245</definedName>
    <definedName name="DEV_LenderPhone4">'DEV TEAM'!$I$252</definedName>
    <definedName name="DEV_LenderPhone5">'DEV TEAM'!$I$259</definedName>
    <definedName name="DEV_LenderPhone6">'DEV TEAM'!$I$266</definedName>
    <definedName name="DEV_LenderPrivatePublicLender1">'DEV TEAM'!$E$228</definedName>
    <definedName name="DEV_LenderPrivatePublicLender2">'DEV TEAM'!$E$235</definedName>
    <definedName name="DEV_LenderPrivatePublicLender3">'DEV TEAM'!$E$242</definedName>
    <definedName name="DEV_LenderState1">'DEV TEAM'!$G$230</definedName>
    <definedName name="DEV_LenderState2">'DEV TEAM'!$G$237</definedName>
    <definedName name="DEV_LenderState3">'DEV TEAM'!$G$244</definedName>
    <definedName name="DEV_LenderState4">'DEV TEAM'!$G$251</definedName>
    <definedName name="DEV_LenderState5">'DEV TEAM'!$G$258</definedName>
    <definedName name="DEV_LenderState6">'DEV TEAM'!$G$265</definedName>
    <definedName name="DEV_LenderStateHistoricEquityProvider">'DEV TEAM'!$E$263</definedName>
    <definedName name="DEV_LenderStreetAddress1">'DEV TEAM'!$E$229</definedName>
    <definedName name="DEV_LenderStreetAddress2">'DEV TEAM'!$E$236</definedName>
    <definedName name="DEV_LenderStreetAddress3">'DEV TEAM'!$E$243</definedName>
    <definedName name="DEV_LenderStreetAddress4">'DEV TEAM'!$E$250</definedName>
    <definedName name="DEV_LenderStreetAddress5">'DEV TEAM'!$E$257</definedName>
    <definedName name="DEV_LenderStreetAddress6">'DEV TEAM'!$E$264</definedName>
    <definedName name="DEV_LenderTitle1">'DEV TEAM'!$E$232</definedName>
    <definedName name="DEV_LenderTitle2">'DEV TEAM'!$E$239</definedName>
    <definedName name="DEV_LenderTitle3">'DEV TEAM'!$E$246</definedName>
    <definedName name="DEV_LenderTitle4">'DEV TEAM'!$E$253</definedName>
    <definedName name="DEV_LenderTitle5">'DEV TEAM'!$E$260</definedName>
    <definedName name="DEV_LenderTitle6">'DEV TEAM'!$E$267</definedName>
    <definedName name="DEV_LenderZipCode1">'DEV TEAM'!$I$230</definedName>
    <definedName name="DEV_LenderZipCode2">'DEV TEAM'!$I$237</definedName>
    <definedName name="DEV_LenderZipCode3">'DEV TEAM'!$I$244</definedName>
    <definedName name="DEV_LenderZipCode4">'DEV TEAM'!$I$251</definedName>
    <definedName name="DEV_LenderZipCode5">'DEV TEAM'!$I$258</definedName>
    <definedName name="DEV_LenderZipCode6">'DEV TEAM'!$I$265</definedName>
    <definedName name="DEV_LimitedDenial">'DEV TEAM'!$J$287</definedName>
    <definedName name="DEV_LimitedDenialExplain">'DEV TEAM'!$C$288</definedName>
    <definedName name="DEV_MBEDBECertificationNumber1">'DEV TEAM'!$E$16</definedName>
    <definedName name="DEV_MBEDBECertificationNumber10">'DEV TEAM'!$E$115</definedName>
    <definedName name="DEV_MBEDBECertificationNumber11">'DEV TEAM'!$E$126</definedName>
    <definedName name="DEV_MBEDBECertificationNumber12">'DEV TEAM'!$E$137</definedName>
    <definedName name="DEV_MBEDBECertificationNumber13">'DEV TEAM'!$E$148</definedName>
    <definedName name="DEV_MBEDBECertificationNumber14">'DEV TEAM'!$E$159</definedName>
    <definedName name="DEV_MBEDBECertificationNumber15">'DEV TEAM'!$E$170</definedName>
    <definedName name="DEV_MBEDBECertificationNumber16">'DEV TEAM'!$E$181</definedName>
    <definedName name="DEV_MBEDBECertificationNumber17">'DEV TEAM'!$E$192</definedName>
    <definedName name="DEV_MBEDBECertificationNumber18">'DEV TEAM'!$E$203</definedName>
    <definedName name="DEV_MBEDBECertificationNumber19">'DEV TEAM'!$E$214</definedName>
    <definedName name="DEV_MBEDBECertificationNumber2">'DEV TEAM'!$E$27</definedName>
    <definedName name="DEV_MBEDBECertificationNumber20">'DEV TEAM'!$E$225</definedName>
    <definedName name="DEV_MBEDBECertificationNumber3">'DEV TEAM'!$E$38</definedName>
    <definedName name="DEV_MBEDBECertificationNumber4">'DEV TEAM'!$E$49</definedName>
    <definedName name="DEV_MBEDBECertificationNumber5">'DEV TEAM'!$E$60</definedName>
    <definedName name="DEV_MBEDBECertificationNumber6">'DEV TEAM'!$E$71</definedName>
    <definedName name="DEV_MBEDBECertificationNumber7">'DEV TEAM'!$E$82</definedName>
    <definedName name="DEV_MBEDBECertificationNumber8">'DEV TEAM'!$E$93</definedName>
    <definedName name="DEV_MBEDBECertificationNumber9">'DEV TEAM'!$E$104</definedName>
    <definedName name="DEV_MBEDBECertificationProgram1">'DEV TEAM'!$E$15</definedName>
    <definedName name="DEV_MBEDBECertificationProgram10">'DEV TEAM'!$E$114</definedName>
    <definedName name="DEV_MBEDBECertificationProgram11">'DEV TEAM'!$E$125</definedName>
    <definedName name="DEV_MBEDBECertificationProgram12">'DEV TEAM'!$E$136</definedName>
    <definedName name="DEV_MBEDBECertificationProgram13">'DEV TEAM'!$E$147</definedName>
    <definedName name="DEV_MBEDBECertificationProgram14">'DEV TEAM'!$E$158</definedName>
    <definedName name="DEV_MBEDBECertificationProgram15">'DEV TEAM'!$E$169</definedName>
    <definedName name="DEV_MBEDBECertificationProgram16">'DEV TEAM'!$E$180</definedName>
    <definedName name="DEV_MBEDBECertificationProgram17">'DEV TEAM'!$E$191</definedName>
    <definedName name="DEV_MBEDBECertificationProgram18">'DEV TEAM'!$E$202</definedName>
    <definedName name="DEV_MBEDBECertificationProgram19">'DEV TEAM'!$E$213</definedName>
    <definedName name="DEV_MBEDBECertificationProgram2">'DEV TEAM'!$E$26</definedName>
    <definedName name="DEV_MBEDBECertificationProgram20">'DEV TEAM'!$E$224</definedName>
    <definedName name="DEV_MBEDBECertificationProgram3">'DEV TEAM'!$E$37</definedName>
    <definedName name="DEV_MBEDBECertificationProgram4">'DEV TEAM'!$E$48</definedName>
    <definedName name="DEV_MBEDBECertificationProgram5">'DEV TEAM'!$E$59</definedName>
    <definedName name="DEV_MBEDBECertificationProgram6">'DEV TEAM'!$E$70</definedName>
    <definedName name="DEV_MBEDBECertificationProgram7">'DEV TEAM'!$E$81</definedName>
    <definedName name="DEV_MBEDBECertificationProgram8">'DEV TEAM'!$E$92</definedName>
    <definedName name="DEV_MBEDBECertificationProgram9">'DEV TEAM'!$E$103</definedName>
    <definedName name="DEV_NonprofitPHAorMBEDBE1">'DEV TEAM'!$E$14</definedName>
    <definedName name="DEV_NonprofitPHAorMBEDBE10">'DEV TEAM'!$E$113</definedName>
    <definedName name="DEV_NonprofitPHAorMBEDBE11">'DEV TEAM'!$E$124</definedName>
    <definedName name="DEV_NonprofitPHAorMBEDBE12">'DEV TEAM'!$E$135</definedName>
    <definedName name="DEV_NonprofitPHAorMBEDBE13">'DEV TEAM'!$E$146</definedName>
    <definedName name="DEV_NonprofitPHAorMBEDBE14">'DEV TEAM'!$E$157</definedName>
    <definedName name="DEV_NonprofitPHAorMBEDBE15">'DEV TEAM'!$E$168</definedName>
    <definedName name="DEV_NonprofitPHAorMBEDBE16">'DEV TEAM'!$E$179</definedName>
    <definedName name="DEV_NonprofitPHAorMBEDBE17">'DEV TEAM'!$E$190</definedName>
    <definedName name="DEV_NonprofitPHAorMBEDBE18">'DEV TEAM'!$E$201</definedName>
    <definedName name="DEV_NonprofitPHAorMBEDBE19">'DEV TEAM'!$E$212</definedName>
    <definedName name="DEV_NonprofitPHAorMBEDBE2">'DEV TEAM'!$E$25</definedName>
    <definedName name="DEV_NonprofitPHAorMBEDBE20">'DEV TEAM'!$E$223</definedName>
    <definedName name="DEV_NonprofitPHAorMBEDBE3">'DEV TEAM'!$E$36</definedName>
    <definedName name="DEV_NonprofitPHAorMBEDBE4">'DEV TEAM'!$E$47</definedName>
    <definedName name="DEV_NonprofitPHAorMBEDBE5">'DEV TEAM'!$E$58</definedName>
    <definedName name="DEV_NonprofitPHAorMBEDBE6">'DEV TEAM'!$E$69</definedName>
    <definedName name="DEV_NonprofitPHAorMBEDBE7">'DEV TEAM'!$E$80</definedName>
    <definedName name="DEV_NonprofitPHAorMBEDBE8">'DEV TEAM'!$E$91</definedName>
    <definedName name="DEV_NonprofitPHAorMBEDBE9">'DEV TEAM'!$E$102</definedName>
    <definedName name="DEV_OwnershipPercentage1">'DEV TEAM'!$I$7</definedName>
    <definedName name="DEV_OwnershipPercentage10">'DEV TEAM'!$I$106</definedName>
    <definedName name="DEV_OwnershipPercentage11">'DEV TEAM'!$I$117</definedName>
    <definedName name="DEV_OwnershipPercentage12">'DEV TEAM'!$I$128</definedName>
    <definedName name="DEV_OwnershipPercentage13">'DEV TEAM'!$I$139</definedName>
    <definedName name="DEV_OwnershipPercentage14">'DEV TEAM'!$I$150</definedName>
    <definedName name="DEV_OwnershipPercentage15">'DEV TEAM'!$I$161</definedName>
    <definedName name="DEV_OwnershipPercentage16">'DEV TEAM'!$I$172</definedName>
    <definedName name="DEV_OwnershipPercentage17">'DEV TEAM'!$I$183</definedName>
    <definedName name="DEV_OwnershipPercentage18">'DEV TEAM'!$I$194</definedName>
    <definedName name="DEV_OwnershipPercentage19">'DEV TEAM'!$I$205</definedName>
    <definedName name="DEV_OwnershipPercentage2">'DEV TEAM'!$I$18</definedName>
    <definedName name="DEV_OwnershipPercentage20">'DEV TEAM'!$I$216</definedName>
    <definedName name="DEV_OwnershipPercentage3">'DEV TEAM'!$I$29</definedName>
    <definedName name="DEV_OwnershipPercentage4">'DEV TEAM'!$I$40</definedName>
    <definedName name="DEV_OwnershipPercentage5">'DEV TEAM'!$I$51</definedName>
    <definedName name="DEV_OwnershipPercentage6">'DEV TEAM'!$I$62</definedName>
    <definedName name="DEV_OwnershipPercentage7">'DEV TEAM'!$I$73</definedName>
    <definedName name="DEV_OwnershipPercentage8">'DEV TEAM'!$I$84</definedName>
    <definedName name="DEV_OwnershipPercentage9">'DEV TEAM'!$I$95</definedName>
    <definedName name="DEV_Phone1">'DEV TEAM'!$I$11</definedName>
    <definedName name="DEV_Phone10">'DEV TEAM'!$I$110</definedName>
    <definedName name="DEV_Phone11">'DEV TEAM'!$I$121</definedName>
    <definedName name="DEV_Phone12">'DEV TEAM'!$I$132</definedName>
    <definedName name="DEV_Phone13">'DEV TEAM'!$I$143</definedName>
    <definedName name="DEV_Phone14">'DEV TEAM'!$I$154</definedName>
    <definedName name="DEV_Phone15">'DEV TEAM'!$I$165</definedName>
    <definedName name="DEV_Phone16">'DEV TEAM'!$I$176</definedName>
    <definedName name="DEV_Phone17">'DEV TEAM'!$I$187</definedName>
    <definedName name="DEV_Phone18">'DEV TEAM'!$I$198</definedName>
    <definedName name="DEV_Phone19">'DEV TEAM'!$I$209</definedName>
    <definedName name="DEV_Phone2">'DEV TEAM'!$I$22</definedName>
    <definedName name="DEV_Phone20">'DEV TEAM'!$I$220</definedName>
    <definedName name="DEV_Phone3">'DEV TEAM'!$I$33</definedName>
    <definedName name="DEV_Phone4">'DEV TEAM'!$I$44</definedName>
    <definedName name="DEV_Phone5">'DEV TEAM'!$I$55</definedName>
    <definedName name="DEV_Phone6">'DEV TEAM'!$I$66</definedName>
    <definedName name="DEV_Phone7">'DEV TEAM'!$I$77</definedName>
    <definedName name="DEV_Phone8">'DEV TEAM'!$I$88</definedName>
    <definedName name="DEV_Phone9">'DEV TEAM'!$I$99</definedName>
    <definedName name="DEV_State1">'DEV TEAM'!$G$10</definedName>
    <definedName name="DEV_State10">'DEV TEAM'!$G$109</definedName>
    <definedName name="DEV_State11">'DEV TEAM'!$G$120</definedName>
    <definedName name="DEV_State12">'DEV TEAM'!$G$131</definedName>
    <definedName name="DEV_State13">'DEV TEAM'!$G$142</definedName>
    <definedName name="DEV_State14">'DEV TEAM'!$G$153</definedName>
    <definedName name="DEV_State15">'DEV TEAM'!$G$164</definedName>
    <definedName name="DEV_State16">'DEV TEAM'!$G$175</definedName>
    <definedName name="DEV_State17">'DEV TEAM'!$G$186</definedName>
    <definedName name="DEV_State18">'DEV TEAM'!$G$197</definedName>
    <definedName name="DEV_State19">'DEV TEAM'!$G$208</definedName>
    <definedName name="DEV_State2">'DEV TEAM'!$G$21</definedName>
    <definedName name="DEV_State20">'DEV TEAM'!$G$219</definedName>
    <definedName name="DEV_State3">'DEV TEAM'!$G$32</definedName>
    <definedName name="DEV_State4">'DEV TEAM'!$G$43</definedName>
    <definedName name="DEV_State5">'DEV TEAM'!$G$54</definedName>
    <definedName name="DEV_State6">'DEV TEAM'!$G$65</definedName>
    <definedName name="DEV_State7">'DEV TEAM'!$G$76</definedName>
    <definedName name="DEV_State8">'DEV TEAM'!$G$87</definedName>
    <definedName name="DEV_State9">'DEV TEAM'!$G$98</definedName>
    <definedName name="DEV_StreetAddress1">'DEV TEAM'!$E$9</definedName>
    <definedName name="DEV_StreetAddress10">'DEV TEAM'!$E$108</definedName>
    <definedName name="DEV_StreetAddress11">'DEV TEAM'!$E$119</definedName>
    <definedName name="DEV_StreetAddress12">'DEV TEAM'!$E$130</definedName>
    <definedName name="DEV_StreetAddress13">'DEV TEAM'!$E$141</definedName>
    <definedName name="DEV_StreetAddress14">'DEV TEAM'!$E$152</definedName>
    <definedName name="DEV_StreetAddress15">'DEV TEAM'!$E$163</definedName>
    <definedName name="DEV_StreetAddress16">'DEV TEAM'!$E$174</definedName>
    <definedName name="DEV_StreetAddress17">'DEV TEAM'!$E$185</definedName>
    <definedName name="DEV_StreetAddress18">'DEV TEAM'!$E$196</definedName>
    <definedName name="DEV_StreetAddress19">'DEV TEAM'!$E$207</definedName>
    <definedName name="DEV_StreetAddress2">'DEV TEAM'!$E$20</definedName>
    <definedName name="DEV_StreetAddress20">'DEV TEAM'!$E$218</definedName>
    <definedName name="DEV_StreetAddress3">'DEV TEAM'!$E$31</definedName>
    <definedName name="DEV_StreetAddress4">'DEV TEAM'!$E$42</definedName>
    <definedName name="DEV_StreetAddress5">'DEV TEAM'!$E$53</definedName>
    <definedName name="DEV_StreetAddress6">'DEV TEAM'!$E$64</definedName>
    <definedName name="DEV_StreetAddress7">'DEV TEAM'!$E$75</definedName>
    <definedName name="DEV_StreetAddress8">'DEV TEAM'!$E$86</definedName>
    <definedName name="DEV_StreetAddress9">'DEV TEAM'!$E$97</definedName>
    <definedName name="DEV_Title1">'DEV TEAM'!$E$12</definedName>
    <definedName name="DEV_Title10">'DEV TEAM'!$E$111</definedName>
    <definedName name="DEV_Title11">'DEV TEAM'!$E$122</definedName>
    <definedName name="DEV_Title12">'DEV TEAM'!$E$133</definedName>
    <definedName name="DEV_Title13">'DEV TEAM'!$E$144</definedName>
    <definedName name="DEV_Title14">'DEV TEAM'!$E$155</definedName>
    <definedName name="DEV_Title15">'DEV TEAM'!$E$166</definedName>
    <definedName name="DEV_Title16">'DEV TEAM'!$E$177</definedName>
    <definedName name="DEV_Title17">'DEV TEAM'!$E$188</definedName>
    <definedName name="DEV_Title18">'DEV TEAM'!$E$199</definedName>
    <definedName name="DEV_Title19">'DEV TEAM'!$E$210</definedName>
    <definedName name="DEV_Title2">'DEV TEAM'!$E$23</definedName>
    <definedName name="DEV_Title20">'DEV TEAM'!$E$221</definedName>
    <definedName name="DEV_Title3">'DEV TEAM'!$E$34</definedName>
    <definedName name="DEV_Title4">'DEV TEAM'!$E$45</definedName>
    <definedName name="DEV_Title5">'DEV TEAM'!$E$56</definedName>
    <definedName name="DEV_Title6">'DEV TEAM'!$E$67</definedName>
    <definedName name="DEV_Title7">'DEV TEAM'!$E$78</definedName>
    <definedName name="DEV_Title8">'DEV TEAM'!$E$89</definedName>
    <definedName name="DEV_Title9">'DEV TEAM'!$E$100</definedName>
    <definedName name="DEV_UnabletoUse">'DEV TEAM'!$J$302</definedName>
    <definedName name="DEV_UnabletoUseExplain">'DEV TEAM'!$C$303</definedName>
    <definedName name="DEV_UnpaidFees">'DEV TEAM'!$J$307</definedName>
    <definedName name="DEV_UnpaidFeesExplain">'DEV TEAM'!$C$308</definedName>
    <definedName name="DEV_WatchList">'DEV TEAM'!$J$297</definedName>
    <definedName name="DEV_WatchListExplain">'DEV TEAM'!$C$298</definedName>
    <definedName name="DEV_ZipCode1">'DEV TEAM'!$I$10</definedName>
    <definedName name="DEV_ZipCode10">'DEV TEAM'!$I$109</definedName>
    <definedName name="DEV_ZipCode11">'DEV TEAM'!$I$120</definedName>
    <definedName name="DEV_ZipCode12">'DEV TEAM'!$I$131</definedName>
    <definedName name="DEV_ZipCode13">'DEV TEAM'!$I$142</definedName>
    <definedName name="DEV_ZipCode14">'DEV TEAM'!$I$153</definedName>
    <definedName name="DEV_ZipCode15">'DEV TEAM'!$I$164</definedName>
    <definedName name="DEV_ZipCode16">'DEV TEAM'!$I$175</definedName>
    <definedName name="DEV_ZipCode17">'DEV TEAM'!$I$186</definedName>
    <definedName name="DEV_ZipCode18">'DEV TEAM'!$I$197</definedName>
    <definedName name="DEV_ZipCode19">'DEV TEAM'!$I$208</definedName>
    <definedName name="DEV_ZipCode2">'DEV TEAM'!$I$21</definedName>
    <definedName name="DEV_ZipCode20">'DEV TEAM'!$I$219</definedName>
    <definedName name="DEV_ZipCode3">'DEV TEAM'!$I$32</definedName>
    <definedName name="DEV_ZipCode4">'DEV TEAM'!$I$43</definedName>
    <definedName name="DEV_ZipCode5">'DEV TEAM'!$I$54</definedName>
    <definedName name="DEV_ZipCode6">'DEV TEAM'!$I$65</definedName>
    <definedName name="DEV_ZipCode7">'DEV TEAM'!$I$76</definedName>
    <definedName name="DEV_ZipCode8">'DEV TEAM'!$I$87</definedName>
    <definedName name="DEV_ZipCode9">'DEV TEAM'!$I$98</definedName>
    <definedName name="EXP_AdminAdvertisingandMarketing">EXPENSES!$K$8</definedName>
    <definedName name="EXP_AdminAnnualTCMonitoringFee">EXPENSES!$K$22</definedName>
    <definedName name="EXP_AdminAuditingExpenses">EXPENSES!$K$15</definedName>
    <definedName name="EXP_AdminBadDebts">EXPENSES!$K$18</definedName>
    <definedName name="EXP_AdminBookkeepingFees">EXPENSES!$K$16</definedName>
    <definedName name="EXP_AdminLegalExpenses">EXPENSES!$K$14</definedName>
    <definedName name="EXP_AdminManagementFee">EXPENSES!$K$12</definedName>
    <definedName name="EXP_AdminManagementFeeAnnualRate">EXPENSES!$H$12</definedName>
    <definedName name="EXP_AdminManagerUnit">EXPENSES!$K$13</definedName>
    <definedName name="EXP_AdminMiscExpense1">EXPENSES!$K$19</definedName>
    <definedName name="EXP_AdminMiscExpense1Describe">EXPENSES!$G$19</definedName>
    <definedName name="EXP_AdminMiscExpense2">EXPENSES!$K$20</definedName>
    <definedName name="EXP_AdminMiscExpense2Describe">EXPENSES!$G$20</definedName>
    <definedName name="EXP_AdminMiscExpense3">EXPENSES!$K$21</definedName>
    <definedName name="EXP_AdminMiscExpense3Describe">EXPENSES!$G$21</definedName>
    <definedName name="EXP_AdminOfficeModelApartment">EXPENSES!$K$11</definedName>
    <definedName name="EXP_AdminOfficeSalaries">EXPENSES!$K$9</definedName>
    <definedName name="EXP_AdminOfficeSupplies">EXPENSES!$K$10</definedName>
    <definedName name="EXP_AdminTelephone">EXPENSES!$K$17</definedName>
    <definedName name="EXP_OMDecoratingPayrollorContract">EXPENSES!$K$53</definedName>
    <definedName name="EXP_OMDecoratingSupplies">EXPENSES!$K$54</definedName>
    <definedName name="EXP_OMElevatorMaintenanceorContract">EXPENSES!$K$49</definedName>
    <definedName name="EXP_OMExterminatingPayrollorContract">EXPENSES!$K$39</definedName>
    <definedName name="EXP_OMExterminatingSupplies">EXPENSES!$K$40</definedName>
    <definedName name="EXP_OMGarbageandTrashRemoval">EXPENSES!$K$41</definedName>
    <definedName name="EXP_OMGroundsContract">EXPENSES!$K$45</definedName>
    <definedName name="EXP_OMGroundsPayroll">EXPENSES!$K$43</definedName>
    <definedName name="EXP_OMGroundsSupplies">EXPENSES!$K$44</definedName>
    <definedName name="EXP_OMHeatingACMaintenanceorContract">EXPENSES!$K$50</definedName>
    <definedName name="EXP_OMJanitorandCleaningContract">EXPENSES!$K$38</definedName>
    <definedName name="EXP_OMJanitorandCleaningPayroll">EXPENSES!$K$36</definedName>
    <definedName name="EXP_OMJanitorandCleaningSupplies">EXPENSES!$K$37</definedName>
    <definedName name="EXP_OMMiscOMExpenses">EXPENSES!$K$56</definedName>
    <definedName name="EXP_OMMiscOMExpensesDescribe">EXPENSES!$H$56</definedName>
    <definedName name="EXP_OMOtherOMExpenses">EXPENSES!$K$55</definedName>
    <definedName name="EXP_OMOtherOMExpensesDescribe">EXPENSES!$H$55</definedName>
    <definedName name="EXP_OMPoolMaintenanceorContract">EXPENSES!$K$51</definedName>
    <definedName name="EXP_OMRepairsContract">EXPENSES!$K$48</definedName>
    <definedName name="EXP_OMRepairsMaterial">EXPENSES!$K$47</definedName>
    <definedName name="EXP_OMRepairsPayroll">EXPENSES!$K$46</definedName>
    <definedName name="EXP_OMSecurityPayrollorContract">EXPENSES!$K$42</definedName>
    <definedName name="EXP_OMSnowRemoval">EXPENSES!$K$52</definedName>
    <definedName name="EXP_RRReserveforReplacement">EXPENSES!$K$73</definedName>
    <definedName name="EXP_TaxInsFidelityBondInsurance">EXPENSES!$K$67</definedName>
    <definedName name="EXP_TaxInsHealthInsurance">EXPENSES!$K$69</definedName>
    <definedName name="EXP_TaxInsLiabilityInsurance">EXPENSES!$K$66</definedName>
    <definedName name="EXP_TaxInsMiscTaxesLicensesandPermits">EXPENSES!$K$64</definedName>
    <definedName name="EXP_TaxInsOtherInsurance">EXPENSES!$K$70</definedName>
    <definedName name="EXP_TaxInsOtherInsuranceDescribe">EXPENSES!$F$70</definedName>
    <definedName name="EXP_TaxInsPaymentTaxesAnnual">EXPENSES!$K$62</definedName>
    <definedName name="EXP_TaxInsPaymentTaxesTotal">EXPENSES!$G$62</definedName>
    <definedName name="EXP_TaxInsPaymentTaxesYears">EXPENSES!$I$62</definedName>
    <definedName name="EXP_TaxInsPayrollTaxes">EXPENSES!$K$63</definedName>
    <definedName name="EXP_TaxInsPropertyInsurance">EXPENSES!$K$65</definedName>
    <definedName name="EXP_TaxInsRealEstateTaxes">EXPENSES!$K$61</definedName>
    <definedName name="EXP_TaxInsWorkmenCompensation">EXPENSES!$K$68</definedName>
    <definedName name="EXP_UTILElectricity">EXPENSES!$K$28</definedName>
    <definedName name="EXP_UTILFuelOil">EXPENSES!$K$27</definedName>
    <definedName name="EXP_UTILGas">EXPENSES!$K$29</definedName>
    <definedName name="EXP_UTILSewer">EXPENSES!$K$31</definedName>
    <definedName name="EXP_UTILWater">EXPENSES!$K$30</definedName>
    <definedName name="GEN_Acquisition">GENERAL!$C$91</definedName>
    <definedName name="GEN_Address1">GENERAL!$F$38</definedName>
    <definedName name="GEN_AmenitiesCableAccess">GENERAL!$C$82</definedName>
    <definedName name="GEN_AmenitiesCarpet">GENERAL!$C$84</definedName>
    <definedName name="GEN_AmenitiesDishwasher">GENERAL!$C$85</definedName>
    <definedName name="GEN_AmenitiesDisposal">GENERAL!$C$86</definedName>
    <definedName name="GEN_AmenitiesInternetAccess">GENERAL!$F$84</definedName>
    <definedName name="GEN_AmenitiesLaundryFacilities">GENERAL!$F$82</definedName>
    <definedName name="GEN_AmenitiesMicrowave">GENERAL!$C$87</definedName>
    <definedName name="GEN_AmenitiesOther1">GENERAL!$F$85</definedName>
    <definedName name="GEN_AmenitiesOther1Describe">GENERAL!$H$85</definedName>
    <definedName name="GEN_AmenitiesOther2">GENERAL!$F$86</definedName>
    <definedName name="GEN_AmenitiesOther2Describe">GENERAL!$H$86</definedName>
    <definedName name="GEN_AmenitiesOther3">GENERAL!$F$87</definedName>
    <definedName name="GEN_AmenitiesOther3Describe">GENERAL!$H$87</definedName>
    <definedName name="GEN_AmenitiesTransportationServices">GENERAL!$C$83</definedName>
    <definedName name="GEN_AmenitiesWDHookup">GENERAL!$F$83</definedName>
    <definedName name="GEN_AppType">GENERAL!$D$9</definedName>
    <definedName name="GEN_AreaCirculation">GENERAL!$K$124</definedName>
    <definedName name="GEN_AreaCommercial">GENERAL!$K$121</definedName>
    <definedName name="GEN_AreaCommercialDescr">GENERAL!$J$121</definedName>
    <definedName name="GEN_AreaCommonSpace">GENERAL!$K$123</definedName>
    <definedName name="GEN_AreaOther1">GENERAL!$K$126</definedName>
    <definedName name="GEN_AreaOther1Descr">GENERAL!$I$126</definedName>
    <definedName name="GEN_AreaOther2">GENERAL!$K$127</definedName>
    <definedName name="GEN_AreaOther2Descr">GENERAL!$I$127</definedName>
    <definedName name="GEN_AreaOther3">GENERAL!$K$128</definedName>
    <definedName name="GEN_AreaOther3Descr">GENERAL!$I$128</definedName>
    <definedName name="GEN_AreaOther4">GENERAL!$K$129</definedName>
    <definedName name="GEN_AreaOther4Descr">GENERAL!$I$129</definedName>
    <definedName name="GEN_AreaOther5">GENERAL!$K$130</definedName>
    <definedName name="GEN_AreaOther5Descr">GENERAL!$I$130</definedName>
    <definedName name="GEN_AreaRecreation">GENERAL!$K$125</definedName>
    <definedName name="GEN_AreaResUnitsLowIncome">GENERAL!$K$118</definedName>
    <definedName name="GEN_AreaResUnitsMarket">GENERAL!$K$119</definedName>
    <definedName name="GEN_AreaResUnitsNonResStaff">GENERAL!$K$120</definedName>
    <definedName name="GEN_BasisBoost">GENERAL!$L$14</definedName>
    <definedName name="GEN_CensusTract">GENERAL!$J$41</definedName>
    <definedName name="GEN_City">GENERAL!$F$48</definedName>
    <definedName name="GEN_CommercialUnit">GENERAL!$F$134</definedName>
    <definedName name="GEN_CongressionalDistrict">GENERAL!$F$42</definedName>
    <definedName name="GEN_Contact">GENERAL!$F$49</definedName>
    <definedName name="GEN_Contractextensionperiod">GENERAL!$J$176</definedName>
    <definedName name="GEN_County">GENERAL!$J$40</definedName>
    <definedName name="GEN_CreditEnhancement">GENERAL!$L$12</definedName>
    <definedName name="GEN_CurrentZoningClassification">GENERAL!$F$178</definedName>
    <definedName name="GEN_DatesiteAcquired">GENERAL!$G$176</definedName>
    <definedName name="GEN_DescribeCurrentClassification">GENERAL!$D$180</definedName>
    <definedName name="GEN_DevFeeFundedReserve">GENERAL!$K$110</definedName>
    <definedName name="GEN_DHCDDebtYN1">GENERAL!$H$24</definedName>
    <definedName name="GEN_DHCDDebtYN2">GENERAL!$H$25</definedName>
    <definedName name="GEN_DHCDDebtYN3">GENERAL!$H$26</definedName>
    <definedName name="GEN_DHCDDebtYN4">GENERAL!$H$27</definedName>
    <definedName name="GEN_DHCDDebtYN5">GENERAL!$H$28</definedName>
    <definedName name="GEN_DHCDDebtYN6">GENERAL!$H$29</definedName>
    <definedName name="GEN_DHCDDebtYN7">GENERAL!$H$32</definedName>
    <definedName name="GEN_DHCDDebtYN8">GENERAL!$H$33</definedName>
    <definedName name="GEN_Elderly">GENERAL!$F$128</definedName>
    <definedName name="GEN_Email">GENERAL!$K$50</definedName>
    <definedName name="GEN_Extension1">GENERAL!$I$175</definedName>
    <definedName name="GEN_Extension2">GENERAL!$J$175</definedName>
    <definedName name="GEN_Extension3">GENERAL!$K$175</definedName>
    <definedName name="GEN_GeneralOccupancy">GENERAL!$F$127</definedName>
    <definedName name="GEN_HistoricRehab">GENERAL!$F$111</definedName>
    <definedName name="GEN_HomeownershipTransition">GENERAL!$H$168</definedName>
    <definedName name="GEN_HUDProj">GENERAL!$J$43</definedName>
    <definedName name="GEN_Identityofinterest">GENERAL!$K$174</definedName>
    <definedName name="GEN_LegislativeDistrict">GENERAL!$J$42</definedName>
    <definedName name="GEN_Lot">GENERAL!$F$39</definedName>
    <definedName name="GEN_NewConstruction">GENERAL!$F$91</definedName>
    <definedName name="GEN_OwnerName">GENERAL!$F$54</definedName>
    <definedName name="GEN_OwnerTaxpayerID">GENERAL!$F$55</definedName>
    <definedName name="GEN_OwnerTypeCorporation">GENERAL!$C$59</definedName>
    <definedName name="GEN_OwnerTypeGP">GENERAL!$F$58</definedName>
    <definedName name="GEN_OwnerTypeIndividual">GENERAL!$C$58</definedName>
    <definedName name="GEN_OwnerTypeLLC">GENERAL!$C$60</definedName>
    <definedName name="GEN_OwnerTypeLocalGov">GENERAL!$I$58</definedName>
    <definedName name="GEN_OwnerTypeLP">GENERAL!$F$59</definedName>
    <definedName name="GEN_OwnerTypeOther">GENERAL!$I$59</definedName>
    <definedName name="GEN_OwnerTypeOtherDescribe">GENERAL!$K$59</definedName>
    <definedName name="GEN_Parcel">GENERAL!$J$39</definedName>
    <definedName name="GEN_PercentOccupied">GENERAL!$F$110</definedName>
    <definedName name="GEN_PermanentRelocation">GENERAL!$F$112</definedName>
    <definedName name="GEN_Phone">GENERAL!$K$49</definedName>
    <definedName name="GEN_PrincipalsName1">GENERAL!$C$65</definedName>
    <definedName name="GEN_PrincipalsName2">GENERAL!$C$66</definedName>
    <definedName name="GEN_PrincipalsName3">GENERAL!$C$67</definedName>
    <definedName name="GEN_PrincipalsNonprofit1">GENERAL!$L$65</definedName>
    <definedName name="GEN_PrincipalsNonprofit2">GENERAL!$L$66</definedName>
    <definedName name="GEN_PrincipalsNonprofit3">GENERAL!$L$67</definedName>
    <definedName name="GEN_PrincipalsOwnershipInterest1">GENERAL!$K$65</definedName>
    <definedName name="GEN_PrincipalsOwnershipInterest2">GENERAL!$K$66</definedName>
    <definedName name="GEN_PrincipalsOwnershipInterest3">GENERAL!$K$67</definedName>
    <definedName name="GEN_PrincipalsTaxpayerID1">GENERAL!$H$65</definedName>
    <definedName name="GEN_PrincipalsTaxpayerID2">GENERAL!$H$66</definedName>
    <definedName name="GEN_PrincipalsTaxpayerID3">GENERAL!$H$67</definedName>
    <definedName name="GEN_ProjCity">GENERAL!$F$40</definedName>
    <definedName name="GEN_ProjectDescription">GENERAL!$C$70</definedName>
    <definedName name="GEN_ProjZip">GENERAL!$F$41</definedName>
    <definedName name="GEN_Refinance">GENERAL!$C$92</definedName>
    <definedName name="GEN_Rehabilitation">GENERAL!$F$92</definedName>
    <definedName name="GEN_RelatedParty">GENERAL!$F$106</definedName>
    <definedName name="GEN_SiteControlExpire1">GENERAL!$E$175</definedName>
    <definedName name="GEN_SiteControlExpire2">GENERAL!$F$175</definedName>
    <definedName name="GEN_SiteControlExpire3">GENERAL!$G$175</definedName>
    <definedName name="GEN_SiteControlType">GENERAL!$F$174</definedName>
    <definedName name="GEN_SiteControlYN">GENERAL!$F$173</definedName>
    <definedName name="GEN_SpecialNeeds">GENERAL!$F$129</definedName>
    <definedName name="GEN_SponsorCompanyName">GENERAL!$F$46</definedName>
    <definedName name="GEN_State">GENERAL!$I$48</definedName>
    <definedName name="GEN_StreetAddress">GENERAL!$F$47</definedName>
    <definedName name="GEN_Subsidy">GENERAL!$H$144</definedName>
    <definedName name="GEN_TargetPop1">GENERAL!$F$138</definedName>
    <definedName name="GEN_TargetPop2">GENERAL!$J$138</definedName>
    <definedName name="GEN_TargetPop3">GENERAL!$F$139</definedName>
    <definedName name="GEN_TargetPop4">GENERAL!$J$139</definedName>
    <definedName name="GEN_TargetPopType1">GENERAL!$G$138</definedName>
    <definedName name="GEN_TargetPopType2">GENERAL!$K$138</definedName>
    <definedName name="GEN_TargetPopType4">GENERAL!$K$139</definedName>
    <definedName name="GEN_TaxMap">GENERAL!$L$39</definedName>
    <definedName name="GEN_TemporaryRelocation">GENERAL!$F$113</definedName>
    <definedName name="GEN_Title">GENERAL!$F$50</definedName>
    <definedName name="GEN_TotalLandArea">GENERAL!$K$115</definedName>
    <definedName name="GEN_UFASUnits1BR">GENERAL!$I$97</definedName>
    <definedName name="GEN_UFASUnits2BR">GENERAL!$I$98</definedName>
    <definedName name="GEN_UFASUnits3BR">GENERAL!$I$99</definedName>
    <definedName name="GEN_UFASUnits4BR">GENERAL!$I$100</definedName>
    <definedName name="GEN_UFASUnits5BR">GENERAL!$I$101</definedName>
    <definedName name="GEN_UFASUnits6BR">GENERAL!$I$102</definedName>
    <definedName name="GEN_UnitNC">GENERAL!$C$96</definedName>
    <definedName name="GEN_UnitRehab">GENERAL!$C$97</definedName>
    <definedName name="GEN_Zip">GENERAL!$K$48</definedName>
    <definedName name="GEN_Zoningchange">GENERAL!$G$183</definedName>
    <definedName name="GEN_ZoningchangeDateApplication">GENERAL!$L$184</definedName>
    <definedName name="GEN_ZoningchangeDateApproval">GENERAL!$L$186</definedName>
    <definedName name="GEN_ZoningchangeDateHearing">GENERAL!$L$185</definedName>
    <definedName name="INC_AirConditioning">INCOME!$C$66</definedName>
    <definedName name="INC_CommercialIncomeDescribe">INCOME!$E$76</definedName>
    <definedName name="INC_CommercialIncomeMonthlyIncome">INCOME!$J$76</definedName>
    <definedName name="INC_CommercialIncomeSquarefootage">INCOME!$I$76</definedName>
    <definedName name="INC_Cooking">INCOME!$G$65</definedName>
    <definedName name="INC_Heat">INCOME!$G$66</definedName>
    <definedName name="INC_HotWater">INCOME!$C$67</definedName>
    <definedName name="INC_HouseholdElectric">INCOME!$C$65</definedName>
    <definedName name="INC_LIHTCBaths1">INCOME!$E$11</definedName>
    <definedName name="INC_LIHTCBaths10">INCOME!$E$20</definedName>
    <definedName name="INC_LIHTCBaths11">INCOME!$E$21</definedName>
    <definedName name="INC_LIHTCBaths12">INCOME!$E$22</definedName>
    <definedName name="INC_LIHTCBaths13">INCOME!$E$23</definedName>
    <definedName name="INC_LIHTCBaths14">INCOME!$E$24</definedName>
    <definedName name="INC_LIHTCBaths15">INCOME!$E$25</definedName>
    <definedName name="INC_LIHTCBaths16">INCOME!$E$26</definedName>
    <definedName name="INC_LIHTCBaths17">INCOME!$E$27</definedName>
    <definedName name="INC_LIHTCBaths18">INCOME!$E$28</definedName>
    <definedName name="INC_LIHTCBaths19">INCOME!$E$29</definedName>
    <definedName name="INC_LIHTCBaths2">INCOME!$E$12</definedName>
    <definedName name="INC_LIHTCBaths20">INCOME!$E$30</definedName>
    <definedName name="INC_LIHTCBaths21">INCOME!$E$31</definedName>
    <definedName name="INC_LIHTCBaths22">INCOME!$E$32</definedName>
    <definedName name="INC_LIHTCBaths23">INCOME!$E$33</definedName>
    <definedName name="INC_LIHTCBaths24">INCOME!$E$34</definedName>
    <definedName name="INC_LIHTCBaths25">INCOME!$E$35</definedName>
    <definedName name="INC_LIHTCBaths26">INCOME!$E$36</definedName>
    <definedName name="INC_LIHTCBaths27">INCOME!$E$37</definedName>
    <definedName name="INC_LIHTCBaths28">INCOME!$E$38</definedName>
    <definedName name="INC_LIHTCBaths29">INCOME!$E$39</definedName>
    <definedName name="INC_LIHTCBaths3">INCOME!$E$13</definedName>
    <definedName name="INC_LIHTCBaths30">INCOME!$E$40</definedName>
    <definedName name="INC_LIHTCBaths4">INCOME!$E$14</definedName>
    <definedName name="INC_LIHTCBaths5">INCOME!$E$15</definedName>
    <definedName name="INC_LIHTCBaths6">INCOME!$E$16</definedName>
    <definedName name="INC_LIHTCBaths7">INCOME!$E$17</definedName>
    <definedName name="INC_LIHTCBaths8">INCOME!$E$18</definedName>
    <definedName name="INC_LIHTCBaths9">INCOME!$E$19</definedName>
    <definedName name="INC_LIHTCBedrooms1">INCOME!$D$11</definedName>
    <definedName name="INC_LIHTCBedrooms10">INCOME!$D$20</definedName>
    <definedName name="INC_LIHTCBedrooms11">INCOME!$D$21</definedName>
    <definedName name="INC_LIHTCBedrooms12">INCOME!$D$22</definedName>
    <definedName name="INC_LIHTCBedrooms13">INCOME!$D$23</definedName>
    <definedName name="INC_LIHTCBedrooms14">INCOME!$D$24</definedName>
    <definedName name="INC_LIHTCBedrooms15">INCOME!$D$25</definedName>
    <definedName name="INC_LIHTCBedrooms16">INCOME!$D$26</definedName>
    <definedName name="INC_LIHTCBedrooms17">INCOME!$D$27</definedName>
    <definedName name="INC_LIHTCBedrooms18">INCOME!$D$28</definedName>
    <definedName name="INC_LIHTCBedrooms19">INCOME!$D$29</definedName>
    <definedName name="INC_LIHTCBedrooms2">INCOME!$D$12</definedName>
    <definedName name="INC_LIHTCBedrooms20">INCOME!$D$30</definedName>
    <definedName name="INC_LIHTCBedrooms21">INCOME!$D$31</definedName>
    <definedName name="INC_LIHTCBedrooms22">INCOME!$D$32</definedName>
    <definedName name="INC_LIHTCBedrooms23">INCOME!$D$33</definedName>
    <definedName name="INC_LIHTCBedrooms24">INCOME!$D$34</definedName>
    <definedName name="INC_LIHTCBedrooms25">INCOME!$D$35</definedName>
    <definedName name="INC_LIHTCBedrooms26">INCOME!$D$36</definedName>
    <definedName name="INC_LIHTCBedrooms27">INCOME!$D$37</definedName>
    <definedName name="INC_LIHTCBedrooms28">INCOME!$D$38</definedName>
    <definedName name="INC_LIHTCBedrooms29">INCOME!$D$39</definedName>
    <definedName name="INC_LIHTCBedrooms3">INCOME!$D$13</definedName>
    <definedName name="INC_LIHTCBedrooms30">INCOME!$D$40</definedName>
    <definedName name="INC_LIHTCBedrooms4">INCOME!$D$14</definedName>
    <definedName name="INC_LIHTCBedrooms5">INCOME!$D$15</definedName>
    <definedName name="INC_LIHTCBedrooms6">INCOME!$D$16</definedName>
    <definedName name="INC_LIHTCBedrooms7">INCOME!$D$17</definedName>
    <definedName name="INC_LIHTCBedrooms8">INCOME!$D$18</definedName>
    <definedName name="INC_LIHTCBedrooms9">INCOME!$D$19</definedName>
    <definedName name="INC_LIHTCIncomePerUnit1">INCOME!$L$11</definedName>
    <definedName name="INC_LIHTCIncomePerUnit10">INCOME!$L$20</definedName>
    <definedName name="INC_LIHTCIncomePerUnit11">INCOME!$L$21</definedName>
    <definedName name="INC_LIHTCIncomePerUnit12">INCOME!$L$22</definedName>
    <definedName name="INC_LIHTCIncomePerUnit13">INCOME!$L$23</definedName>
    <definedName name="INC_LIHTCIncomePerUnit14">INCOME!$L$24</definedName>
    <definedName name="INC_LIHTCIncomePerUnit15">INCOME!$L$25</definedName>
    <definedName name="INC_LIHTCIncomePerUnit16">INCOME!$L$26</definedName>
    <definedName name="INC_LIHTCIncomePerUnit17">INCOME!$L$27</definedName>
    <definedName name="INC_LIHTCIncomePerUnit18">INCOME!$L$28</definedName>
    <definedName name="INC_LIHTCIncomePerUnit19">INCOME!$L$29</definedName>
    <definedName name="INC_LIHTCIncomePerUnit2">INCOME!$L$12</definedName>
    <definedName name="INC_LIHTCIncomePerUnit20">INCOME!$L$30</definedName>
    <definedName name="INC_LIHTCIncomePerUnit21">INCOME!$L$31</definedName>
    <definedName name="INC_LIHTCIncomePerUnit22">INCOME!$L$32</definedName>
    <definedName name="INC_LIHTCIncomePerUnit23">INCOME!$L$33</definedName>
    <definedName name="INC_LIHTCIncomePerUnit24">INCOME!$L$34</definedName>
    <definedName name="INC_LIHTCIncomePerUnit25">INCOME!$L$35</definedName>
    <definedName name="INC_LIHTCIncomePerUnit26">INCOME!$L$36</definedName>
    <definedName name="INC_LIHTCIncomePerUnit27">INCOME!$L$37</definedName>
    <definedName name="INC_LIHTCIncomePerUnit28">INCOME!$L$38</definedName>
    <definedName name="INC_LIHTCIncomePerUnit29">INCOME!$L$39</definedName>
    <definedName name="INC_LIHTCIncomePerUnit3">INCOME!$L$13</definedName>
    <definedName name="INC_LIHTCIncomePerUnit30">INCOME!$L$40</definedName>
    <definedName name="INC_LIHTCIncomePerUnit4">INCOME!$L$14</definedName>
    <definedName name="INC_LIHTCIncomePerUnit5">INCOME!$L$15</definedName>
    <definedName name="INC_LIHTCIncomePerUnit6">INCOME!$L$16</definedName>
    <definedName name="INC_LIHTCIncomePerUnit7">INCOME!$L$17</definedName>
    <definedName name="INC_LIHTCIncomePerUnit8">INCOME!$L$18</definedName>
    <definedName name="INC_LIHTCIncomePerUnit9">INCOME!$L$19</definedName>
    <definedName name="INC_LIHTCMedianIncome1">INCOME!$C$11</definedName>
    <definedName name="INC_LIHTCMedianIncome10">INCOME!$C$20</definedName>
    <definedName name="INC_LIHTCMedianIncome11">INCOME!$C$21</definedName>
    <definedName name="INC_LIHTCMedianIncome12">INCOME!$C$22</definedName>
    <definedName name="INC_LIHTCMedianIncome13">INCOME!$C$23</definedName>
    <definedName name="INC_LIHTCMedianIncome14">INCOME!$C$24</definedName>
    <definedName name="INC_LIHTCMedianIncome15">INCOME!$C$25</definedName>
    <definedName name="INC_LIHTCMedianIncome16">INCOME!$C$26</definedName>
    <definedName name="INC_LIHTCMedianIncome17">INCOME!$C$27</definedName>
    <definedName name="INC_LIHTCMedianIncome18">INCOME!$C$28</definedName>
    <definedName name="INC_LIHTCMedianIncome19">INCOME!$C$29</definedName>
    <definedName name="INC_LIHTCMedianIncome2">INCOME!$C$12</definedName>
    <definedName name="INC_LIHTCMedianIncome20">INCOME!$C$30</definedName>
    <definedName name="INC_LIHTCMedianIncome21">INCOME!$C$31</definedName>
    <definedName name="INC_LIHTCMedianIncome22">INCOME!$C$32</definedName>
    <definedName name="INC_LIHTCMedianIncome23">INCOME!$C$33</definedName>
    <definedName name="INC_LIHTCMedianIncome24">INCOME!$C$34</definedName>
    <definedName name="INC_LIHTCMedianIncome25">INCOME!$C$35</definedName>
    <definedName name="INC_LIHTCMedianIncome26">INCOME!$C$36</definedName>
    <definedName name="INC_LIHTCMedianIncome27">INCOME!$C$37</definedName>
    <definedName name="INC_LIHTCMedianIncome28">INCOME!$C$38</definedName>
    <definedName name="INC_LIHTCMedianIncome29">INCOME!$C$39</definedName>
    <definedName name="INC_LIHTCMedianIncome3">INCOME!$C$13</definedName>
    <definedName name="INC_LIHTCMedianIncome30">INCOME!$C$40</definedName>
    <definedName name="INC_LIHTCMedianIncome4">INCOME!$C$14</definedName>
    <definedName name="INC_LIHTCMedianIncome5">INCOME!$C$15</definedName>
    <definedName name="INC_LIHTCMedianIncome6">INCOME!$C$16</definedName>
    <definedName name="INC_LIHTCMedianIncome7">INCOME!$C$17</definedName>
    <definedName name="INC_LIHTCMedianIncome8">INCOME!$C$18</definedName>
    <definedName name="INC_LIHTCMedianIncome9">INCOME!$C$19</definedName>
    <definedName name="INC_LIHTCNumberofUnits1">INCOME!$F$11</definedName>
    <definedName name="INC_LIHTCNumberofUnits10">INCOME!$F$20</definedName>
    <definedName name="INC_LIHTCNumberofUnits11">INCOME!$F$21</definedName>
    <definedName name="INC_LIHTCNumberofUnits12">INCOME!$F$22</definedName>
    <definedName name="INC_LIHTCNumberofUnits13">INCOME!$F$23</definedName>
    <definedName name="INC_LIHTCNumberofUnits14">INCOME!$F$24</definedName>
    <definedName name="INC_LIHTCNumberofUnits15">INCOME!$F$25</definedName>
    <definedName name="INC_LIHTCNumberofUnits16">INCOME!$F$26</definedName>
    <definedName name="INC_LIHTCNumberofUnits17">INCOME!$F$27</definedName>
    <definedName name="INC_LIHTCNumberofUnits18">INCOME!$F$28</definedName>
    <definedName name="INC_LIHTCNumberofUnits19">INCOME!$F$29</definedName>
    <definedName name="INC_LIHTCNumberofUnits2">INCOME!$F$12</definedName>
    <definedName name="INC_LIHTCNumberofUnits20">INCOME!$F$30</definedName>
    <definedName name="INC_LIHTCNumberofUnits21">INCOME!$F$31</definedName>
    <definedName name="INC_LIHTCNumberofUnits22">INCOME!$F$32</definedName>
    <definedName name="INC_LIHTCNumberofUnits23">INCOME!$F$33</definedName>
    <definedName name="INC_LIHTCNumberofUnits24">INCOME!$F$34</definedName>
    <definedName name="INC_LIHTCNumberofUnits25">INCOME!$F$35</definedName>
    <definedName name="INC_LIHTCNumberofUnits26">INCOME!$F$36</definedName>
    <definedName name="INC_LIHTCNumberofUnits27">INCOME!$F$37</definedName>
    <definedName name="INC_LIHTCNumberofUnits28">INCOME!$F$38</definedName>
    <definedName name="INC_LIHTCNumberofUnits29">INCOME!$F$39</definedName>
    <definedName name="INC_LIHTCNumberofUnits3">INCOME!$F$13</definedName>
    <definedName name="INC_LIHTCNumberofUnits30">INCOME!$F$40</definedName>
    <definedName name="INC_LIHTCNumberofUnits4">INCOME!$F$14</definedName>
    <definedName name="INC_LIHTCNumberofUnits5">INCOME!$F$15</definedName>
    <definedName name="INC_LIHTCNumberofUnits6">INCOME!$F$16</definedName>
    <definedName name="INC_LIHTCNumberofUnits7">INCOME!$F$17</definedName>
    <definedName name="INC_LIHTCNumberofUnits8">INCOME!$F$18</definedName>
    <definedName name="INC_LIHTCNumberofUnits9">INCOME!$F$19</definedName>
    <definedName name="INC_LIHTCRentSubsidy1">INCOME!$J$11</definedName>
    <definedName name="INC_LIHTCRentSubsidy10">INCOME!$J$20</definedName>
    <definedName name="INC_LIHTCRentSubsidy11">INCOME!$J$21</definedName>
    <definedName name="INC_LIHTCRentSubsidy12">INCOME!$J$22</definedName>
    <definedName name="INC_LIHTCRentSubsidy13">INCOME!$J$23</definedName>
    <definedName name="INC_LIHTCRentSubsidy14">INCOME!$J$24</definedName>
    <definedName name="INC_LIHTCRentSubsidy15">INCOME!$J$25</definedName>
    <definedName name="INC_LIHTCRentSubsidy16">INCOME!$J$26</definedName>
    <definedName name="INC_LIHTCRentSubsidy17">INCOME!$J$27</definedName>
    <definedName name="INC_LIHTCRentSubsidy18">INCOME!$J$28</definedName>
    <definedName name="INC_LIHTCRentSubsidy19">INCOME!$J$29</definedName>
    <definedName name="INC_LIHTCRentSubsidy2">INCOME!$J$12</definedName>
    <definedName name="INC_LIHTCRentSubsidy20">INCOME!$J$30</definedName>
    <definedName name="INC_LIHTCRentSubsidy21">INCOME!$J$31</definedName>
    <definedName name="INC_LIHTCRentSubsidy22">INCOME!$J$32</definedName>
    <definedName name="INC_LIHTCRentSubsidy23">INCOME!$J$33</definedName>
    <definedName name="INC_LIHTCRentSubsidy24">INCOME!$J$34</definedName>
    <definedName name="INC_LIHTCRentSubsidy25">INCOME!$J$35</definedName>
    <definedName name="INC_LIHTCRentSubsidy26">INCOME!$J$36</definedName>
    <definedName name="INC_LIHTCRentSubsidy27">INCOME!$J$37</definedName>
    <definedName name="INC_LIHTCRentSubsidy28">INCOME!$J$38</definedName>
    <definedName name="INC_LIHTCRentSubsidy29">INCOME!$J$39</definedName>
    <definedName name="INC_LIHTCRentSubsidy3">INCOME!$J$13</definedName>
    <definedName name="INC_LIHTCRentSubsidy30">INCOME!$J$40</definedName>
    <definedName name="INC_LIHTCRentSubsidy4">INCOME!$J$14</definedName>
    <definedName name="INC_LIHTCRentSubsidy5">INCOME!$J$15</definedName>
    <definedName name="INC_LIHTCRentSubsidy6">INCOME!$J$16</definedName>
    <definedName name="INC_LIHTCRentSubsidy7">INCOME!$J$17</definedName>
    <definedName name="INC_LIHTCRentSubsidy8">INCOME!$J$18</definedName>
    <definedName name="INC_LIHTCRentSubsidy9">INCOME!$J$19</definedName>
    <definedName name="INC_LIHTCRentSubsidySource1">INCOME!$K$11</definedName>
    <definedName name="INC_LIHTCRentSubsidySource10">INCOME!$K$20</definedName>
    <definedName name="INC_LIHTCRentSubsidySource11">INCOME!$K$21</definedName>
    <definedName name="INC_LIHTCRentSubsidySource12">INCOME!$K$22</definedName>
    <definedName name="INC_LIHTCRentSubsidySource13">INCOME!$K$23</definedName>
    <definedName name="INC_LIHTCRentSubsidySource14">INCOME!$K$24</definedName>
    <definedName name="INC_LIHTCRentSubsidySource15">INCOME!$K$25</definedName>
    <definedName name="INC_LIHTCRentSubsidySource16">INCOME!$K$26</definedName>
    <definedName name="INC_LIHTCRentSubsidySource17">INCOME!$K$27</definedName>
    <definedName name="INC_LIHTCRentSubsidySource18">INCOME!$K$28</definedName>
    <definedName name="INC_LIHTCRentSubsidySource19">INCOME!$K$29</definedName>
    <definedName name="INC_LIHTCRentSubsidySource2">INCOME!$K$12</definedName>
    <definedName name="INC_LIHTCRentSubsidySource20">INCOME!$K$30</definedName>
    <definedName name="INC_LIHTCRentSubsidySource21">INCOME!$K$31</definedName>
    <definedName name="INC_LIHTCRentSubsidySource22">INCOME!$K$32</definedName>
    <definedName name="INC_LIHTCRentSubsidySource23">INCOME!$K$33</definedName>
    <definedName name="INC_LIHTCRentSubsidySource24">INCOME!$K$34</definedName>
    <definedName name="INC_LIHTCRentSubsidySource25">INCOME!$K$35</definedName>
    <definedName name="INC_LIHTCRentSubsidySource26">INCOME!$K$36</definedName>
    <definedName name="INC_LIHTCRentSubsidySource27">INCOME!$K$37</definedName>
    <definedName name="INC_LIHTCRentSubsidySource28">INCOME!$K$38</definedName>
    <definedName name="INC_LIHTCRentSubsidySource29">INCOME!$K$39</definedName>
    <definedName name="INC_LIHTCRentSubsidySource3">INCOME!$K$13</definedName>
    <definedName name="INC_LIHTCRentSubsidySource30">INCOME!$K$40</definedName>
    <definedName name="INC_LIHTCRentSubsidySource4">INCOME!$K$14</definedName>
    <definedName name="INC_LIHTCRentSubsidySource5">INCOME!$K$15</definedName>
    <definedName name="INC_LIHTCRentSubsidySource6">INCOME!$K$16</definedName>
    <definedName name="INC_LIHTCRentSubsidySource7">INCOME!$K$17</definedName>
    <definedName name="INC_LIHTCRentSubsidySource8">INCOME!$K$18</definedName>
    <definedName name="INC_LIHTCRentSubsidySource9">INCOME!$K$19</definedName>
    <definedName name="INC_LIHTCResidentPaidRent1">INCOME!$I$11</definedName>
    <definedName name="INC_LIHTCResidentPaidRent10">INCOME!$I$20</definedName>
    <definedName name="INC_LIHTCResidentPaidRent11">INCOME!$I$21</definedName>
    <definedName name="INC_LIHTCResidentPaidRent12">INCOME!$I$22</definedName>
    <definedName name="INC_LIHTCResidentPaidRent13">INCOME!$I$23</definedName>
    <definedName name="INC_LIHTCResidentPaidRent14">INCOME!$I$24</definedName>
    <definedName name="INC_LIHTCResidentPaidRent15">INCOME!$I$25</definedName>
    <definedName name="INC_LIHTCResidentPaidRent16">INCOME!$I$26</definedName>
    <definedName name="INC_LIHTCResidentPaidRent17">INCOME!$I$27</definedName>
    <definedName name="INC_LIHTCResidentPaidRent18">INCOME!$I$28</definedName>
    <definedName name="INC_LIHTCResidentPaidRent19">INCOME!$I$29</definedName>
    <definedName name="INC_LIHTCResidentPaidRent2">INCOME!$I$12</definedName>
    <definedName name="INC_LIHTCResidentPaidRent20">INCOME!$I$30</definedName>
    <definedName name="INC_LIHTCResidentPaidRent21">INCOME!$I$31</definedName>
    <definedName name="INC_LIHTCResidentPaidRent22">INCOME!$I$32</definedName>
    <definedName name="INC_LIHTCResidentPaidRent23">INCOME!$I$33</definedName>
    <definedName name="INC_LIHTCResidentPaidRent24">INCOME!$I$34</definedName>
    <definedName name="INC_LIHTCResidentPaidRent25">INCOME!$I$35</definedName>
    <definedName name="INC_LIHTCResidentPaidRent26">INCOME!$I$36</definedName>
    <definedName name="INC_LIHTCResidentPaidRent27">INCOME!$I$37</definedName>
    <definedName name="INC_LIHTCResidentPaidRent28">INCOME!$I$38</definedName>
    <definedName name="INC_LIHTCResidentPaidRent29">INCOME!$I$39</definedName>
    <definedName name="INC_LIHTCResidentPaidRent3">INCOME!$I$13</definedName>
    <definedName name="INC_LIHTCResidentPaidRent30">INCOME!$I$40</definedName>
    <definedName name="INC_LIHTCResidentPaidRent4">INCOME!$I$14</definedName>
    <definedName name="INC_LIHTCResidentPaidRent5">INCOME!$I$15</definedName>
    <definedName name="INC_LIHTCResidentPaidRent6">INCOME!$I$16</definedName>
    <definedName name="INC_LIHTCResidentPaidRent7">INCOME!$I$17</definedName>
    <definedName name="INC_LIHTCResidentPaidRent8">INCOME!$I$18</definedName>
    <definedName name="INC_LIHTCResidentPaidRent9">INCOME!$I$19</definedName>
    <definedName name="INC_LIHTCTenantUtilities1">INCOME!$H$11</definedName>
    <definedName name="INC_LIHTCTenantUtilities10">INCOME!$H$20</definedName>
    <definedName name="INC_LIHTCTenantUtilities11">INCOME!$H$21</definedName>
    <definedName name="INC_LIHTCTenantUtilities12">INCOME!$H$22</definedName>
    <definedName name="INC_LIHTCTenantUtilities13">INCOME!$H$23</definedName>
    <definedName name="INC_LIHTCTenantUtilities14">INCOME!$H$24</definedName>
    <definedName name="INC_LIHTCTenantUtilities15">INCOME!$H$25</definedName>
    <definedName name="INC_LIHTCTenantUtilities16">INCOME!$H$26</definedName>
    <definedName name="INC_LIHTCTenantUtilities17">INCOME!$H$27</definedName>
    <definedName name="INC_LIHTCTenantUtilities18">INCOME!$H$28</definedName>
    <definedName name="INC_LIHTCTenantUtilities19">INCOME!$H$29</definedName>
    <definedName name="INC_LIHTCTenantUtilities2">INCOME!$H$12</definedName>
    <definedName name="INC_LIHTCTenantUtilities20">INCOME!$H$30</definedName>
    <definedName name="INC_LIHTCTenantUtilities21">INCOME!$H$31</definedName>
    <definedName name="INC_LIHTCTenantUtilities22">INCOME!$H$32</definedName>
    <definedName name="INC_LIHTCTenantUtilities23">INCOME!$H$33</definedName>
    <definedName name="INC_LIHTCTenantUtilities24">INCOME!$H$34</definedName>
    <definedName name="INC_LIHTCTenantUtilities25">INCOME!$H$35</definedName>
    <definedName name="INC_LIHTCTenantUtilities26">INCOME!$H$36</definedName>
    <definedName name="INC_LIHTCTenantUtilities27">INCOME!$H$37</definedName>
    <definedName name="INC_LIHTCTenantUtilities28">INCOME!$H$38</definedName>
    <definedName name="INC_LIHTCTenantUtilities29">INCOME!$H$39</definedName>
    <definedName name="INC_LIHTCTenantUtilities3">INCOME!$H$13</definedName>
    <definedName name="INC_LIHTCTenantUtilities30">INCOME!$H$40</definedName>
    <definedName name="INC_LIHTCTenantUtilities4">INCOME!$H$14</definedName>
    <definedName name="INC_LIHTCTenantUtilities5">INCOME!$H$15</definedName>
    <definedName name="INC_LIHTCTenantUtilities6">INCOME!$H$16</definedName>
    <definedName name="INC_LIHTCTenantUtilities7">INCOME!$H$17</definedName>
    <definedName name="INC_LIHTCTenantUtilities8">INCOME!$H$18</definedName>
    <definedName name="INC_LIHTCTenantUtilities9">INCOME!$H$19</definedName>
    <definedName name="INC_LIHTCUnitSize1">INCOME!$G$11</definedName>
    <definedName name="INC_LIHTCUnitSize10">INCOME!$G$20</definedName>
    <definedName name="INC_LIHTCUnitSize11">INCOME!$G$21</definedName>
    <definedName name="INC_LIHTCUnitSize12">INCOME!$G$22</definedName>
    <definedName name="INC_LIHTCUnitSize13">INCOME!$G$23</definedName>
    <definedName name="INC_LIHTCUnitSize14">INCOME!$G$24</definedName>
    <definedName name="INC_LIHTCUnitSize15">INCOME!$G$25</definedName>
    <definedName name="INC_LIHTCUnitSize16">INCOME!$G$26</definedName>
    <definedName name="INC_LIHTCUnitSize17">INCOME!$G$27</definedName>
    <definedName name="INC_LIHTCUnitSize18">INCOME!$G$28</definedName>
    <definedName name="INC_LIHTCUnitSize19">INCOME!$G$29</definedName>
    <definedName name="INC_LIHTCUnitSize2">INCOME!$G$12</definedName>
    <definedName name="INC_LIHTCUnitSize20">INCOME!$G$30</definedName>
    <definedName name="INC_LIHTCUnitSize21">INCOME!$G$31</definedName>
    <definedName name="INC_LIHTCUnitSize22">INCOME!$G$32</definedName>
    <definedName name="INC_LIHTCUnitSize23">INCOME!$G$33</definedName>
    <definedName name="INC_LIHTCUnitSize24">INCOME!$G$34</definedName>
    <definedName name="INC_LIHTCUnitSize25">INCOME!$G$35</definedName>
    <definedName name="INC_LIHTCUnitSize26">INCOME!$G$36</definedName>
    <definedName name="INC_LIHTCUnitSize27">INCOME!$G$37</definedName>
    <definedName name="INC_LIHTCUnitSize28">INCOME!$G$38</definedName>
    <definedName name="INC_LIHTCUnitSize29">INCOME!$G$39</definedName>
    <definedName name="INC_LIHTCUnitSize3">INCOME!$G$13</definedName>
    <definedName name="INC_LIHTCUnitSize30">INCOME!$G$40</definedName>
    <definedName name="INC_LIHTCUnitSize4">INCOME!$G$14</definedName>
    <definedName name="INC_LIHTCUnitSize5">INCOME!$G$15</definedName>
    <definedName name="INC_LIHTCUnitSize6">INCOME!$G$16</definedName>
    <definedName name="INC_LIHTCUnitSize7">INCOME!$G$17</definedName>
    <definedName name="INC_LIHTCUnitSize8">INCOME!$G$18</definedName>
    <definedName name="INC_LIHTCUnitSize9">INCOME!$G$19</definedName>
    <definedName name="INC_LIHTCVacancyAllowance">INCOME!$I$42</definedName>
    <definedName name="INC_MiscIncome1Describe">INCOME!$E$72</definedName>
    <definedName name="INC_MiscIncome1MonthlyIncome">INCOME!$J$72</definedName>
    <definedName name="INC_MiscIncome1Squarefootage">INCOME!$I$72</definedName>
    <definedName name="INC_MiscIncome2Describe">INCOME!$E$73</definedName>
    <definedName name="INC_MiscIncome2MonthlyIncome">INCOME!$J$73</definedName>
    <definedName name="INC_MiscIncome2Squarefootage">INCOME!$I$73</definedName>
    <definedName name="INC_MKTBaths1">INCOME!$E$48</definedName>
    <definedName name="INC_MKTBaths10">INCOME!$E$57</definedName>
    <definedName name="INC_MKTBaths11">INCOME!$E$58</definedName>
    <definedName name="INC_MKTBaths2">INCOME!$E$49</definedName>
    <definedName name="INC_MKTBaths3">INCOME!$E$50</definedName>
    <definedName name="INC_MKTBaths4">INCOME!$E$51</definedName>
    <definedName name="INC_MKTBaths5">INCOME!$E$52</definedName>
    <definedName name="INC_MKTBaths6">INCOME!$E$53</definedName>
    <definedName name="INC_MKTBaths7">INCOME!$E$54</definedName>
    <definedName name="INC_MKTBaths8">INCOME!$E$55</definedName>
    <definedName name="INC_MKTBaths9">INCOME!$E$56</definedName>
    <definedName name="INC_MKTBedrooms1">INCOME!$D$48</definedName>
    <definedName name="INC_MKTBedrooms10">INCOME!$D$57</definedName>
    <definedName name="INC_MKTBedrooms11">INCOME!$D$58</definedName>
    <definedName name="INC_MKTBedrooms2">INCOME!$D$49</definedName>
    <definedName name="INC_MKTBedrooms3">INCOME!$D$50</definedName>
    <definedName name="INC_MKTBedrooms4">INCOME!$D$51</definedName>
    <definedName name="INC_MKTBedrooms5">INCOME!$D$52</definedName>
    <definedName name="INC_MKTBedrooms6">INCOME!$D$53</definedName>
    <definedName name="INC_MKTBedrooms7">INCOME!$D$54</definedName>
    <definedName name="INC_MKTBedrooms8">INCOME!$D$55</definedName>
    <definedName name="INC_MKTBedrooms9">INCOME!$D$56</definedName>
    <definedName name="INC_MKTNumberofUnits1">INCOME!$F$48</definedName>
    <definedName name="INC_MKTNumberofUnits10">INCOME!$F$57</definedName>
    <definedName name="INC_MKTNumberofUnits11">INCOME!$F$58</definedName>
    <definedName name="INC_MKTNumberofUnits2">INCOME!$F$49</definedName>
    <definedName name="INC_MKTNumberofUnits3">INCOME!$F$50</definedName>
    <definedName name="INC_MKTNumberofUnits4">INCOME!$F$51</definedName>
    <definedName name="INC_MKTNumberofUnits5">INCOME!$F$52</definedName>
    <definedName name="INC_MKTNumberofUnits6">INCOME!$F$53</definedName>
    <definedName name="INC_MKTNumberofUnits7">INCOME!$F$54</definedName>
    <definedName name="INC_MKTNumberofUnits8">INCOME!$F$55</definedName>
    <definedName name="INC_MKTNumberofUnits9">INCOME!$F$56</definedName>
    <definedName name="INC_MKTResidentPaidRent1">INCOME!$I$48</definedName>
    <definedName name="INC_MKTResidentPaidRent10">INCOME!$I$57</definedName>
    <definedName name="INC_MKTResidentPaidRent11">INCOME!$I$58</definedName>
    <definedName name="INC_MKTResidentPaidRent2">INCOME!$I$49</definedName>
    <definedName name="INC_MKTResidentPaidRent3">INCOME!$I$50</definedName>
    <definedName name="INC_MKTResidentPaidRent4">INCOME!$I$51</definedName>
    <definedName name="INC_MKTResidentPaidRent5">INCOME!$I$52</definedName>
    <definedName name="INC_MKTResidentPaidRent6">INCOME!$I$53</definedName>
    <definedName name="INC_MKTResidentPaidRent7">INCOME!$I$54</definedName>
    <definedName name="INC_MKTResidentPaidRent8">INCOME!$I$55</definedName>
    <definedName name="INC_MKTResidentPaidRent9">INCOME!$I$56</definedName>
    <definedName name="INC_MKTUnitSize1">INCOME!$G$48</definedName>
    <definedName name="INC_MKTUnitSize10">INCOME!$G$57</definedName>
    <definedName name="INC_MKTUnitSize11">INCOME!$G$58</definedName>
    <definedName name="INC_MKTUnitSize2">INCOME!$G$49</definedName>
    <definedName name="INC_MKTUnitSize3">INCOME!$G$50</definedName>
    <definedName name="INC_MKTUnitSize4">INCOME!$G$51</definedName>
    <definedName name="INC_MKTUnitSize5">INCOME!$G$52</definedName>
    <definedName name="INC_MKTUnitSize6">INCOME!$G$53</definedName>
    <definedName name="INC_MKTUnitSize7">INCOME!$G$54</definedName>
    <definedName name="INC_MKTUnitSize8">INCOME!$G$55</definedName>
    <definedName name="INC_MKTUnitSize9">INCOME!$G$56</definedName>
    <definedName name="INC_MKTVacancyAllowance">INCOME!$I$61</definedName>
    <definedName name="INC_NonIncDescription1">INCOME!$C$88</definedName>
    <definedName name="INC_NonIncDescription2">INCOME!$C$89</definedName>
    <definedName name="INC_NonIncDescription3">INCOME!$C$90</definedName>
    <definedName name="INC_NonIncDescription4">INCOME!$C$91</definedName>
    <definedName name="INC_NonIncDescription5">INCOME!$C$92</definedName>
    <definedName name="INC_NonIncNumberofUnits1">INCOME!$I$88</definedName>
    <definedName name="INC_NonIncNumberofUnits2">INCOME!$I$89</definedName>
    <definedName name="INC_NonIncNumberofUnits3">INCOME!$I$90</definedName>
    <definedName name="INC_NonIncNumberofUnits4">INCOME!$I$91</definedName>
    <definedName name="INC_NonIncNumberofUnits5">INCOME!$I$92</definedName>
    <definedName name="INC_NonIncSquareFootage1">INCOME!$J$88</definedName>
    <definedName name="INC_NonIncSquareFootage2">INCOME!$J$89</definedName>
    <definedName name="INC_NonIncSquareFootage3">INCOME!$J$90</definedName>
    <definedName name="INC_NonIncSquareFootage4">INCOME!$J$91</definedName>
    <definedName name="INC_NonIncSquareFootage5">INCOME!$J$92</definedName>
    <definedName name="INC_Other">INCOME!$G$67</definedName>
    <definedName name="INC_Other1Describe">INCOME!$E$74</definedName>
    <definedName name="INC_Other1MonthlyIncome">INCOME!$J$74</definedName>
    <definedName name="INC_Other1Squarefootage">INCOME!$I$74</definedName>
    <definedName name="INC_Other2Describe">INCOME!$E$75</definedName>
    <definedName name="INC_Other2MonthlyIncome">INCOME!$J$75</definedName>
    <definedName name="INC_Other2Squarefootage">INCOME!$I$75</definedName>
    <definedName name="INC_OtherDescribe">INCOME!$I$67</definedName>
    <definedName name="INC_VacancyAllowanceCommercialIncome">INCOME!$I$81</definedName>
    <definedName name="INC_VacancyAllowanceNonresidential">INCOME!$I$79</definedName>
    <definedName name="MAP_1">MAPPING!$A$6</definedName>
    <definedName name="MAP_10">MAPPING!$A$448</definedName>
    <definedName name="MAP_11">MAPPING!$A$502</definedName>
    <definedName name="MAP_12">MAPPING!$A$662</definedName>
    <definedName name="MAP_13">MAPPING!$A$739</definedName>
    <definedName name="MAP_14">MAPPING!$A$754</definedName>
    <definedName name="MAP_15">MAPPING!$A$766</definedName>
    <definedName name="MAP_16">MAPPING!$A$819</definedName>
    <definedName name="MAP_17">MAPPING!$A$949</definedName>
    <definedName name="MAP_18">MAPPING!$A$1035</definedName>
    <definedName name="MAP_2">MAPPING!$A$18</definedName>
    <definedName name="MAP_3">MAPPING!$A$63</definedName>
    <definedName name="MAP_4">MAPPING!$A$134</definedName>
    <definedName name="MAP_5">MAPPING!$A$169</definedName>
    <definedName name="MAP_6">MAPPING!$A$189</definedName>
    <definedName name="MAP_7">MAPPING!$A$293</definedName>
    <definedName name="MAP_8">MAPPING!$A$338</definedName>
    <definedName name="MAP_9">MAPPING!$A$383</definedName>
    <definedName name="PFM_DeferredDeveloperFee">'PRO FORMA'!$H$73</definedName>
    <definedName name="PFM_DeferredDeveloperFeeYR16">'PRO FORMA'!$J$73</definedName>
    <definedName name="PFM_DHCDLoans">'PRO FORMA'!$H$74</definedName>
    <definedName name="PFM_DHCDLoansYR16">'PRO FORMA'!$J$74</definedName>
    <definedName name="PFM_LocalGovt">'PRO FORMA'!$H$75</definedName>
    <definedName name="PFM_LocalGovtYR16">'PRO FORMA'!$J$75</definedName>
    <definedName name="PFM_RemainingCashFlow">'PRO FORMA'!$H$76</definedName>
    <definedName name="PFM_RemainingCashFlowYR16">'PRO FORMA'!$J$76</definedName>
    <definedName name="_xlnm.Print_Area" localSheetId="1">'202 Instructions'!$A$1:$C$237</definedName>
    <definedName name="_xlnm.Print_Area" localSheetId="4">BUILDING!$B$2:$Q$114</definedName>
    <definedName name="_xlnm.Print_Area" localSheetId="10">'CURR FIN &amp; ACQUISITION'!$C$2:$L$108</definedName>
    <definedName name="_xlnm.Print_Area" localSheetId="6">'DEV TEAM'!$B$2:$K$312</definedName>
    <definedName name="_xlnm.Print_Area" localSheetId="11">'DRAW SCHEDULE'!$A$1:$BK$223</definedName>
    <definedName name="_xlnm.Print_Area" localSheetId="14">EXPENSES!$B$2:$L$79</definedName>
    <definedName name="_xlnm.Print_Area" localSheetId="7">'FIN CAP'!$B$1:$H$87</definedName>
    <definedName name="_xlnm.Print_Area" localSheetId="23">'FINAL BUDGET'!$A$1:$H$180</definedName>
    <definedName name="_xlnm.Print_Area" localSheetId="2">GENERAL!$B$2:$M$202</definedName>
    <definedName name="_xlnm.Print_Area" localSheetId="13">INCOME!$B$2:$R$94</definedName>
    <definedName name="_xlnm.Print_Area" localSheetId="16">'INCOME TARGETING'!$B$2:$K$45</definedName>
    <definedName name="_xlnm.Print_Area" localSheetId="17">'LEV &amp; COST EFFECTIVENESS'!$B$2:$O$49</definedName>
    <definedName name="_xlnm.Print_Area" localSheetId="18">'SELF-SCORE'!$B$2:$H$59</definedName>
    <definedName name="_xlnm.Print_Area" localSheetId="8">SOURCES!$B$2:$S$79</definedName>
    <definedName name="_xlnm.Print_Area" localSheetId="5">SUMMARY!$B$2:$M$161</definedName>
    <definedName name="_xlnm.Print_Area" localSheetId="12">'TAX CREDIT'!$B$2:$O$229</definedName>
    <definedName name="_xlnm.Print_Area" localSheetId="9">USES!$B$2:$P$214</definedName>
    <definedName name="_xlnm.Print_Area" localSheetId="3">'VISUALS (Examples)'!$A$1:$X$53</definedName>
    <definedName name="_xlnm.Print_Titles" localSheetId="15">'PRO FORMA'!$C:$D,'PRO FORMA'!$1:$5</definedName>
    <definedName name="projname">GENERAL!$F$37</definedName>
    <definedName name="SD_133_B_1" localSheetId="0">MAPPING!$I$8</definedName>
    <definedName name="SD_138_B_1" localSheetId="0">MAPPING!$T$47</definedName>
    <definedName name="SD_161x1_102_B_0" localSheetId="0">MAPPING!$M$347</definedName>
    <definedName name="SD_161x1_119_B_0" localSheetId="0">MAPPING!$M$348</definedName>
    <definedName name="SD_161x1_127_B_0" localSheetId="0">MAPPING!$I$344</definedName>
    <definedName name="SD_161x1_129_B_0" localSheetId="0">MAPPING!$I$348</definedName>
    <definedName name="SD_161x1_130_B_0" localSheetId="0">MAPPING!$I$345</definedName>
    <definedName name="SD_161x1_131_B_0" localSheetId="0">MAPPING!$I$346</definedName>
    <definedName name="SD_161x1_132_B_0" localSheetId="0">MAPPING!$I$347</definedName>
    <definedName name="SD_161x1_136_B_0" localSheetId="0">MAPPING!$I$38</definedName>
    <definedName name="SD_161x1_154_B_0" localSheetId="0">MAPPING!$I$41</definedName>
    <definedName name="SD_161x1_155_B_0" localSheetId="0">MAPPING!$I$42</definedName>
    <definedName name="SD_161x1_156_B_0" localSheetId="0">MAPPING!$I$43</definedName>
    <definedName name="SD_161x1_157_B_0" localSheetId="0">MAPPING!$I$44</definedName>
    <definedName name="SD_161x1_158_B_0" localSheetId="0">MAPPING!$I$45</definedName>
    <definedName name="SD_161x1_159_B_0" localSheetId="0">MAPPING!$I$46</definedName>
    <definedName name="SD_161x1_160_B_0" localSheetId="0">MAPPING!$I$349</definedName>
    <definedName name="SD_161x1_161_B_0" localSheetId="0">MAPPING!$I$350</definedName>
    <definedName name="SD_161x1_17_B_0" localSheetId="0">MAPPING!$I$21</definedName>
    <definedName name="SD_161x1_19_B_0" localSheetId="0">MAPPING!$I$23</definedName>
    <definedName name="SD_161x1_21_B_0" localSheetId="0">MAPPING!$I$24</definedName>
    <definedName name="SD_161x1_26_B_0" localSheetId="0">MAPPING!$M$345</definedName>
    <definedName name="SD_161x1_28_B_0" localSheetId="0">MAPPING!$I$66</definedName>
    <definedName name="SD_161x1_2935x1_108_B_0" localSheetId="0">MAPPING!$AA$30</definedName>
    <definedName name="SD_161x1_2935x1_13_B_0" localSheetId="0">MAPPING!$AA$8</definedName>
    <definedName name="SD_161x1_2935x1_15_B_0" localSheetId="0">MAPPING!$AA$9</definedName>
    <definedName name="SD_161x1_2935x1_17_B_0" localSheetId="0">MAPPING!$AA$10</definedName>
    <definedName name="SD_161x1_2935x1_18_B_0" localSheetId="0">MAPPING!$AA$27</definedName>
    <definedName name="SD_161x1_2935x1_19_B_0" localSheetId="0">MAPPING!$AA$13</definedName>
    <definedName name="SD_161x1_2935x1_27_B_0" localSheetId="0">MAPPING!$AA$14</definedName>
    <definedName name="SD_161x1_2935x1_29_B_0" localSheetId="0">MAPPING!$AA$15</definedName>
    <definedName name="SD_161x1_2935x1_2951x1_107_B_0" localSheetId="0">MAPPING!$V$295</definedName>
    <definedName name="SD_161x1_2935x1_2951x1_109_B_1" localSheetId="0">MAPPING!$Q$295</definedName>
    <definedName name="SD_161x1_2935x1_2951x1_52_B_0" localSheetId="0">MAPPING!$T$295</definedName>
    <definedName name="SD_161x1_2935x1_2951x1_53_B_0" localSheetId="0">MAPPING!$U$295</definedName>
    <definedName name="SD_161x1_2935x1_2951x1_54_B_0" localSheetId="0">MAPPING!$Z$295</definedName>
    <definedName name="SD_161x1_2935x1_2951x1_57_B_0" localSheetId="0">MAPPING!$Y$295</definedName>
    <definedName name="SD_161x1_2935x1_2951x1_91_B_1" localSheetId="0">MAPPING!$R$295</definedName>
    <definedName name="SD_161x1_2935x1_2951x1_9600x1_100_B_0" localSheetId="0">MAPPING!$W$295</definedName>
    <definedName name="SD_161x1_2935x1_2951x1_9600x1_101_B_0" localSheetId="0">MAPPING!$X$295</definedName>
    <definedName name="SD_161x1_2935x1_2951x1_9600x1_436_B_1" localSheetId="0">MAPPING!$AA$295</definedName>
    <definedName name="SD_161x1_2935x1_2951x1_9600x1_437_B_1" localSheetId="0">MAPPING!$AB$295</definedName>
    <definedName name="SD_161x1_2935x1_2951x1_9600x1_438_B_1" localSheetId="0">MAPPING!$S$295</definedName>
    <definedName name="SD_161x1_2935x1_2951x10_107_B_0" localSheetId="0">MAPPING!$V$304</definedName>
    <definedName name="SD_161x1_2935x1_2951x10_109_B_1" localSheetId="0">MAPPING!$Q$304</definedName>
    <definedName name="SD_161x1_2935x1_2951x10_52_B_0" localSheetId="0">MAPPING!$T$304</definedName>
    <definedName name="SD_161x1_2935x1_2951x10_53_B_0" localSheetId="0">MAPPING!$U$304</definedName>
    <definedName name="SD_161x1_2935x1_2951x10_54_B_0" localSheetId="0">MAPPING!$Z$304</definedName>
    <definedName name="SD_161x1_2935x1_2951x10_57_B_0" localSheetId="0">MAPPING!$Y$304</definedName>
    <definedName name="SD_161x1_2935x1_2951x10_91_B_1" localSheetId="0">MAPPING!$R$304</definedName>
    <definedName name="SD_161x1_2935x1_2951x10_9600x1_100_B_0" localSheetId="0">MAPPING!$W$304</definedName>
    <definedName name="SD_161x1_2935x1_2951x10_9600x1_101_B_0" localSheetId="0">MAPPING!$X$304</definedName>
    <definedName name="SD_161x1_2935x1_2951x10_9600x1_436_B_1" localSheetId="0">MAPPING!$AA$304</definedName>
    <definedName name="SD_161x1_2935x1_2951x10_9600x1_437_B_1" localSheetId="0">MAPPING!$AB$304</definedName>
    <definedName name="SD_161x1_2935x1_2951x10_9600x1_438_B_1" localSheetId="0">MAPPING!$S$304</definedName>
    <definedName name="SD_161x1_2935x1_2951x11_107_B_0" localSheetId="0">MAPPING!$V$305</definedName>
    <definedName name="SD_161x1_2935x1_2951x11_109_B_1" localSheetId="0">MAPPING!$Q$305</definedName>
    <definedName name="SD_161x1_2935x1_2951x11_52_B_0" localSheetId="0">MAPPING!$T$305</definedName>
    <definedName name="SD_161x1_2935x1_2951x11_53_B_0" localSheetId="0">MAPPING!$U$305</definedName>
    <definedName name="SD_161x1_2935x1_2951x11_54_B_0" localSheetId="0">MAPPING!$Z$305</definedName>
    <definedName name="SD_161x1_2935x1_2951x11_57_B_0" localSheetId="0">MAPPING!$Y$305</definedName>
    <definedName name="SD_161x1_2935x1_2951x11_91_B_1" localSheetId="0">MAPPING!$R$305</definedName>
    <definedName name="SD_161x1_2935x1_2951x11_9600x1_100_B_0" localSheetId="0">MAPPING!$W$305</definedName>
    <definedName name="SD_161x1_2935x1_2951x11_9600x1_101_B_0" localSheetId="0">MAPPING!$X$305</definedName>
    <definedName name="SD_161x1_2935x1_2951x11_9600x1_436_B_1" localSheetId="0">MAPPING!$AA$305</definedName>
    <definedName name="SD_161x1_2935x1_2951x11_9600x1_437_B_1" localSheetId="0">MAPPING!$AB$305</definedName>
    <definedName name="SD_161x1_2935x1_2951x11_9600x1_438_B_1" localSheetId="0">MAPPING!$S$305</definedName>
    <definedName name="SD_161x1_2935x1_2951x12_107_B_0" localSheetId="0">MAPPING!$V$306</definedName>
    <definedName name="SD_161x1_2935x1_2951x12_109_B_1" localSheetId="0">MAPPING!$Q$306</definedName>
    <definedName name="SD_161x1_2935x1_2951x12_52_B_0" localSheetId="0">MAPPING!$T$306</definedName>
    <definedName name="SD_161x1_2935x1_2951x12_53_B_0" localSheetId="0">MAPPING!$U$306</definedName>
    <definedName name="SD_161x1_2935x1_2951x12_54_B_0" localSheetId="0">MAPPING!$Z$306</definedName>
    <definedName name="SD_161x1_2935x1_2951x12_57_B_0" localSheetId="0">MAPPING!$Y$306</definedName>
    <definedName name="SD_161x1_2935x1_2951x12_91_B_1" localSheetId="0">MAPPING!$R$306</definedName>
    <definedName name="SD_161x1_2935x1_2951x12_9600x1_100_B_0" localSheetId="0">MAPPING!$W$306</definedName>
    <definedName name="SD_161x1_2935x1_2951x12_9600x1_101_B_0" localSheetId="0">MAPPING!$X$306</definedName>
    <definedName name="SD_161x1_2935x1_2951x12_9600x1_436_B_1" localSheetId="0">MAPPING!$AA$306</definedName>
    <definedName name="SD_161x1_2935x1_2951x12_9600x1_437_B_1" localSheetId="0">MAPPING!$AB$306</definedName>
    <definedName name="SD_161x1_2935x1_2951x12_9600x1_438_B_1" localSheetId="0">MAPPING!$S$306</definedName>
    <definedName name="SD_161x1_2935x1_2951x13_107_B_0" localSheetId="0">MAPPING!$V$307</definedName>
    <definedName name="SD_161x1_2935x1_2951x13_109_B_1" localSheetId="0">MAPPING!$Q$307</definedName>
    <definedName name="SD_161x1_2935x1_2951x13_52_B_0" localSheetId="0">MAPPING!$T$307</definedName>
    <definedName name="SD_161x1_2935x1_2951x13_53_B_0" localSheetId="0">MAPPING!$U$307</definedName>
    <definedName name="SD_161x1_2935x1_2951x13_54_B_0" localSheetId="0">MAPPING!$Z$307</definedName>
    <definedName name="SD_161x1_2935x1_2951x13_57_B_0" localSheetId="0">MAPPING!$Y$307</definedName>
    <definedName name="SD_161x1_2935x1_2951x13_91_B_1" localSheetId="0">MAPPING!$R$307</definedName>
    <definedName name="SD_161x1_2935x1_2951x13_9600x1_100_B_0" localSheetId="0">MAPPING!$W$307</definedName>
    <definedName name="SD_161x1_2935x1_2951x13_9600x1_101_B_0" localSheetId="0">MAPPING!$X$307</definedName>
    <definedName name="SD_161x1_2935x1_2951x13_9600x1_436_B_1" localSheetId="0">MAPPING!$AA$307</definedName>
    <definedName name="SD_161x1_2935x1_2951x13_9600x1_437_B_1" localSheetId="0">MAPPING!$AB$307</definedName>
    <definedName name="SD_161x1_2935x1_2951x13_9600x1_438_B_1" localSheetId="0">MAPPING!$S$307</definedName>
    <definedName name="SD_161x1_2935x1_2951x14_107_B_0" localSheetId="0">MAPPING!$V$308</definedName>
    <definedName name="SD_161x1_2935x1_2951x14_109_B_1" localSheetId="0">MAPPING!$Q$308</definedName>
    <definedName name="SD_161x1_2935x1_2951x14_52_B_0" localSheetId="0">MAPPING!$T$308</definedName>
    <definedName name="SD_161x1_2935x1_2951x14_53_B_0" localSheetId="0">MAPPING!$U$308</definedName>
    <definedName name="SD_161x1_2935x1_2951x14_54_B_0" localSheetId="0">MAPPING!$Z$308</definedName>
    <definedName name="SD_161x1_2935x1_2951x14_57_B_0" localSheetId="0">MAPPING!$Y$308</definedName>
    <definedName name="SD_161x1_2935x1_2951x14_91_B_1" localSheetId="0">MAPPING!$R$308</definedName>
    <definedName name="SD_161x1_2935x1_2951x14_9600x1_100_B_0" localSheetId="0">MAPPING!$W$308</definedName>
    <definedName name="SD_161x1_2935x1_2951x14_9600x1_101_B_0" localSheetId="0">MAPPING!$X$308</definedName>
    <definedName name="SD_161x1_2935x1_2951x14_9600x1_436_B_1" localSheetId="0">MAPPING!$AA$308</definedName>
    <definedName name="SD_161x1_2935x1_2951x14_9600x1_437_B_1" localSheetId="0">MAPPING!$AB$308</definedName>
    <definedName name="SD_161x1_2935x1_2951x14_9600x1_438_B_1" localSheetId="0">MAPPING!$S$308</definedName>
    <definedName name="SD_161x1_2935x1_2951x15_107_B_0" localSheetId="0">MAPPING!$V$309</definedName>
    <definedName name="SD_161x1_2935x1_2951x15_109_B_1" localSheetId="0">MAPPING!$Q$309</definedName>
    <definedName name="SD_161x1_2935x1_2951x15_52_B_0" localSheetId="0">MAPPING!$T$309</definedName>
    <definedName name="SD_161x1_2935x1_2951x15_53_B_0" localSheetId="0">MAPPING!$U$309</definedName>
    <definedName name="SD_161x1_2935x1_2951x15_54_B_0" localSheetId="0">MAPPING!$Z$309</definedName>
    <definedName name="SD_161x1_2935x1_2951x15_57_B_0" localSheetId="0">MAPPING!$Y$309</definedName>
    <definedName name="SD_161x1_2935x1_2951x15_91_B_1" localSheetId="0">MAPPING!$R$309</definedName>
    <definedName name="SD_161x1_2935x1_2951x15_9600x1_100_B_0" localSheetId="0">MAPPING!$W$309</definedName>
    <definedName name="SD_161x1_2935x1_2951x15_9600x1_101_B_0" localSheetId="0">MAPPING!$X$309</definedName>
    <definedName name="SD_161x1_2935x1_2951x15_9600x1_436_B_1" localSheetId="0">MAPPING!$AA$309</definedName>
    <definedName name="SD_161x1_2935x1_2951x15_9600x1_437_B_1" localSheetId="0">MAPPING!$AB$309</definedName>
    <definedName name="SD_161x1_2935x1_2951x15_9600x1_438_B_1" localSheetId="0">MAPPING!$S$309</definedName>
    <definedName name="SD_161x1_2935x1_2951x16_107_B_0" localSheetId="0">MAPPING!$V$310</definedName>
    <definedName name="SD_161x1_2935x1_2951x16_109_B_1" localSheetId="0">MAPPING!$Q$310</definedName>
    <definedName name="SD_161x1_2935x1_2951x16_52_B_0" localSheetId="0">MAPPING!$T$310</definedName>
    <definedName name="SD_161x1_2935x1_2951x16_53_B_0" localSheetId="0">MAPPING!$U$310</definedName>
    <definedName name="SD_161x1_2935x1_2951x16_54_B_0" localSheetId="0">MAPPING!$Z$310</definedName>
    <definedName name="SD_161x1_2935x1_2951x16_57_B_0" localSheetId="0">MAPPING!$Y$310</definedName>
    <definedName name="SD_161x1_2935x1_2951x16_91_B_1" localSheetId="0">MAPPING!$R$310</definedName>
    <definedName name="SD_161x1_2935x1_2951x16_9600x1_100_B_0" localSheetId="0">MAPPING!$W$310</definedName>
    <definedName name="SD_161x1_2935x1_2951x16_9600x1_101_B_0" localSheetId="0">MAPPING!$X$310</definedName>
    <definedName name="SD_161x1_2935x1_2951x16_9600x1_436_B_1" localSheetId="0">MAPPING!$AA$310</definedName>
    <definedName name="SD_161x1_2935x1_2951x16_9600x1_437_B_1" localSheetId="0">MAPPING!$AB$310</definedName>
    <definedName name="SD_161x1_2935x1_2951x16_9600x1_438_B_1" localSheetId="0">MAPPING!$S$310</definedName>
    <definedName name="SD_161x1_2935x1_2951x17_107_B_0" localSheetId="0">MAPPING!$V$311</definedName>
    <definedName name="SD_161x1_2935x1_2951x17_109_B_1" localSheetId="0">MAPPING!$Q$311</definedName>
    <definedName name="SD_161x1_2935x1_2951x17_52_B_0" localSheetId="0">MAPPING!$T$311</definedName>
    <definedName name="SD_161x1_2935x1_2951x17_53_B_0" localSheetId="0">MAPPING!$U$311</definedName>
    <definedName name="SD_161x1_2935x1_2951x17_54_B_0" localSheetId="0">MAPPING!$Z$311</definedName>
    <definedName name="SD_161x1_2935x1_2951x17_57_B_0" localSheetId="0">MAPPING!$Y$311</definedName>
    <definedName name="SD_161x1_2935x1_2951x17_91_B_1" localSheetId="0">MAPPING!$R$311</definedName>
    <definedName name="SD_161x1_2935x1_2951x17_9600x1_100_B_0" localSheetId="0">MAPPING!$W$311</definedName>
    <definedName name="SD_161x1_2935x1_2951x17_9600x1_101_B_0" localSheetId="0">MAPPING!$X$311</definedName>
    <definedName name="SD_161x1_2935x1_2951x17_9600x1_436_B_1" localSheetId="0">MAPPING!$AA$311</definedName>
    <definedName name="SD_161x1_2935x1_2951x17_9600x1_437_B_1" localSheetId="0">MAPPING!$AB$311</definedName>
    <definedName name="SD_161x1_2935x1_2951x17_9600x1_438_B_1" localSheetId="0">MAPPING!$S$311</definedName>
    <definedName name="SD_161x1_2935x1_2951x18_107_B_0" localSheetId="0">MAPPING!$V$312</definedName>
    <definedName name="SD_161x1_2935x1_2951x18_109_B_1" localSheetId="0">MAPPING!$Q$312</definedName>
    <definedName name="SD_161x1_2935x1_2951x18_52_B_0" localSheetId="0">MAPPING!$T$312</definedName>
    <definedName name="SD_161x1_2935x1_2951x18_53_B_0" localSheetId="0">MAPPING!$U$312</definedName>
    <definedName name="SD_161x1_2935x1_2951x18_54_B_0" localSheetId="0">MAPPING!$Z$312</definedName>
    <definedName name="SD_161x1_2935x1_2951x18_57_B_0" localSheetId="0">MAPPING!$Y$312</definedName>
    <definedName name="SD_161x1_2935x1_2951x18_91_B_1" localSheetId="0">MAPPING!$R$312</definedName>
    <definedName name="SD_161x1_2935x1_2951x18_9600x1_100_B_0" localSheetId="0">MAPPING!$W$312</definedName>
    <definedName name="SD_161x1_2935x1_2951x18_9600x1_101_B_0" localSheetId="0">MAPPING!$X$312</definedName>
    <definedName name="SD_161x1_2935x1_2951x18_9600x1_436_B_1" localSheetId="0">MAPPING!$AA$312</definedName>
    <definedName name="SD_161x1_2935x1_2951x18_9600x1_437_B_1" localSheetId="0">MAPPING!$AB$312</definedName>
    <definedName name="SD_161x1_2935x1_2951x18_9600x1_438_B_1" localSheetId="0">MAPPING!$S$312</definedName>
    <definedName name="SD_161x1_2935x1_2951x19_107_B_0" localSheetId="0">MAPPING!$V$313</definedName>
    <definedName name="SD_161x1_2935x1_2951x19_109_B_1" localSheetId="0">MAPPING!$Q$313</definedName>
    <definedName name="SD_161x1_2935x1_2951x19_52_B_0" localSheetId="0">MAPPING!$T$313</definedName>
    <definedName name="SD_161x1_2935x1_2951x19_53_B_0" localSheetId="0">MAPPING!$U$313</definedName>
    <definedName name="SD_161x1_2935x1_2951x19_54_B_0" localSheetId="0">MAPPING!$Z$313</definedName>
    <definedName name="SD_161x1_2935x1_2951x19_57_B_0" localSheetId="0">MAPPING!$Y$313</definedName>
    <definedName name="SD_161x1_2935x1_2951x19_91_B_1" localSheetId="0">MAPPING!$R$313</definedName>
    <definedName name="SD_161x1_2935x1_2951x19_9600x1_100_B_0" localSheetId="0">MAPPING!$W$313</definedName>
    <definedName name="SD_161x1_2935x1_2951x19_9600x1_101_B_0" localSheetId="0">MAPPING!$X$313</definedName>
    <definedName name="SD_161x1_2935x1_2951x19_9600x1_436_B_1" localSheetId="0">MAPPING!$AA$313</definedName>
    <definedName name="SD_161x1_2935x1_2951x19_9600x1_437_B_1" localSheetId="0">MAPPING!$AB$313</definedName>
    <definedName name="SD_161x1_2935x1_2951x19_9600x1_438_B_1" localSheetId="0">MAPPING!$S$313</definedName>
    <definedName name="SD_161x1_2935x1_2951x2_107_B_0" localSheetId="0">MAPPING!$V$296</definedName>
    <definedName name="SD_161x1_2935x1_2951x2_109_B_1" localSheetId="0">MAPPING!$Q$296</definedName>
    <definedName name="SD_161x1_2935x1_2951x2_52_B_0" localSheetId="0">MAPPING!$T$296</definedName>
    <definedName name="SD_161x1_2935x1_2951x2_53_B_0" localSheetId="0">MAPPING!$U$296</definedName>
    <definedName name="SD_161x1_2935x1_2951x2_54_B_0" localSheetId="0">MAPPING!$Z$296</definedName>
    <definedName name="SD_161x1_2935x1_2951x2_57_B_0" localSheetId="0">MAPPING!$Y$296</definedName>
    <definedName name="SD_161x1_2935x1_2951x2_91_B_1" localSheetId="0">MAPPING!$R$296</definedName>
    <definedName name="SD_161x1_2935x1_2951x2_9600x1_100_B_0" localSheetId="0">MAPPING!$W$296</definedName>
    <definedName name="SD_161x1_2935x1_2951x2_9600x1_101_B_0" localSheetId="0">MAPPING!$X$296</definedName>
    <definedName name="SD_161x1_2935x1_2951x2_9600x1_436_B_1" localSheetId="0">MAPPING!$AA$296</definedName>
    <definedName name="SD_161x1_2935x1_2951x2_9600x1_437_B_1" localSheetId="0">MAPPING!$AB$296</definedName>
    <definedName name="SD_161x1_2935x1_2951x2_9600x1_438_B_1" localSheetId="0">MAPPING!$S$296</definedName>
    <definedName name="SD_161x1_2935x1_2951x20_107_B_0" localSheetId="0">MAPPING!$V$314</definedName>
    <definedName name="SD_161x1_2935x1_2951x20_109_B_1" localSheetId="0">MAPPING!$Q$314</definedName>
    <definedName name="SD_161x1_2935x1_2951x20_52_B_0" localSheetId="0">MAPPING!$T$314</definedName>
    <definedName name="SD_161x1_2935x1_2951x20_53_B_0" localSheetId="0">MAPPING!$U$314</definedName>
    <definedName name="SD_161x1_2935x1_2951x20_54_B_0" localSheetId="0">MAPPING!$Z$314</definedName>
    <definedName name="SD_161x1_2935x1_2951x20_57_B_0" localSheetId="0">MAPPING!$Y$314</definedName>
    <definedName name="SD_161x1_2935x1_2951x20_91_B_1" localSheetId="0">MAPPING!$R$314</definedName>
    <definedName name="SD_161x1_2935x1_2951x20_9600x1_100_B_0" localSheetId="0">MAPPING!$W$314</definedName>
    <definedName name="SD_161x1_2935x1_2951x20_9600x1_101_B_0" localSheetId="0">MAPPING!$X$314</definedName>
    <definedName name="SD_161x1_2935x1_2951x20_9600x1_436_B_1" localSheetId="0">MAPPING!$AA$314</definedName>
    <definedName name="SD_161x1_2935x1_2951x20_9600x1_437_B_1" localSheetId="0">MAPPING!$AB$314</definedName>
    <definedName name="SD_161x1_2935x1_2951x20_9600x1_438_B_1" localSheetId="0">MAPPING!$S$314</definedName>
    <definedName name="SD_161x1_2935x1_2951x21_107_B_0" localSheetId="0">MAPPING!$V$315</definedName>
    <definedName name="SD_161x1_2935x1_2951x21_109_B_1" localSheetId="0">MAPPING!$Q$315</definedName>
    <definedName name="SD_161x1_2935x1_2951x21_52_B_0" localSheetId="0">MAPPING!$T$315</definedName>
    <definedName name="SD_161x1_2935x1_2951x21_53_B_0" localSheetId="0">MAPPING!$U$315</definedName>
    <definedName name="SD_161x1_2935x1_2951x21_54_B_0" localSheetId="0">MAPPING!$Z$315</definedName>
    <definedName name="SD_161x1_2935x1_2951x21_57_B_0" localSheetId="0">MAPPING!$Y$315</definedName>
    <definedName name="SD_161x1_2935x1_2951x21_91_B_1" localSheetId="0">MAPPING!$R$315</definedName>
    <definedName name="SD_161x1_2935x1_2951x21_9600x1_100_B_0" localSheetId="0">MAPPING!$W$315</definedName>
    <definedName name="SD_161x1_2935x1_2951x21_9600x1_101_B_0" localSheetId="0">MAPPING!$X$315</definedName>
    <definedName name="SD_161x1_2935x1_2951x21_9600x1_436_B_1" localSheetId="0">MAPPING!$AA$315</definedName>
    <definedName name="SD_161x1_2935x1_2951x21_9600x1_437_B_1" localSheetId="0">MAPPING!$AB$315</definedName>
    <definedName name="SD_161x1_2935x1_2951x21_9600x1_438_B_1" localSheetId="0">MAPPING!$S$315</definedName>
    <definedName name="SD_161x1_2935x1_2951x22_107_B_0" localSheetId="0">MAPPING!$V$316</definedName>
    <definedName name="SD_161x1_2935x1_2951x22_109_B_1" localSheetId="0">MAPPING!$Q$316</definedName>
    <definedName name="SD_161x1_2935x1_2951x22_52_B_0" localSheetId="0">MAPPING!$T$316</definedName>
    <definedName name="SD_161x1_2935x1_2951x22_53_B_0" localSheetId="0">MAPPING!$U$316</definedName>
    <definedName name="SD_161x1_2935x1_2951x22_54_B_0" localSheetId="0">MAPPING!$Z$316</definedName>
    <definedName name="SD_161x1_2935x1_2951x22_57_B_0" localSheetId="0">MAPPING!$Y$316</definedName>
    <definedName name="SD_161x1_2935x1_2951x22_91_B_1" localSheetId="0">MAPPING!$R$316</definedName>
    <definedName name="SD_161x1_2935x1_2951x22_9600x1_100_B_0" localSheetId="0">MAPPING!$W$316</definedName>
    <definedName name="SD_161x1_2935x1_2951x22_9600x1_101_B_0" localSheetId="0">MAPPING!$X$316</definedName>
    <definedName name="SD_161x1_2935x1_2951x22_9600x1_436_B_1" localSheetId="0">MAPPING!$AA$316</definedName>
    <definedName name="SD_161x1_2935x1_2951x22_9600x1_437_B_1" localSheetId="0">MAPPING!$AB$316</definedName>
    <definedName name="SD_161x1_2935x1_2951x22_9600x1_438_B_1" localSheetId="0">MAPPING!$S$316</definedName>
    <definedName name="SD_161x1_2935x1_2951x23_107_B_0" localSheetId="0">MAPPING!$V$317</definedName>
    <definedName name="SD_161x1_2935x1_2951x23_109_B_1" localSheetId="0">MAPPING!$Q$317</definedName>
    <definedName name="SD_161x1_2935x1_2951x23_52_B_0" localSheetId="0">MAPPING!$T$317</definedName>
    <definedName name="SD_161x1_2935x1_2951x23_53_B_0" localSheetId="0">MAPPING!$U$317</definedName>
    <definedName name="SD_161x1_2935x1_2951x23_54_B_0" localSheetId="0">MAPPING!$Z$317</definedName>
    <definedName name="SD_161x1_2935x1_2951x23_57_B_0" localSheetId="0">MAPPING!$Y$317</definedName>
    <definedName name="SD_161x1_2935x1_2951x23_91_B_1" localSheetId="0">MAPPING!$R$317</definedName>
    <definedName name="SD_161x1_2935x1_2951x23_9600x1_100_B_0" localSheetId="0">MAPPING!$W$317</definedName>
    <definedName name="SD_161x1_2935x1_2951x23_9600x1_101_B_0" localSheetId="0">MAPPING!$X$317</definedName>
    <definedName name="SD_161x1_2935x1_2951x23_9600x1_436_B_1" localSheetId="0">MAPPING!$AA$317</definedName>
    <definedName name="SD_161x1_2935x1_2951x23_9600x1_437_B_1" localSheetId="0">MAPPING!$AB$317</definedName>
    <definedName name="SD_161x1_2935x1_2951x23_9600x1_438_B_1" localSheetId="0">MAPPING!$S$317</definedName>
    <definedName name="SD_161x1_2935x1_2951x24_107_B_0" localSheetId="0">MAPPING!$V$318</definedName>
    <definedName name="SD_161x1_2935x1_2951x24_109_B_1" localSheetId="0">MAPPING!$Q$318</definedName>
    <definedName name="SD_161x1_2935x1_2951x24_52_B_0" localSheetId="0">MAPPING!$T$318</definedName>
    <definedName name="SD_161x1_2935x1_2951x24_53_B_0" localSheetId="0">MAPPING!$U$318</definedName>
    <definedName name="SD_161x1_2935x1_2951x24_54_B_0" localSheetId="0">MAPPING!$Z$318</definedName>
    <definedName name="SD_161x1_2935x1_2951x24_57_B_0" localSheetId="0">MAPPING!$Y$318</definedName>
    <definedName name="SD_161x1_2935x1_2951x24_91_B_1" localSheetId="0">MAPPING!$R$318</definedName>
    <definedName name="SD_161x1_2935x1_2951x24_9600x1_100_B_0" localSheetId="0">MAPPING!$W$318</definedName>
    <definedName name="SD_161x1_2935x1_2951x24_9600x1_101_B_0" localSheetId="0">MAPPING!$X$318</definedName>
    <definedName name="SD_161x1_2935x1_2951x24_9600x1_436_B_1" localSheetId="0">MAPPING!$AA$318</definedName>
    <definedName name="SD_161x1_2935x1_2951x24_9600x1_437_B_1" localSheetId="0">MAPPING!$AB$318</definedName>
    <definedName name="SD_161x1_2935x1_2951x24_9600x1_438_B_1" localSheetId="0">MAPPING!$S$318</definedName>
    <definedName name="SD_161x1_2935x1_2951x25_107_B_0" localSheetId="0">MAPPING!$V$319</definedName>
    <definedName name="SD_161x1_2935x1_2951x25_109_B_1" localSheetId="0">MAPPING!$Q$319</definedName>
    <definedName name="SD_161x1_2935x1_2951x25_52_B_0" localSheetId="0">MAPPING!$T$319</definedName>
    <definedName name="SD_161x1_2935x1_2951x25_53_B_0" localSheetId="0">MAPPING!$U$319</definedName>
    <definedName name="SD_161x1_2935x1_2951x25_54_B_0" localSheetId="0">MAPPING!$Z$319</definedName>
    <definedName name="SD_161x1_2935x1_2951x25_57_B_0" localSheetId="0">MAPPING!$Y$319</definedName>
    <definedName name="SD_161x1_2935x1_2951x25_91_B_1" localSheetId="0">MAPPING!$R$319</definedName>
    <definedName name="SD_161x1_2935x1_2951x25_9600x1_100_B_0" localSheetId="0">MAPPING!$W$319</definedName>
    <definedName name="SD_161x1_2935x1_2951x25_9600x1_101_B_0" localSheetId="0">MAPPING!$X$319</definedName>
    <definedName name="SD_161x1_2935x1_2951x25_9600x1_436_B_1" localSheetId="0">MAPPING!$AA$319</definedName>
    <definedName name="SD_161x1_2935x1_2951x25_9600x1_437_B_1" localSheetId="0">MAPPING!$AB$319</definedName>
    <definedName name="SD_161x1_2935x1_2951x25_9600x1_438_B_1" localSheetId="0">MAPPING!$S$319</definedName>
    <definedName name="SD_161x1_2935x1_2951x26_107_B_0" localSheetId="0">MAPPING!$V$320</definedName>
    <definedName name="SD_161x1_2935x1_2951x26_109_B_1" localSheetId="0">MAPPING!$Q$320</definedName>
    <definedName name="SD_161x1_2935x1_2951x26_52_B_0" localSheetId="0">MAPPING!$T$320</definedName>
    <definedName name="SD_161x1_2935x1_2951x26_53_B_0" localSheetId="0">MAPPING!$U$320</definedName>
    <definedName name="SD_161x1_2935x1_2951x26_54_B_0" localSheetId="0">MAPPING!$Z$320</definedName>
    <definedName name="SD_161x1_2935x1_2951x26_57_B_0" localSheetId="0">MAPPING!$Y$320</definedName>
    <definedName name="SD_161x1_2935x1_2951x26_91_B_1" localSheetId="0">MAPPING!$R$320</definedName>
    <definedName name="SD_161x1_2935x1_2951x26_9600x1_100_B_0" localSheetId="0">MAPPING!$W$320</definedName>
    <definedName name="SD_161x1_2935x1_2951x26_9600x1_101_B_0" localSheetId="0">MAPPING!$X$320</definedName>
    <definedName name="SD_161x1_2935x1_2951x26_9600x1_436_B_1" localSheetId="0">MAPPING!$AA$320</definedName>
    <definedName name="SD_161x1_2935x1_2951x26_9600x1_437_B_1" localSheetId="0">MAPPING!$AB$320</definedName>
    <definedName name="SD_161x1_2935x1_2951x26_9600x1_438_B_1" localSheetId="0">MAPPING!$S$320</definedName>
    <definedName name="SD_161x1_2935x1_2951x27_107_B_0" localSheetId="0">MAPPING!$V$321</definedName>
    <definedName name="SD_161x1_2935x1_2951x27_109_B_1" localSheetId="0">MAPPING!$Q$321</definedName>
    <definedName name="SD_161x1_2935x1_2951x27_52_B_0" localSheetId="0">MAPPING!$T$321</definedName>
    <definedName name="SD_161x1_2935x1_2951x27_53_B_0" localSheetId="0">MAPPING!$U$321</definedName>
    <definedName name="SD_161x1_2935x1_2951x27_54_B_0" localSheetId="0">MAPPING!$Z$321</definedName>
    <definedName name="SD_161x1_2935x1_2951x27_57_B_0" localSheetId="0">MAPPING!$Y$321</definedName>
    <definedName name="SD_161x1_2935x1_2951x27_91_B_1" localSheetId="0">MAPPING!$R$321</definedName>
    <definedName name="SD_161x1_2935x1_2951x27_9600x1_100_B_0" localSheetId="0">MAPPING!$W$321</definedName>
    <definedName name="SD_161x1_2935x1_2951x27_9600x1_101_B_0" localSheetId="0">MAPPING!$X$321</definedName>
    <definedName name="SD_161x1_2935x1_2951x27_9600x1_436_B_1" localSheetId="0">MAPPING!$AA$321</definedName>
    <definedName name="SD_161x1_2935x1_2951x27_9600x1_437_B_1" localSheetId="0">MAPPING!$AB$321</definedName>
    <definedName name="SD_161x1_2935x1_2951x27_9600x1_438_B_1" localSheetId="0">MAPPING!$S$321</definedName>
    <definedName name="SD_161x1_2935x1_2951x28_107_B_0" localSheetId="0">MAPPING!$V$322</definedName>
    <definedName name="SD_161x1_2935x1_2951x28_109_B_1" localSheetId="0">MAPPING!$Q$322</definedName>
    <definedName name="SD_161x1_2935x1_2951x28_52_B_0" localSheetId="0">MAPPING!$T$322</definedName>
    <definedName name="SD_161x1_2935x1_2951x28_53_B_0" localSheetId="0">MAPPING!$U$322</definedName>
    <definedName name="SD_161x1_2935x1_2951x28_54_B_0" localSheetId="0">MAPPING!$Z$322</definedName>
    <definedName name="SD_161x1_2935x1_2951x28_57_B_0" localSheetId="0">MAPPING!$Y$322</definedName>
    <definedName name="SD_161x1_2935x1_2951x28_91_B_1" localSheetId="0">MAPPING!$R$322</definedName>
    <definedName name="SD_161x1_2935x1_2951x28_9600x1_100_B_0" localSheetId="0">MAPPING!$W$322</definedName>
    <definedName name="SD_161x1_2935x1_2951x28_9600x1_101_B_0" localSheetId="0">MAPPING!$X$322</definedName>
    <definedName name="SD_161x1_2935x1_2951x28_9600x1_436_B_1" localSheetId="0">MAPPING!$AA$322</definedName>
    <definedName name="SD_161x1_2935x1_2951x28_9600x1_437_B_1" localSheetId="0">MAPPING!$AB$322</definedName>
    <definedName name="SD_161x1_2935x1_2951x28_9600x1_438_B_1" localSheetId="0">MAPPING!$S$322</definedName>
    <definedName name="SD_161x1_2935x1_2951x29_107_B_0" localSheetId="0">MAPPING!$V$323</definedName>
    <definedName name="SD_161x1_2935x1_2951x29_109_B_1" localSheetId="0">MAPPING!$Q$323</definedName>
    <definedName name="SD_161x1_2935x1_2951x29_52_B_0" localSheetId="0">MAPPING!$T$323</definedName>
    <definedName name="SD_161x1_2935x1_2951x29_53_B_0" localSheetId="0">MAPPING!$U$323</definedName>
    <definedName name="SD_161x1_2935x1_2951x29_54_B_0" localSheetId="0">MAPPING!$Z$323</definedName>
    <definedName name="SD_161x1_2935x1_2951x29_57_B_0" localSheetId="0">MAPPING!$Y$323</definedName>
    <definedName name="SD_161x1_2935x1_2951x29_91_B_1" localSheetId="0">MAPPING!$R$323</definedName>
    <definedName name="SD_161x1_2935x1_2951x29_9600x1_100_B_0" localSheetId="0">MAPPING!$W$323</definedName>
    <definedName name="SD_161x1_2935x1_2951x29_9600x1_101_B_0" localSheetId="0">MAPPING!$X$323</definedName>
    <definedName name="SD_161x1_2935x1_2951x29_9600x1_436_B_1" localSheetId="0">MAPPING!$AA$323</definedName>
    <definedName name="SD_161x1_2935x1_2951x29_9600x1_437_B_1" localSheetId="0">MAPPING!$AB$323</definedName>
    <definedName name="SD_161x1_2935x1_2951x29_9600x1_438_B_1" localSheetId="0">MAPPING!$S$323</definedName>
    <definedName name="SD_161x1_2935x1_2951x3_107_B_0" localSheetId="0">MAPPING!$V$297</definedName>
    <definedName name="SD_161x1_2935x1_2951x3_109_B_1" localSheetId="0">MAPPING!$Q$297</definedName>
    <definedName name="SD_161x1_2935x1_2951x3_52_B_0" localSheetId="0">MAPPING!$T$297</definedName>
    <definedName name="SD_161x1_2935x1_2951x3_53_B_0" localSheetId="0">MAPPING!$U$297</definedName>
    <definedName name="SD_161x1_2935x1_2951x3_54_B_0" localSheetId="0">MAPPING!$Z$297</definedName>
    <definedName name="SD_161x1_2935x1_2951x3_57_B_0" localSheetId="0">MAPPING!$Y$297</definedName>
    <definedName name="SD_161x1_2935x1_2951x3_91_B_1" localSheetId="0">MAPPING!$R$297</definedName>
    <definedName name="SD_161x1_2935x1_2951x3_9600x1_100_B_0" localSheetId="0">MAPPING!$W$297</definedName>
    <definedName name="SD_161x1_2935x1_2951x3_9600x1_101_B_0" localSheetId="0">MAPPING!$X$297</definedName>
    <definedName name="SD_161x1_2935x1_2951x3_9600x1_436_B_1" localSheetId="0">MAPPING!$AA$297</definedName>
    <definedName name="SD_161x1_2935x1_2951x3_9600x1_437_B_1" localSheetId="0">MAPPING!$AB$297</definedName>
    <definedName name="SD_161x1_2935x1_2951x3_9600x1_438_B_1" localSheetId="0">MAPPING!$S$297</definedName>
    <definedName name="SD_161x1_2935x1_2951x30_107_B_0" localSheetId="0">MAPPING!$V$324</definedName>
    <definedName name="SD_161x1_2935x1_2951x30_109_B_1" localSheetId="0">MAPPING!$Q$324</definedName>
    <definedName name="SD_161x1_2935x1_2951x30_52_B_0" localSheetId="0">MAPPING!$T$324</definedName>
    <definedName name="SD_161x1_2935x1_2951x30_53_B_0" localSheetId="0">MAPPING!$U$324</definedName>
    <definedName name="SD_161x1_2935x1_2951x30_54_B_0" localSheetId="0">MAPPING!$Z$324</definedName>
    <definedName name="SD_161x1_2935x1_2951x30_57_B_0" localSheetId="0">MAPPING!$Y$324</definedName>
    <definedName name="SD_161x1_2935x1_2951x30_91_B_1" localSheetId="0">MAPPING!$R$324</definedName>
    <definedName name="SD_161x1_2935x1_2951x30_9600x1_100_B_0" localSheetId="0">MAPPING!$W$324</definedName>
    <definedName name="SD_161x1_2935x1_2951x30_9600x1_101_B_0" localSheetId="0">MAPPING!$X$324</definedName>
    <definedName name="SD_161x1_2935x1_2951x30_9600x1_436_B_1" localSheetId="0">MAPPING!$AA$324</definedName>
    <definedName name="SD_161x1_2935x1_2951x30_9600x1_437_B_1" localSheetId="0">MAPPING!$AB$324</definedName>
    <definedName name="SD_161x1_2935x1_2951x30_9600x1_438_B_1" localSheetId="0">MAPPING!$S$324</definedName>
    <definedName name="SD_161x1_2935x1_2951x31_109_B_1" localSheetId="0">MAPPING!$Q$325</definedName>
    <definedName name="SD_161x1_2935x1_2951x31_52_B_0" localSheetId="0">MAPPING!$T$325</definedName>
    <definedName name="SD_161x1_2935x1_2951x31_53_B_0" localSheetId="0">MAPPING!$U$325</definedName>
    <definedName name="SD_161x1_2935x1_2951x31_54_B_0" localSheetId="0">MAPPING!$Z$325</definedName>
    <definedName name="SD_161x1_2935x1_2951x31_91_B_1" localSheetId="0">MAPPING!$R$325</definedName>
    <definedName name="SD_161x1_2935x1_2951x31_9600x1_438_B_1" localSheetId="0">MAPPING!$S$325</definedName>
    <definedName name="SD_161x1_2935x1_2951x32_109_B_1" localSheetId="0">MAPPING!$Q$326</definedName>
    <definedName name="SD_161x1_2935x1_2951x32_52_B_0" localSheetId="0">MAPPING!$T$326</definedName>
    <definedName name="SD_161x1_2935x1_2951x32_53_B_0" localSheetId="0">MAPPING!$U$326</definedName>
    <definedName name="SD_161x1_2935x1_2951x32_54_B_0" localSheetId="0">MAPPING!$Z$326</definedName>
    <definedName name="SD_161x1_2935x1_2951x32_91_B_1" localSheetId="0">MAPPING!$R$326</definedName>
    <definedName name="SD_161x1_2935x1_2951x32_9600x1_438_B_1" localSheetId="0">MAPPING!$S$326</definedName>
    <definedName name="SD_161x1_2935x1_2951x33_109_B_1" localSheetId="0">MAPPING!$Q$327</definedName>
    <definedName name="SD_161x1_2935x1_2951x33_52_B_0" localSheetId="0">MAPPING!$T$327</definedName>
    <definedName name="SD_161x1_2935x1_2951x33_53_B_0" localSheetId="0">MAPPING!$U$327</definedName>
    <definedName name="SD_161x1_2935x1_2951x33_54_B_0" localSheetId="0">MAPPING!$Z$327</definedName>
    <definedName name="SD_161x1_2935x1_2951x33_91_B_1" localSheetId="0">MAPPING!$R$327</definedName>
    <definedName name="SD_161x1_2935x1_2951x33_9600x1_438_B_1" localSheetId="0">MAPPING!$S$327</definedName>
    <definedName name="SD_161x1_2935x1_2951x34_109_B_1" localSheetId="0">MAPPING!$Q$328</definedName>
    <definedName name="SD_161x1_2935x1_2951x34_52_B_0" localSheetId="0">MAPPING!$T$328</definedName>
    <definedName name="SD_161x1_2935x1_2951x34_53_B_0" localSheetId="0">MAPPING!$U$328</definedName>
    <definedName name="SD_161x1_2935x1_2951x34_54_B_0" localSheetId="0">MAPPING!$Z$328</definedName>
    <definedName name="SD_161x1_2935x1_2951x34_91_B_1" localSheetId="0">MAPPING!$R$328</definedName>
    <definedName name="SD_161x1_2935x1_2951x34_9600x1_438_B_1" localSheetId="0">MAPPING!$S$328</definedName>
    <definedName name="SD_161x1_2935x1_2951x35_109_B_1" localSheetId="0">MAPPING!$Q$329</definedName>
    <definedName name="SD_161x1_2935x1_2951x35_52_B_0" localSheetId="0">MAPPING!$T$329</definedName>
    <definedName name="SD_161x1_2935x1_2951x35_53_B_0" localSheetId="0">MAPPING!$U$329</definedName>
    <definedName name="SD_161x1_2935x1_2951x35_54_B_0" localSheetId="0">MAPPING!$Z$329</definedName>
    <definedName name="SD_161x1_2935x1_2951x35_91_B_1" localSheetId="0">MAPPING!$R$329</definedName>
    <definedName name="SD_161x1_2935x1_2951x35_9600x1_438_B_1" localSheetId="0">MAPPING!$S$329</definedName>
    <definedName name="SD_161x1_2935x1_2951x36_109_B_1" localSheetId="0">MAPPING!$Q$330</definedName>
    <definedName name="SD_161x1_2935x1_2951x36_52_B_0" localSheetId="0">MAPPING!$T$330</definedName>
    <definedName name="SD_161x1_2935x1_2951x36_53_B_0" localSheetId="0">MAPPING!$U$330</definedName>
    <definedName name="SD_161x1_2935x1_2951x36_54_B_0" localSheetId="0">MAPPING!$Z$330</definedName>
    <definedName name="SD_161x1_2935x1_2951x36_91_B_1" localSheetId="0">MAPPING!$R$330</definedName>
    <definedName name="SD_161x1_2935x1_2951x36_9600x1_438_B_1" localSheetId="0">MAPPING!$S$330</definedName>
    <definedName name="SD_161x1_2935x1_2951x37_109_B_1" localSheetId="0">MAPPING!$Q$331</definedName>
    <definedName name="SD_161x1_2935x1_2951x37_52_B_0" localSheetId="0">MAPPING!$T$331</definedName>
    <definedName name="SD_161x1_2935x1_2951x37_53_B_0" localSheetId="0">MAPPING!$U$331</definedName>
    <definedName name="SD_161x1_2935x1_2951x37_54_B_0" localSheetId="0">MAPPING!$Z$331</definedName>
    <definedName name="SD_161x1_2935x1_2951x37_91_B_1" localSheetId="0">MAPPING!$R$331</definedName>
    <definedName name="SD_161x1_2935x1_2951x37_9600x1_438_B_1" localSheetId="0">MAPPING!$S$331</definedName>
    <definedName name="SD_161x1_2935x1_2951x38_109_B_1" localSheetId="0">MAPPING!$Q$332</definedName>
    <definedName name="SD_161x1_2935x1_2951x38_52_B_0" localSheetId="0">MAPPING!$T$332</definedName>
    <definedName name="SD_161x1_2935x1_2951x38_53_B_0" localSheetId="0">MAPPING!$U$332</definedName>
    <definedName name="SD_161x1_2935x1_2951x38_54_B_0" localSheetId="0">MAPPING!$Z$332</definedName>
    <definedName name="SD_161x1_2935x1_2951x38_91_B_1" localSheetId="0">MAPPING!$R$332</definedName>
    <definedName name="SD_161x1_2935x1_2951x38_9600x1_438_B_1" localSheetId="0">MAPPING!$S$332</definedName>
    <definedName name="SD_161x1_2935x1_2951x39_109_B_1" localSheetId="0">MAPPING!$Q$333</definedName>
    <definedName name="SD_161x1_2935x1_2951x39_52_B_0" localSheetId="0">MAPPING!$T$333</definedName>
    <definedName name="SD_161x1_2935x1_2951x39_53_B_0" localSheetId="0">MAPPING!$U$333</definedName>
    <definedName name="SD_161x1_2935x1_2951x39_54_B_0" localSheetId="0">MAPPING!$Z$333</definedName>
    <definedName name="SD_161x1_2935x1_2951x39_91_B_1" localSheetId="0">MAPPING!$R$333</definedName>
    <definedName name="SD_161x1_2935x1_2951x39_9600x1_438_B_1" localSheetId="0">MAPPING!$S$333</definedName>
    <definedName name="SD_161x1_2935x1_2951x4_107_B_0" localSheetId="0">MAPPING!$V$298</definedName>
    <definedName name="SD_161x1_2935x1_2951x4_109_B_1" localSheetId="0">MAPPING!$Q$298</definedName>
    <definedName name="SD_161x1_2935x1_2951x4_52_B_0" localSheetId="0">MAPPING!$T$298</definedName>
    <definedName name="SD_161x1_2935x1_2951x4_53_B_0" localSheetId="0">MAPPING!$U$298</definedName>
    <definedName name="SD_161x1_2935x1_2951x4_54_B_0" localSheetId="0">MAPPING!$Z$298</definedName>
    <definedName name="SD_161x1_2935x1_2951x4_57_B_0" localSheetId="0">MAPPING!$Y$298</definedName>
    <definedName name="SD_161x1_2935x1_2951x4_91_B_1" localSheetId="0">MAPPING!$R$298</definedName>
    <definedName name="SD_161x1_2935x1_2951x4_9600x1_100_B_0" localSheetId="0">MAPPING!$W$298</definedName>
    <definedName name="SD_161x1_2935x1_2951x4_9600x1_101_B_0" localSheetId="0">MAPPING!$X$298</definedName>
    <definedName name="SD_161x1_2935x1_2951x4_9600x1_436_B_1" localSheetId="0">MAPPING!$AA$298</definedName>
    <definedName name="SD_161x1_2935x1_2951x4_9600x1_437_B_1" localSheetId="0">MAPPING!$AB$298</definedName>
    <definedName name="SD_161x1_2935x1_2951x4_9600x1_438_B_1" localSheetId="0">MAPPING!$S$298</definedName>
    <definedName name="SD_161x1_2935x1_2951x40_109_B_1" localSheetId="0">MAPPING!$Q$334</definedName>
    <definedName name="SD_161x1_2935x1_2951x40_52_B_0" localSheetId="0">MAPPING!$T$334</definedName>
    <definedName name="SD_161x1_2935x1_2951x40_53_B_0" localSheetId="0">MAPPING!$U$334</definedName>
    <definedName name="SD_161x1_2935x1_2951x40_54_B_0" localSheetId="0">MAPPING!$Z$334</definedName>
    <definedName name="SD_161x1_2935x1_2951x40_91_B_1" localSheetId="0">MAPPING!$R$334</definedName>
    <definedName name="SD_161x1_2935x1_2951x40_9600x1_438_B_1" localSheetId="0">MAPPING!$S$334</definedName>
    <definedName name="SD_161x1_2935x1_2951x41_109_B_1" localSheetId="0">MAPPING!$Q$335</definedName>
    <definedName name="SD_161x1_2935x1_2951x41_52_B_0" localSheetId="0">MAPPING!$T$335</definedName>
    <definedName name="SD_161x1_2935x1_2951x41_53_B_0" localSheetId="0">MAPPING!$U$335</definedName>
    <definedName name="SD_161x1_2935x1_2951x41_54_B_0" localSheetId="0">MAPPING!$Z$335</definedName>
    <definedName name="SD_161x1_2935x1_2951x41_91_B_1" localSheetId="0">MAPPING!$R$335</definedName>
    <definedName name="SD_161x1_2935x1_2951x41_9600x1_438_B_1" localSheetId="0">MAPPING!$S$335</definedName>
    <definedName name="SD_161x1_2935x1_2951x5_107_B_0" localSheetId="0">MAPPING!$V$299</definedName>
    <definedName name="SD_161x1_2935x1_2951x5_109_B_1" localSheetId="0">MAPPING!$Q$299</definedName>
    <definedName name="SD_161x1_2935x1_2951x5_52_B_0" localSheetId="0">MAPPING!$T$299</definedName>
    <definedName name="SD_161x1_2935x1_2951x5_53_B_0" localSheetId="0">MAPPING!$U$299</definedName>
    <definedName name="SD_161x1_2935x1_2951x5_54_B_0" localSheetId="0">MAPPING!$Z$299</definedName>
    <definedName name="SD_161x1_2935x1_2951x5_57_B_0" localSheetId="0">MAPPING!$Y$299</definedName>
    <definedName name="SD_161x1_2935x1_2951x5_91_B_1" localSheetId="0">MAPPING!$R$299</definedName>
    <definedName name="SD_161x1_2935x1_2951x5_9600x1_100_B_0" localSheetId="0">MAPPING!$W$299</definedName>
    <definedName name="SD_161x1_2935x1_2951x5_9600x1_101_B_0" localSheetId="0">MAPPING!$X$299</definedName>
    <definedName name="SD_161x1_2935x1_2951x5_9600x1_436_B_1" localSheetId="0">MAPPING!$AA$299</definedName>
    <definedName name="SD_161x1_2935x1_2951x5_9600x1_437_B_1" localSheetId="0">MAPPING!$AB$299</definedName>
    <definedName name="SD_161x1_2935x1_2951x5_9600x1_438_B_1" localSheetId="0">MAPPING!$S$299</definedName>
    <definedName name="SD_161x1_2935x1_2951x6_107_B_0" localSheetId="0">MAPPING!$V$300</definedName>
    <definedName name="SD_161x1_2935x1_2951x6_109_B_1" localSheetId="0">MAPPING!$Q$300</definedName>
    <definedName name="SD_161x1_2935x1_2951x6_52_B_0" localSheetId="0">MAPPING!$T$300</definedName>
    <definedName name="SD_161x1_2935x1_2951x6_53_B_0" localSheetId="0">MAPPING!$U$300</definedName>
    <definedName name="SD_161x1_2935x1_2951x6_54_B_0" localSheetId="0">MAPPING!$Z$300</definedName>
    <definedName name="SD_161x1_2935x1_2951x6_57_B_0" localSheetId="0">MAPPING!$Y$300</definedName>
    <definedName name="SD_161x1_2935x1_2951x6_91_B_1" localSheetId="0">MAPPING!$R$300</definedName>
    <definedName name="SD_161x1_2935x1_2951x6_9600x1_100_B_0" localSheetId="0">MAPPING!$W$300</definedName>
    <definedName name="SD_161x1_2935x1_2951x6_9600x1_101_B_0" localSheetId="0">MAPPING!$X$300</definedName>
    <definedName name="SD_161x1_2935x1_2951x6_9600x1_436_B_1" localSheetId="0">MAPPING!$AA$300</definedName>
    <definedName name="SD_161x1_2935x1_2951x6_9600x1_437_B_1" localSheetId="0">MAPPING!$AB$300</definedName>
    <definedName name="SD_161x1_2935x1_2951x6_9600x1_438_B_1" localSheetId="0">MAPPING!$S$300</definedName>
    <definedName name="SD_161x1_2935x1_2951x7_107_B_0" localSheetId="0">MAPPING!$V$301</definedName>
    <definedName name="SD_161x1_2935x1_2951x7_109_B_1" localSheetId="0">MAPPING!$Q$301</definedName>
    <definedName name="SD_161x1_2935x1_2951x7_52_B_0" localSheetId="0">MAPPING!$T$301</definedName>
    <definedName name="SD_161x1_2935x1_2951x7_53_B_0" localSheetId="0">MAPPING!$U$301</definedName>
    <definedName name="SD_161x1_2935x1_2951x7_54_B_0" localSheetId="0">MAPPING!$Z$301</definedName>
    <definedName name="SD_161x1_2935x1_2951x7_57_B_0" localSheetId="0">MAPPING!$Y$301</definedName>
    <definedName name="SD_161x1_2935x1_2951x7_91_B_1" localSheetId="0">MAPPING!$R$301</definedName>
    <definedName name="SD_161x1_2935x1_2951x7_9600x1_100_B_0" localSheetId="0">MAPPING!$W$301</definedName>
    <definedName name="SD_161x1_2935x1_2951x7_9600x1_101_B_0" localSheetId="0">MAPPING!$X$301</definedName>
    <definedName name="SD_161x1_2935x1_2951x7_9600x1_436_B_1" localSheetId="0">MAPPING!$AA$301</definedName>
    <definedName name="SD_161x1_2935x1_2951x7_9600x1_437_B_1" localSheetId="0">MAPPING!$AB$301</definedName>
    <definedName name="SD_161x1_2935x1_2951x7_9600x1_438_B_1" localSheetId="0">MAPPING!$S$301</definedName>
    <definedName name="SD_161x1_2935x1_2951x8_107_B_0" localSheetId="0">MAPPING!$V$302</definedName>
    <definedName name="SD_161x1_2935x1_2951x8_109_B_1" localSheetId="0">MAPPING!$Q$302</definedName>
    <definedName name="SD_161x1_2935x1_2951x8_52_B_0" localSheetId="0">MAPPING!$T$302</definedName>
    <definedName name="SD_161x1_2935x1_2951x8_53_B_0" localSheetId="0">MAPPING!$U$302</definedName>
    <definedName name="SD_161x1_2935x1_2951x8_54_B_0" localSheetId="0">MAPPING!$Z$302</definedName>
    <definedName name="SD_161x1_2935x1_2951x8_57_B_0" localSheetId="0">MAPPING!$Y$302</definedName>
    <definedName name="SD_161x1_2935x1_2951x8_91_B_1" localSheetId="0">MAPPING!$R$302</definedName>
    <definedName name="SD_161x1_2935x1_2951x8_9600x1_100_B_0" localSheetId="0">MAPPING!$W$302</definedName>
    <definedName name="SD_161x1_2935x1_2951x8_9600x1_101_B_0" localSheetId="0">MAPPING!$X$302</definedName>
    <definedName name="SD_161x1_2935x1_2951x8_9600x1_436_B_1" localSheetId="0">MAPPING!$AA$302</definedName>
    <definedName name="SD_161x1_2935x1_2951x8_9600x1_437_B_1" localSheetId="0">MAPPING!$AB$302</definedName>
    <definedName name="SD_161x1_2935x1_2951x8_9600x1_438_B_1" localSheetId="0">MAPPING!$S$302</definedName>
    <definedName name="SD_161x1_2935x1_2951x9_107_B_0" localSheetId="0">MAPPING!$V$303</definedName>
    <definedName name="SD_161x1_2935x1_2951x9_109_B_1" localSheetId="0">MAPPING!$Q$303</definedName>
    <definedName name="SD_161x1_2935x1_2951x9_52_B_0" localSheetId="0">MAPPING!$T$303</definedName>
    <definedName name="SD_161x1_2935x1_2951x9_53_B_0" localSheetId="0">MAPPING!$U$303</definedName>
    <definedName name="SD_161x1_2935x1_2951x9_54_B_0" localSheetId="0">MAPPING!$Z$303</definedName>
    <definedName name="SD_161x1_2935x1_2951x9_57_B_0" localSheetId="0">MAPPING!$Y$303</definedName>
    <definedName name="SD_161x1_2935x1_2951x9_91_B_1" localSheetId="0">MAPPING!$R$303</definedName>
    <definedName name="SD_161x1_2935x1_2951x9_9600x1_100_B_0" localSheetId="0">MAPPING!$W$303</definedName>
    <definedName name="SD_161x1_2935x1_2951x9_9600x1_101_B_0" localSheetId="0">MAPPING!$X$303</definedName>
    <definedName name="SD_161x1_2935x1_2951x9_9600x1_436_B_1" localSheetId="0">MAPPING!$AA$303</definedName>
    <definedName name="SD_161x1_2935x1_2951x9_9600x1_437_B_1" localSheetId="0">MAPPING!$AB$303</definedName>
    <definedName name="SD_161x1_2935x1_2951x9_9600x1_438_B_1" localSheetId="0">MAPPING!$S$303</definedName>
    <definedName name="SD_161x1_2935x1_30_B_0" localSheetId="0">MAPPING!$AA$17</definedName>
    <definedName name="SD_161x1_2935x1_31_B_0" localSheetId="0">MAPPING!$AA$16</definedName>
    <definedName name="SD_161x1_2935x1_32_B_0" localSheetId="0">MAPPING!$AA$18</definedName>
    <definedName name="SD_161x1_2935x1_54_B_0" localSheetId="0">MAPPING!$AA$12</definedName>
    <definedName name="SD_161x1_2935x1_56_B_0" localSheetId="0">MAPPING!$AA$19</definedName>
    <definedName name="SD_161x1_2935x1_57_B_0" localSheetId="0">MAPPING!$AA$20</definedName>
    <definedName name="SD_161x1_2935x1_58_B_0" localSheetId="0">MAPPING!$AA$21</definedName>
    <definedName name="SD_161x1_2935x1_59_B_0" localSheetId="0">MAPPING!$AA$22</definedName>
    <definedName name="SD_161x1_2935x1_60_B_0" localSheetId="0">MAPPING!$AA$23</definedName>
    <definedName name="SD_161x1_2935x1_61_B_0" localSheetId="0">MAPPING!$AA$24</definedName>
    <definedName name="SD_161x1_2935x1_62_B_0" localSheetId="0">MAPPING!$AA$25</definedName>
    <definedName name="SD_161x1_2935x1_63_B_0" localSheetId="0">MAPPING!$AA$26</definedName>
    <definedName name="SD_161x1_2935x1_86_B_1" localSheetId="0">MAPPING!$AA$28</definedName>
    <definedName name="SD_161x1_2935x1_87_B_1" localSheetId="0">MAPPING!$AA$11</definedName>
    <definedName name="SD_161x1_2935x1_94_B_0" localSheetId="0">MAPPING!$AA$29</definedName>
    <definedName name="SD_161x1_36_B_0" localSheetId="0">MAPPING!$M$346</definedName>
    <definedName name="SD_161x1_41_B_0" localSheetId="0">MAPPING!$T$73</definedName>
    <definedName name="SD_161x1_5330x1_127_B_1" localSheetId="0">MAPPING!$I$25</definedName>
    <definedName name="SD_161x1_5330x1_128_B_1" localSheetId="0">MAPPING!$I$29</definedName>
    <definedName name="SD_161x1_5330x1_159_B_1" localSheetId="0">MAPPING!$I$33</definedName>
    <definedName name="SD_161x1_5330x1_160_B_1" localSheetId="0">MAPPING!$I$34</definedName>
    <definedName name="SD_161x1_5330x1_161_B_1" localSheetId="0">MAPPING!$I$35</definedName>
    <definedName name="SD_161x1_5330x1_162_B_1" localSheetId="0">MAPPING!$I$36</definedName>
    <definedName name="SD_161x1_5330x1_163_B_1" localSheetId="0">MAPPING!$I$37</definedName>
    <definedName name="SD_161x1_5330x1_164_B_1" localSheetId="0">MAPPING!$I$39</definedName>
    <definedName name="SD_161x1_5330x1_165_B_1" localSheetId="0">MAPPING!$I$40</definedName>
    <definedName name="SD_161x1_5330x1_166_B_0" localSheetId="0">MAPPING!$I$356</definedName>
    <definedName name="SD_161x1_5330x1_167_B_0" localSheetId="0">MAPPING!$I$357</definedName>
    <definedName name="SD_161x1_5330x1_168_B_0" localSheetId="0">MAPPING!$I$358</definedName>
    <definedName name="SD_161x1_5330x1_169_B_0" localSheetId="0">MAPPING!$I$359</definedName>
    <definedName name="SD_161x1_5330x1_170_B_0" localSheetId="0">MAPPING!$I$361</definedName>
    <definedName name="SD_161x1_5330x1_171_B_0" localSheetId="0">MAPPING!$I$362</definedName>
    <definedName name="SD_161x1_5330x1_172_B_0" localSheetId="0">MAPPING!$I$363</definedName>
    <definedName name="SD_161x1_5330x1_173_B_0" localSheetId="0">MAPPING!$I$364</definedName>
    <definedName name="SD_161x1_5330x1_174_B_0" localSheetId="0">MAPPING!$I$365</definedName>
    <definedName name="SD_161x1_5330x1_177_B_0" localSheetId="0">MAPPING!$I$72</definedName>
    <definedName name="SD_161x1_5330x1_178_B_0" localSheetId="0">MAPPING!$I$73</definedName>
    <definedName name="SD_161x1_5330x1_179_B_0" localSheetId="0">MAPPING!$I$74</definedName>
    <definedName name="SD_161x1_5330x1_180_B_0" localSheetId="0">MAPPING!$I$76</definedName>
    <definedName name="SD_161x1_5330x1_181_B_0" localSheetId="0">MAPPING!$I$77</definedName>
    <definedName name="SD_161x1_5330x1_182_B_0" localSheetId="0">MAPPING!$I$78</definedName>
    <definedName name="SD_161x1_5330x1_183_B_0" localSheetId="0">MAPPING!$I$79</definedName>
    <definedName name="SD_161x1_5330x1_184_B_0" localSheetId="0">MAPPING!$I$80</definedName>
    <definedName name="SD_161x1_5330x1_185_B_0" localSheetId="0">MAPPING!$I$81</definedName>
    <definedName name="SD_161x1_5330x1_186_B_0" localSheetId="0">MAPPING!$I$82</definedName>
    <definedName name="SD_161x1_5330x1_187_B_0" localSheetId="0">MAPPING!$I$83</definedName>
    <definedName name="SD_161x1_5330x1_188_B_0" localSheetId="0">MAPPING!$I$84</definedName>
    <definedName name="SD_161x1_5330x1_189_B_0" localSheetId="0">MAPPING!$I$85</definedName>
    <definedName name="SD_161x1_5330x1_190_B_0" localSheetId="0">MAPPING!$I$86</definedName>
    <definedName name="SD_161x1_5330x1_191_B_0" localSheetId="0">MAPPING!$I$87</definedName>
    <definedName name="SD_161x1_5330x1_192_B_0" localSheetId="0">MAPPING!$I$88</definedName>
    <definedName name="SD_161x1_5330x1_193_B_0" localSheetId="0">MAPPING!$I$89</definedName>
    <definedName name="SD_161x1_5330x1_222_B_1" localSheetId="0">MAPPING!$I$32</definedName>
    <definedName name="SD_161x1_5330x1_223_B_1" localSheetId="0">MAPPING!$I$67</definedName>
    <definedName name="SD_161x1_5330x1_224_B_1" localSheetId="0">MAPPING!$I$68</definedName>
    <definedName name="SD_161x1_5330x1_225_B_1" localSheetId="0">MAPPING!$I$69</definedName>
    <definedName name="SD_161x1_5330x1_228_B_0" localSheetId="0">MAPPING!$I$355</definedName>
    <definedName name="SD_161x1_5330x1_229_B_0" localSheetId="0">MAPPING!$I$360</definedName>
    <definedName name="SD_161x1_5330x1_230_B_0" localSheetId="0">MAPPING!$I$351</definedName>
    <definedName name="SD_161x1_5330x1_231_B_0" localSheetId="0">MAPPING!$I$352</definedName>
    <definedName name="SD_161x1_5330x1_232_B_0" localSheetId="0">MAPPING!$I$353</definedName>
    <definedName name="SD_161x1_5330x1_233_B_0" localSheetId="0">MAPPING!$I$354</definedName>
    <definedName name="SD_161x1_5330x1_234_B_0" localSheetId="0">MAPPING!$I$75</definedName>
    <definedName name="SD_161x1_5330x1_235_B_0" localSheetId="0">MAPPING!$I$366</definedName>
    <definedName name="SD_161x1_5330x1_236_B_0" localSheetId="0">MAPPING!$I$367</definedName>
    <definedName name="SD_161x1_5330x1_237_B_0" localSheetId="0">MAPPING!$I$368</definedName>
    <definedName name="SD_161x1_5330x1_238_B_0" localSheetId="0">MAPPING!$I$369</definedName>
    <definedName name="SD_161x1_5330x1_239_B_0" localSheetId="0">MAPPING!$I$370</definedName>
    <definedName name="SD_161x1_5330x1_240_B_0" localSheetId="0">MAPPING!$I$371</definedName>
    <definedName name="SD_161x1_5330x1_241_B_0" localSheetId="0">MAPPING!$I$372</definedName>
    <definedName name="SD_161x1_5330x1_242_B_0" localSheetId="0">MAPPING!$I$373</definedName>
    <definedName name="SD_161x1_5330x1_243_B_0" localSheetId="0">MAPPING!$I$374</definedName>
    <definedName name="SD_161x1_5330x1_244_B_0" localSheetId="0">MAPPING!$I$375</definedName>
    <definedName name="SD_161x1_5330x1_245_B_0" localSheetId="0">MAPPING!$I$376</definedName>
    <definedName name="SD_161x1_5330x1_246_B_0" localSheetId="0">MAPPING!$I$377</definedName>
    <definedName name="SD_161x1_5330x1_247_B_0" localSheetId="0">MAPPING!$I$378</definedName>
    <definedName name="SD_161x1_5330x1_248_B_0" localSheetId="0">MAPPING!$I$379</definedName>
    <definedName name="SD_161x1_5330x1_249_B_0" localSheetId="0">MAPPING!$I$380</definedName>
    <definedName name="SD_161x1_5330x1_430_B_0" localSheetId="0">MAPPING!$I$340</definedName>
    <definedName name="SD_161x1_5330x1_431_B_0" localSheetId="0">MAPPING!$I$341</definedName>
    <definedName name="SD_161x1_5330x1_432_B_0" localSheetId="0">MAPPING!$I$342</definedName>
    <definedName name="SD_161x1_5330x1_433_B_0" localSheetId="0">MAPPING!$I$343</definedName>
    <definedName name="SD_161x1_81_B_1" localSheetId="0">MAPPING!$I$27</definedName>
    <definedName name="SD_161x1_86_B_1" localSheetId="0">MAPPING!$I$16</definedName>
    <definedName name="SD_21_B_0" localSheetId="0">MAPPING!$I$20</definedName>
    <definedName name="SD_2357x1_10_B_0" localSheetId="0">MAPPING!$R$450</definedName>
    <definedName name="SD_2357x1_39_B_1" localSheetId="0">MAPPING!$P$450</definedName>
    <definedName name="SD_2357x1_5_B_0" localSheetId="0">MAPPING!$X$450</definedName>
    <definedName name="SD_2357x1_5824x1_157_B_0" localSheetId="0">MAPPING!$T$450</definedName>
    <definedName name="SD_2357x1_5824x1_158_B_0" localSheetId="0">MAPPING!$W$450</definedName>
    <definedName name="SD_2357x1_6_B_0" localSheetId="0">MAPPING!$Y$450</definedName>
    <definedName name="SD_2357x1_7_B_0" localSheetId="0">MAPPING!$V$450</definedName>
    <definedName name="SD_2357x1_71_B_1" localSheetId="0">MAPPING!$Q$450</definedName>
    <definedName name="SD_2357x1_8_B_0" localSheetId="0">MAPPING!$U$450</definedName>
    <definedName name="SD_2357x1_9_B_0" localSheetId="0">MAPPING!$S$450</definedName>
    <definedName name="SD_2357x10_10_B_0" localSheetId="0">MAPPING!$R$459</definedName>
    <definedName name="SD_2357x10_39_B_1" localSheetId="0">MAPPING!$P$459</definedName>
    <definedName name="SD_2357x10_5_B_0" localSheetId="0">MAPPING!$X$459</definedName>
    <definedName name="SD_2357x10_5824x1_156_B_1" localSheetId="0">MAPPING!$Z$459</definedName>
    <definedName name="SD_2357x10_5824x1_158_B_0" localSheetId="0">MAPPING!$W$459</definedName>
    <definedName name="SD_2357x10_6_B_0" localSheetId="0">MAPPING!$Y$459</definedName>
    <definedName name="SD_2357x10_7_B_0" localSheetId="0">MAPPING!$V$459</definedName>
    <definedName name="SD_2357x10_71_B_1" localSheetId="0">MAPPING!$Q$459</definedName>
    <definedName name="SD_2357x10_9_B_0" localSheetId="0">MAPPING!$S$459</definedName>
    <definedName name="SD_2357x11_10_B_0" localSheetId="0">MAPPING!$R$460</definedName>
    <definedName name="SD_2357x11_39_B_1" localSheetId="0">MAPPING!$P$460</definedName>
    <definedName name="SD_2357x11_5_B_0" localSheetId="0">MAPPING!$X$460</definedName>
    <definedName name="SD_2357x11_5824x1_156_B_1" localSheetId="0">MAPPING!$Z$460</definedName>
    <definedName name="SD_2357x11_5824x1_158_B_0" localSheetId="0">MAPPING!$W$460</definedName>
    <definedName name="SD_2357x11_6_B_0" localSheetId="0">MAPPING!$Y$460</definedName>
    <definedName name="SD_2357x11_7_B_0" localSheetId="0">MAPPING!$V$460</definedName>
    <definedName name="SD_2357x11_71_B_1" localSheetId="0">MAPPING!$Q$460</definedName>
    <definedName name="SD_2357x11_9_B_0" localSheetId="0">MAPPING!$S$460</definedName>
    <definedName name="SD_2357x12_10_B_0" localSheetId="0">MAPPING!$R$461</definedName>
    <definedName name="SD_2357x12_39_B_1" localSheetId="0">MAPPING!$P$461</definedName>
    <definedName name="SD_2357x12_5_B_0" localSheetId="0">MAPPING!$X$461</definedName>
    <definedName name="SD_2357x12_5824x1_156_B_1" localSheetId="0">MAPPING!$Z$461</definedName>
    <definedName name="SD_2357x12_5824x1_158_B_0" localSheetId="0">MAPPING!$W$461</definedName>
    <definedName name="SD_2357x12_6_B_0" localSheetId="0">MAPPING!$Y$461</definedName>
    <definedName name="SD_2357x12_7_B_0" localSheetId="0">MAPPING!$V$461</definedName>
    <definedName name="SD_2357x12_71_B_1" localSheetId="0">MAPPING!$Q$461</definedName>
    <definedName name="SD_2357x12_9_B_0" localSheetId="0">MAPPING!$S$461</definedName>
    <definedName name="SD_2357x13_10_B_0" localSheetId="0">MAPPING!$R$462</definedName>
    <definedName name="SD_2357x13_39_B_1" localSheetId="0">MAPPING!$P$462</definedName>
    <definedName name="SD_2357x13_5_B_0" localSheetId="0">MAPPING!$X$462</definedName>
    <definedName name="SD_2357x13_5824x1_156_B_1" localSheetId="0">MAPPING!$Z$462</definedName>
    <definedName name="SD_2357x13_5824x1_158_B_0" localSheetId="0">MAPPING!$W$462</definedName>
    <definedName name="SD_2357x13_6_B_0" localSheetId="0">MAPPING!$Y$462</definedName>
    <definedName name="SD_2357x13_7_B_0" localSheetId="0">MAPPING!$V$462</definedName>
    <definedName name="SD_2357x13_71_B_1" localSheetId="0">MAPPING!$Q$462</definedName>
    <definedName name="SD_2357x13_9_B_0" localSheetId="0">MAPPING!$S$462</definedName>
    <definedName name="SD_2357x14_10_B_0" localSheetId="0">MAPPING!$R$463</definedName>
    <definedName name="SD_2357x14_39_B_1" localSheetId="0">MAPPING!$P$463</definedName>
    <definedName name="SD_2357x14_5_B_0" localSheetId="0">MAPPING!$X$463</definedName>
    <definedName name="SD_2357x14_5824x1_156_B_1" localSheetId="0">MAPPING!$Z$463</definedName>
    <definedName name="SD_2357x14_5824x1_158_B_0" localSheetId="0">MAPPING!$W$463</definedName>
    <definedName name="SD_2357x14_6_B_0" localSheetId="0">MAPPING!$Y$463</definedName>
    <definedName name="SD_2357x14_7_B_0" localSheetId="0">MAPPING!$V$463</definedName>
    <definedName name="SD_2357x14_71_B_1" localSheetId="0">MAPPING!$Q$463</definedName>
    <definedName name="SD_2357x14_9_B_0" localSheetId="0">MAPPING!$S$463</definedName>
    <definedName name="SD_2357x15_10_B_0" localSheetId="0">MAPPING!$R$464</definedName>
    <definedName name="SD_2357x15_39_B_1" localSheetId="0">MAPPING!$P$464</definedName>
    <definedName name="SD_2357x15_5824x1_156_B_1" localSheetId="0">MAPPING!$Z$464</definedName>
    <definedName name="SD_2357x15_6_B_0" localSheetId="0">MAPPING!$Y$464</definedName>
    <definedName name="SD_2357x15_71_B_1" localSheetId="0">MAPPING!$Q$464</definedName>
    <definedName name="SD_2357x15_9_B_0" localSheetId="0">MAPPING!$S$464</definedName>
    <definedName name="SD_2357x16_10_B_0" localSheetId="0">MAPPING!$R$465</definedName>
    <definedName name="SD_2357x16_39_B_1" localSheetId="0">MAPPING!$P$465</definedName>
    <definedName name="SD_2357x16_6_B_0" localSheetId="0">MAPPING!$Y$465</definedName>
    <definedName name="SD_2357x16_71_B_1" localSheetId="0">MAPPING!$Q$465</definedName>
    <definedName name="SD_2357x16_9_B_0" localSheetId="0">MAPPING!$S$465</definedName>
    <definedName name="SD_2357x17_10_B_0" localSheetId="0">MAPPING!$R$466</definedName>
    <definedName name="SD_2357x17_39_B_1" localSheetId="0">MAPPING!$P$466</definedName>
    <definedName name="SD_2357x17_6_B_0" localSheetId="0">MAPPING!$Y$466</definedName>
    <definedName name="SD_2357x17_71_B_1" localSheetId="0">MAPPING!$Q$466</definedName>
    <definedName name="SD_2357x17_9_B_0" localSheetId="0">MAPPING!$S$466</definedName>
    <definedName name="SD_2357x18_10_B_0" localSheetId="0">MAPPING!$R$467</definedName>
    <definedName name="SD_2357x18_39_B_1" localSheetId="0">MAPPING!$P$467</definedName>
    <definedName name="SD_2357x18_5824x1_156_B_1" localSheetId="0">MAPPING!$Z$467</definedName>
    <definedName name="SD_2357x18_6_B_0" localSheetId="0">MAPPING!$Y$467</definedName>
    <definedName name="SD_2357x18_71_B_1" localSheetId="0">MAPPING!$Q$467</definedName>
    <definedName name="SD_2357x18_9_B_0" localSheetId="0">MAPPING!$S$467</definedName>
    <definedName name="SD_2357x19_10_B_0" localSheetId="0">MAPPING!$R$468</definedName>
    <definedName name="SD_2357x19_39_B_1" localSheetId="0">MAPPING!$P$468</definedName>
    <definedName name="SD_2357x19_5824x1_156_B_1" localSheetId="0">MAPPING!$Z$468</definedName>
    <definedName name="SD_2357x19_6_B_0" localSheetId="0">MAPPING!$Y$468</definedName>
    <definedName name="SD_2357x19_71_B_1" localSheetId="0">MAPPING!$Q$468</definedName>
    <definedName name="SD_2357x19_9_B_0" localSheetId="0">MAPPING!$S$468</definedName>
    <definedName name="SD_2357x2_10_B_0" localSheetId="0">MAPPING!$R$451</definedName>
    <definedName name="SD_2357x2_39_B_1" localSheetId="0">MAPPING!$P$451</definedName>
    <definedName name="SD_2357x2_5_B_0" localSheetId="0">MAPPING!$X$451</definedName>
    <definedName name="SD_2357x2_5824x1_157_B_0" localSheetId="0">MAPPING!$T$451</definedName>
    <definedName name="SD_2357x2_5824x1_158_B_0" localSheetId="0">MAPPING!$W$451</definedName>
    <definedName name="SD_2357x2_6_B_0" localSheetId="0">MAPPING!$Y$451</definedName>
    <definedName name="SD_2357x2_7_B_0" localSheetId="0">MAPPING!$V$451</definedName>
    <definedName name="SD_2357x2_71_B_1" localSheetId="0">MAPPING!$Q$451</definedName>
    <definedName name="SD_2357x2_8_B_0" localSheetId="0">MAPPING!$U$451</definedName>
    <definedName name="SD_2357x2_9_B_0" localSheetId="0">MAPPING!$S$451</definedName>
    <definedName name="SD_2357x20_10_B_0" localSheetId="0">MAPPING!$R$469</definedName>
    <definedName name="SD_2357x20_39_B_1" localSheetId="0">MAPPING!$P$469</definedName>
    <definedName name="SD_2357x20_5_B_0" localSheetId="0">MAPPING!$X$469</definedName>
    <definedName name="SD_2357x20_5824x1_158_B_0" localSheetId="0">MAPPING!$W$469</definedName>
    <definedName name="SD_2357x20_6_B_0" localSheetId="0">MAPPING!$Y$469</definedName>
    <definedName name="SD_2357x20_7_B_0" localSheetId="0">MAPPING!$V$469</definedName>
    <definedName name="SD_2357x20_71_B_1" localSheetId="0">MAPPING!$Q$469</definedName>
    <definedName name="SD_2357x20_9_B_0" localSheetId="0">MAPPING!$S$469</definedName>
    <definedName name="SD_2357x21_10_B_0" localSheetId="0">MAPPING!$R$470</definedName>
    <definedName name="SD_2357x21_39_B_1" localSheetId="0">MAPPING!$P$470</definedName>
    <definedName name="SD_2357x21_5_B_0" localSheetId="0">MAPPING!$X$470</definedName>
    <definedName name="SD_2357x21_5824x1_158_B_0" localSheetId="0">MAPPING!$W$470</definedName>
    <definedName name="SD_2357x21_6_B_0" localSheetId="0">MAPPING!$Y$470</definedName>
    <definedName name="SD_2357x21_7_B_0" localSheetId="0">MAPPING!$V$470</definedName>
    <definedName name="SD_2357x21_71_B_1" localSheetId="0">MAPPING!$Q$470</definedName>
    <definedName name="SD_2357x21_9_B_0" localSheetId="0">MAPPING!$S$470</definedName>
    <definedName name="SD_2357x22_10_B_0" localSheetId="0">MAPPING!$R$471</definedName>
    <definedName name="SD_2357x22_39_B_1" localSheetId="0">MAPPING!$P$471</definedName>
    <definedName name="SD_2357x22_5_B_0" localSheetId="0">MAPPING!$X$471</definedName>
    <definedName name="SD_2357x22_5824x1_158_B_0" localSheetId="0">MAPPING!$W$471</definedName>
    <definedName name="SD_2357x22_6_B_0" localSheetId="0">MAPPING!$Y$471</definedName>
    <definedName name="SD_2357x22_7_B_0" localSheetId="0">MAPPING!$V$471</definedName>
    <definedName name="SD_2357x22_71_B_1" localSheetId="0">MAPPING!$Q$471</definedName>
    <definedName name="SD_2357x22_9_B_0" localSheetId="0">MAPPING!$S$471</definedName>
    <definedName name="SD_2357x23_10_B_0" localSheetId="0">MAPPING!$R$472</definedName>
    <definedName name="SD_2357x23_39_B_1" localSheetId="0">MAPPING!$P$472</definedName>
    <definedName name="SD_2357x23_5_B_0" localSheetId="0">MAPPING!$X$472</definedName>
    <definedName name="SD_2357x23_5824x1_158_B_0" localSheetId="0">MAPPING!$W$472</definedName>
    <definedName name="SD_2357x23_6_B_0" localSheetId="0">MAPPING!$Y$472</definedName>
    <definedName name="SD_2357x23_7_B_0" localSheetId="0">MAPPING!$V$472</definedName>
    <definedName name="SD_2357x23_71_B_1" localSheetId="0">MAPPING!$Q$472</definedName>
    <definedName name="SD_2357x23_9_B_0" localSheetId="0">MAPPING!$S$472</definedName>
    <definedName name="SD_2357x24_10_B_0" localSheetId="0">MAPPING!$R$473</definedName>
    <definedName name="SD_2357x24_39_B_1" localSheetId="0">MAPPING!$P$473</definedName>
    <definedName name="SD_2357x24_5_B_0" localSheetId="0">MAPPING!$X$473</definedName>
    <definedName name="SD_2357x24_5824x1_158_B_0" localSheetId="0">MAPPING!$W$473</definedName>
    <definedName name="SD_2357x24_6_B_0" localSheetId="0">MAPPING!$Y$473</definedName>
    <definedName name="SD_2357x24_7_B_0" localSheetId="0">MAPPING!$V$473</definedName>
    <definedName name="SD_2357x24_71_B_1" localSheetId="0">MAPPING!$Q$473</definedName>
    <definedName name="SD_2357x24_9_B_0" localSheetId="0">MAPPING!$S$473</definedName>
    <definedName name="SD_2357x25_10_B_0" localSheetId="0">MAPPING!$R$474</definedName>
    <definedName name="SD_2357x25_39_B_1" localSheetId="0">MAPPING!$P$474</definedName>
    <definedName name="SD_2357x25_5_B_0" localSheetId="0">MAPPING!$X$474</definedName>
    <definedName name="SD_2357x25_5824x1_158_B_0" localSheetId="0">MAPPING!$W$474</definedName>
    <definedName name="SD_2357x25_6_B_0" localSheetId="0">MAPPING!$Y$474</definedName>
    <definedName name="SD_2357x25_7_B_0" localSheetId="0">MAPPING!$V$474</definedName>
    <definedName name="SD_2357x25_71_B_1" localSheetId="0">MAPPING!$Q$474</definedName>
    <definedName name="SD_2357x25_9_B_0" localSheetId="0">MAPPING!$S$474</definedName>
    <definedName name="SD_2357x26_10_B_0" localSheetId="0">MAPPING!$R$475</definedName>
    <definedName name="SD_2357x26_39_B_1" localSheetId="0">MAPPING!$P$475</definedName>
    <definedName name="SD_2357x26_5_B_0" localSheetId="0">MAPPING!$X$475</definedName>
    <definedName name="SD_2357x26_5824x1_158_B_0" localSheetId="0">MAPPING!$W$475</definedName>
    <definedName name="SD_2357x26_6_B_0" localSheetId="0">MAPPING!$Y$475</definedName>
    <definedName name="SD_2357x26_7_B_0" localSheetId="0">MAPPING!$V$475</definedName>
    <definedName name="SD_2357x26_71_B_1" localSheetId="0">MAPPING!$Q$475</definedName>
    <definedName name="SD_2357x26_9_B_0" localSheetId="0">MAPPING!$S$475</definedName>
    <definedName name="SD_2357x27_10_B_0" localSheetId="0">MAPPING!$R$476</definedName>
    <definedName name="SD_2357x27_39_B_1" localSheetId="0">MAPPING!$P$476</definedName>
    <definedName name="SD_2357x27_5_B_0" localSheetId="0">MAPPING!$X$476</definedName>
    <definedName name="SD_2357x27_5824x1_158_B_0" localSheetId="0">MAPPING!$W$476</definedName>
    <definedName name="SD_2357x27_6_B_0" localSheetId="0">MAPPING!$Y$476</definedName>
    <definedName name="SD_2357x27_7_B_0" localSheetId="0">MAPPING!$V$476</definedName>
    <definedName name="SD_2357x27_71_B_1" localSheetId="0">MAPPING!$Q$476</definedName>
    <definedName name="SD_2357x27_9_B_0" localSheetId="0">MAPPING!$S$476</definedName>
    <definedName name="SD_2357x28_10_B_0" localSheetId="0">MAPPING!$R$477</definedName>
    <definedName name="SD_2357x28_39_B_1" localSheetId="0">MAPPING!$P$477</definedName>
    <definedName name="SD_2357x28_5_B_0" localSheetId="0">MAPPING!$X$477</definedName>
    <definedName name="SD_2357x28_5824x1_158_B_0" localSheetId="0">MAPPING!$W$477</definedName>
    <definedName name="SD_2357x28_6_B_0" localSheetId="0">MAPPING!$Y$477</definedName>
    <definedName name="SD_2357x28_7_B_0" localSheetId="0">MAPPING!$V$477</definedName>
    <definedName name="SD_2357x28_71_B_1" localSheetId="0">MAPPING!$Q$477</definedName>
    <definedName name="SD_2357x28_9_B_0" localSheetId="0">MAPPING!$S$477</definedName>
    <definedName name="SD_2357x29_10_B_0" localSheetId="0">MAPPING!$R$478</definedName>
    <definedName name="SD_2357x29_39_B_1" localSheetId="0">MAPPING!$P$478</definedName>
    <definedName name="SD_2357x29_5_B_0" localSheetId="0">MAPPING!$X$478</definedName>
    <definedName name="SD_2357x29_5824x1_158_B_0" localSheetId="0">MAPPING!$W$478</definedName>
    <definedName name="SD_2357x29_6_B_0" localSheetId="0">MAPPING!$Y$478</definedName>
    <definedName name="SD_2357x29_7_B_0" localSheetId="0">MAPPING!$V$478</definedName>
    <definedName name="SD_2357x29_71_B_1" localSheetId="0">MAPPING!$Q$478</definedName>
    <definedName name="SD_2357x29_9_B_0" localSheetId="0">MAPPING!$S$478</definedName>
    <definedName name="SD_2357x3_10_B_0" localSheetId="0">MAPPING!$R$452</definedName>
    <definedName name="SD_2357x3_39_B_1" localSheetId="0">MAPPING!$P$452</definedName>
    <definedName name="SD_2357x3_5_B_0" localSheetId="0">MAPPING!$X$452</definedName>
    <definedName name="SD_2357x3_5824x1_157_B_0" localSheetId="0">MAPPING!$T$452</definedName>
    <definedName name="SD_2357x3_5824x1_158_B_0" localSheetId="0">MAPPING!$W$452</definedName>
    <definedName name="SD_2357x3_6_B_0" localSheetId="0">MAPPING!$Y$452</definedName>
    <definedName name="SD_2357x3_7_B_0" localSheetId="0">MAPPING!$V$452</definedName>
    <definedName name="SD_2357x3_71_B_1" localSheetId="0">MAPPING!$Q$452</definedName>
    <definedName name="SD_2357x3_8_B_0" localSheetId="0">MAPPING!$U$452</definedName>
    <definedName name="SD_2357x3_9_B_0" localSheetId="0">MAPPING!$S$452</definedName>
    <definedName name="SD_2357x30_10_B_0" localSheetId="0">MAPPING!$R$479</definedName>
    <definedName name="SD_2357x30_39_B_1" localSheetId="0">MAPPING!$P$479</definedName>
    <definedName name="SD_2357x30_5_B_0" localSheetId="0">MAPPING!$X$479</definedName>
    <definedName name="SD_2357x30_5824x1_158_B_0" localSheetId="0">MAPPING!$W$479</definedName>
    <definedName name="SD_2357x30_6_B_0" localSheetId="0">MAPPING!$Y$479</definedName>
    <definedName name="SD_2357x30_7_B_0" localSheetId="0">MAPPING!$V$479</definedName>
    <definedName name="SD_2357x30_71_B_1" localSheetId="0">MAPPING!$Q$479</definedName>
    <definedName name="SD_2357x30_9_B_0" localSheetId="0">MAPPING!$S$479</definedName>
    <definedName name="SD_2357x31_10_B_0" localSheetId="0">MAPPING!$R$480</definedName>
    <definedName name="SD_2357x31_39_B_1" localSheetId="0">MAPPING!$P$480</definedName>
    <definedName name="SD_2357x31_5_B_0" localSheetId="0">MAPPING!$X$480</definedName>
    <definedName name="SD_2357x31_5824x1_158_B_0" localSheetId="0">MAPPING!$W$480</definedName>
    <definedName name="SD_2357x31_6_B_0" localSheetId="0">MAPPING!$Y$480</definedName>
    <definedName name="SD_2357x31_7_B_0" localSheetId="0">MAPPING!$V$480</definedName>
    <definedName name="SD_2357x31_71_B_1" localSheetId="0">MAPPING!$Q$480</definedName>
    <definedName name="SD_2357x31_9_B_0" localSheetId="0">MAPPING!$S$480</definedName>
    <definedName name="SD_2357x32_10_B_0" localSheetId="0">MAPPING!$R$481</definedName>
    <definedName name="SD_2357x32_39_B_1" localSheetId="0">MAPPING!$P$481</definedName>
    <definedName name="SD_2357x32_5_B_0" localSheetId="0">MAPPING!$X$481</definedName>
    <definedName name="SD_2357x32_5824x1_158_B_0" localSheetId="0">MAPPING!$W$481</definedName>
    <definedName name="SD_2357x32_6_B_0" localSheetId="0">MAPPING!$Y$481</definedName>
    <definedName name="SD_2357x32_7_B_0" localSheetId="0">MAPPING!$V$481</definedName>
    <definedName name="SD_2357x32_71_B_1" localSheetId="0">MAPPING!$Q$481</definedName>
    <definedName name="SD_2357x32_9_B_0" localSheetId="0">MAPPING!$S$481</definedName>
    <definedName name="SD_2357x33_10_B_0" localSheetId="0">MAPPING!$R$482</definedName>
    <definedName name="SD_2357x33_39_B_1" localSheetId="0">MAPPING!$P$482</definedName>
    <definedName name="SD_2357x33_6_B_0" localSheetId="0">MAPPING!$Y$482</definedName>
    <definedName name="SD_2357x33_71_B_1" localSheetId="0">MAPPING!$Q$482</definedName>
    <definedName name="SD_2357x34_10_B_0" localSheetId="0">MAPPING!$R$483</definedName>
    <definedName name="SD_2357x34_39_B_1" localSheetId="0">MAPPING!$P$483</definedName>
    <definedName name="SD_2357x34_6_B_0" localSheetId="0">MAPPING!$Y$483</definedName>
    <definedName name="SD_2357x34_71_B_1" localSheetId="0">MAPPING!$Q$483</definedName>
    <definedName name="SD_2357x35_10_B_0" localSheetId="0">MAPPING!$R$484</definedName>
    <definedName name="SD_2357x35_39_B_1" localSheetId="0">MAPPING!$P$484</definedName>
    <definedName name="SD_2357x35_6_B_0" localSheetId="0">MAPPING!$Y$484</definedName>
    <definedName name="SD_2357x35_71_B_1" localSheetId="0">MAPPING!$Q$484</definedName>
    <definedName name="SD_2357x36_39_B_1" localSheetId="0">MAPPING!$P$485</definedName>
    <definedName name="SD_2357x36_6_B_0" localSheetId="0">MAPPING!$Y$485</definedName>
    <definedName name="SD_2357x36_71_B_1" localSheetId="0">MAPPING!$Q$485</definedName>
    <definedName name="SD_2357x37_39_B_1" localSheetId="0">MAPPING!$P$486</definedName>
    <definedName name="SD_2357x37_6_B_0" localSheetId="0">MAPPING!$Y$486</definedName>
    <definedName name="SD_2357x37_71_B_1" localSheetId="0">MAPPING!$Q$486</definedName>
    <definedName name="SD_2357x38_39_B_1" localSheetId="0">MAPPING!$P$487</definedName>
    <definedName name="SD_2357x38_6_B_0" localSheetId="0">MAPPING!$Y$487</definedName>
    <definedName name="SD_2357x38_71_B_1" localSheetId="0">MAPPING!$Q$487</definedName>
    <definedName name="SD_2357x39_10_B_0" localSheetId="0">MAPPING!$R$488</definedName>
    <definedName name="SD_2357x39_39_B_1" localSheetId="0">MAPPING!$P$488</definedName>
    <definedName name="SD_2357x39_6_B_0" localSheetId="0">MAPPING!$Y$488</definedName>
    <definedName name="SD_2357x39_71_B_1" localSheetId="0">MAPPING!$Q$488</definedName>
    <definedName name="SD_2357x4_10_B_0" localSheetId="0">MAPPING!$R$453</definedName>
    <definedName name="SD_2357x4_39_B_1" localSheetId="0">MAPPING!$P$453</definedName>
    <definedName name="SD_2357x4_5_B_0" localSheetId="0">MAPPING!$X$453</definedName>
    <definedName name="SD_2357x4_5824x1_157_B_0" localSheetId="0">MAPPING!$T$453</definedName>
    <definedName name="SD_2357x4_5824x1_158_B_0" localSheetId="0">MAPPING!$W$453</definedName>
    <definedName name="SD_2357x4_6_B_0" localSheetId="0">MAPPING!$Y$453</definedName>
    <definedName name="SD_2357x4_7_B_0" localSheetId="0">MAPPING!$V$453</definedName>
    <definedName name="SD_2357x4_71_B_1" localSheetId="0">MAPPING!$Q$453</definedName>
    <definedName name="SD_2357x4_8_B_0" localSheetId="0">MAPPING!$U$453</definedName>
    <definedName name="SD_2357x4_9_B_0" localSheetId="0">MAPPING!$S$453</definedName>
    <definedName name="SD_2357x40_10_B_0" localSheetId="0">MAPPING!$R$489</definedName>
    <definedName name="SD_2357x40_39_B_1" localSheetId="0">MAPPING!$P$489</definedName>
    <definedName name="SD_2357x40_6_B_0" localSheetId="0">MAPPING!$Y$489</definedName>
    <definedName name="SD_2357x40_71_B_1" localSheetId="0">MAPPING!$Q$489</definedName>
    <definedName name="SD_2357x41_10_B_0" localSheetId="0">MAPPING!$R$490</definedName>
    <definedName name="SD_2357x41_39_B_1" localSheetId="0">MAPPING!$P$490</definedName>
    <definedName name="SD_2357x41_6_B_0" localSheetId="0">MAPPING!$Y$490</definedName>
    <definedName name="SD_2357x41_71_B_1" localSheetId="0">MAPPING!$Q$490</definedName>
    <definedName name="SD_2357x42_10_B_0" localSheetId="0">MAPPING!$R$491</definedName>
    <definedName name="SD_2357x42_39_B_1" localSheetId="0">MAPPING!$P$491</definedName>
    <definedName name="SD_2357x42_6_B_0" localSheetId="0">MAPPING!$Y$491</definedName>
    <definedName name="SD_2357x42_71_B_1" localSheetId="0">MAPPING!$Q$491</definedName>
    <definedName name="SD_2357x43_10_B_0" localSheetId="0">MAPPING!$R$492</definedName>
    <definedName name="SD_2357x43_39_B_1" localSheetId="0">MAPPING!$P$492</definedName>
    <definedName name="SD_2357x43_6_B_0" localSheetId="0">MAPPING!$Y$492</definedName>
    <definedName name="SD_2357x43_71_B_1" localSheetId="0">MAPPING!$Q$492</definedName>
    <definedName name="SD_2357x44_10_B_0" localSheetId="0">MAPPING!$R$493</definedName>
    <definedName name="SD_2357x44_39_B_1" localSheetId="0">MAPPING!$P$493</definedName>
    <definedName name="SD_2357x44_6_B_0" localSheetId="0">MAPPING!$Y$493</definedName>
    <definedName name="SD_2357x44_71_B_1" localSheetId="0">MAPPING!$Q$493</definedName>
    <definedName name="SD_2357x45_10_B_0" localSheetId="0">MAPPING!$R$494</definedName>
    <definedName name="SD_2357x45_39_B_1" localSheetId="0">MAPPING!$P$494</definedName>
    <definedName name="SD_2357x45_6_B_0" localSheetId="0">MAPPING!$Y$494</definedName>
    <definedName name="SD_2357x45_71_B_1" localSheetId="0">MAPPING!$Q$494</definedName>
    <definedName name="SD_2357x46_10_B_0" localSheetId="0">MAPPING!$R$495</definedName>
    <definedName name="SD_2357x46_39_B_1" localSheetId="0">MAPPING!$P$495</definedName>
    <definedName name="SD_2357x46_6_B_0" localSheetId="0">MAPPING!$Y$495</definedName>
    <definedName name="SD_2357x46_71_B_1" localSheetId="0">MAPPING!$Q$495</definedName>
    <definedName name="SD_2357x47_10_B_0" localSheetId="0">MAPPING!$R$496</definedName>
    <definedName name="SD_2357x47_39_B_1" localSheetId="0">MAPPING!$P$496</definedName>
    <definedName name="SD_2357x47_6_B_0" localSheetId="0">MAPPING!$Y$496</definedName>
    <definedName name="SD_2357x47_71_B_1" localSheetId="0">MAPPING!$Q$496</definedName>
    <definedName name="SD_2357x48_10_B_0" localSheetId="0">MAPPING!$R$497</definedName>
    <definedName name="SD_2357x48_39_B_1" localSheetId="0">MAPPING!$P$497</definedName>
    <definedName name="SD_2357x48_6_B_0" localSheetId="0">MAPPING!$Y$497</definedName>
    <definedName name="SD_2357x48_71_B_1" localSheetId="0">MAPPING!$Q$497</definedName>
    <definedName name="SD_2357x49_10_B_0" localSheetId="0">MAPPING!$R$498</definedName>
    <definedName name="SD_2357x49_39_B_1" localSheetId="0">MAPPING!$P$498</definedName>
    <definedName name="SD_2357x49_6_B_0" localSheetId="0">MAPPING!$Y$498</definedName>
    <definedName name="SD_2357x49_71_B_1" localSheetId="0">MAPPING!$Q$498</definedName>
    <definedName name="SD_2357x5_10_B_0" localSheetId="0">MAPPING!$R$454</definedName>
    <definedName name="SD_2357x5_39_B_1" localSheetId="0">MAPPING!$P$454</definedName>
    <definedName name="SD_2357x5_5_B_0" localSheetId="0">MAPPING!$X$454</definedName>
    <definedName name="SD_2357x5_5824x1_157_B_0" localSheetId="0">MAPPING!$T$454</definedName>
    <definedName name="SD_2357x5_5824x1_158_B_0" localSheetId="0">MAPPING!$W$454</definedName>
    <definedName name="SD_2357x5_6_B_0" localSheetId="0">MAPPING!$Y$454</definedName>
    <definedName name="SD_2357x5_7_B_0" localSheetId="0">MAPPING!$V$454</definedName>
    <definedName name="SD_2357x5_71_B_1" localSheetId="0">MAPPING!$Q$454</definedName>
    <definedName name="SD_2357x5_8_B_0" localSheetId="0">MAPPING!$U$454</definedName>
    <definedName name="SD_2357x5_9_B_0" localSheetId="0">MAPPING!$S$454</definedName>
    <definedName name="SD_2357x6_10_B_0" localSheetId="0">MAPPING!$R$455</definedName>
    <definedName name="SD_2357x6_39_B_1" localSheetId="0">MAPPING!$P$455</definedName>
    <definedName name="SD_2357x6_5_B_0" localSheetId="0">MAPPING!$X$455</definedName>
    <definedName name="SD_2357x6_5824x1_157_B_0" localSheetId="0">MAPPING!$T$455</definedName>
    <definedName name="SD_2357x6_5824x1_158_B_0" localSheetId="0">MAPPING!$W$455</definedName>
    <definedName name="SD_2357x6_6_B_0" localSheetId="0">MAPPING!$Y$455</definedName>
    <definedName name="SD_2357x6_7_B_0" localSheetId="0">MAPPING!$V$455</definedName>
    <definedName name="SD_2357x6_71_B_1" localSheetId="0">MAPPING!$Q$455</definedName>
    <definedName name="SD_2357x6_8_B_0" localSheetId="0">MAPPING!$U$455</definedName>
    <definedName name="SD_2357x6_9_B_0" localSheetId="0">MAPPING!$S$455</definedName>
    <definedName name="SD_2357x7_10_B_0" localSheetId="0">MAPPING!$R$456</definedName>
    <definedName name="SD_2357x7_39_B_1" localSheetId="0">MAPPING!$P$456</definedName>
    <definedName name="SD_2357x7_5_B_0" localSheetId="0">MAPPING!$X$456</definedName>
    <definedName name="SD_2357x7_5824x1_157_B_0" localSheetId="0">MAPPING!$T$456</definedName>
    <definedName name="SD_2357x7_5824x1_158_B_0" localSheetId="0">MAPPING!$W$456</definedName>
    <definedName name="SD_2357x7_6_B_0" localSheetId="0">MAPPING!$Y$456</definedName>
    <definedName name="SD_2357x7_7_B_0" localSheetId="0">MAPPING!$V$456</definedName>
    <definedName name="SD_2357x7_71_B_1" localSheetId="0">MAPPING!$Q$456</definedName>
    <definedName name="SD_2357x7_8_B_0" localSheetId="0">MAPPING!$U$456</definedName>
    <definedName name="SD_2357x7_9_B_0" localSheetId="0">MAPPING!$S$456</definedName>
    <definedName name="SD_2357x8_10_B_0" localSheetId="0">MAPPING!$R$457</definedName>
    <definedName name="SD_2357x8_39_B_1" localSheetId="0">MAPPING!$P$457</definedName>
    <definedName name="SD_2357x8_5_B_0" localSheetId="0">MAPPING!$X$457</definedName>
    <definedName name="SD_2357x8_5824x1_157_B_0" localSheetId="0">MAPPING!$T$457</definedName>
    <definedName name="SD_2357x8_5824x1_158_B_0" localSheetId="0">MAPPING!$W$457</definedName>
    <definedName name="SD_2357x8_6_B_0" localSheetId="0">MAPPING!$Y$457</definedName>
    <definedName name="SD_2357x8_7_B_0" localSheetId="0">MAPPING!$V$457</definedName>
    <definedName name="SD_2357x8_71_B_1" localSheetId="0">MAPPING!$Q$457</definedName>
    <definedName name="SD_2357x8_8_B_0" localSheetId="0">MAPPING!$U$457</definedName>
    <definedName name="SD_2357x8_9_B_0" localSheetId="0">MAPPING!$S$457</definedName>
    <definedName name="SD_2357x9_10_B_0" localSheetId="0">MAPPING!$R$458</definedName>
    <definedName name="SD_2357x9_39_B_1" localSheetId="0">MAPPING!$P$458</definedName>
    <definedName name="SD_2357x9_5_B_0" localSheetId="0">MAPPING!$X$458</definedName>
    <definedName name="SD_2357x9_5824x1_157_B_0" localSheetId="0">MAPPING!$T$458</definedName>
    <definedName name="SD_2357x9_5824x1_158_B_0" localSheetId="0">MAPPING!$W$458</definedName>
    <definedName name="SD_2357x9_6_B_0" localSheetId="0">MAPPING!$Y$458</definedName>
    <definedName name="SD_2357x9_7_B_0" localSheetId="0">MAPPING!$V$458</definedName>
    <definedName name="SD_2357x9_71_B_1" localSheetId="0">MAPPING!$Q$458</definedName>
    <definedName name="SD_2357x9_8_B_0" localSheetId="0">MAPPING!$U$458</definedName>
    <definedName name="SD_2357x9_9_B_0" localSheetId="0">MAPPING!$S$458</definedName>
    <definedName name="SD_25_B_0" localSheetId="0">MAPPING!$M$349</definedName>
    <definedName name="SD_3946x1_109_B_0" localSheetId="0">MAPPING!$I$125</definedName>
    <definedName name="SD_3946x1_110_B_0" localSheetId="0">MAPPING!$I$127</definedName>
    <definedName name="SD_3946x1_137_B_1" localSheetId="0">MAPPING!$I$171</definedName>
    <definedName name="SD_3946x1_139_B_1" localSheetId="0">MAPPING!$I$173</definedName>
    <definedName name="SD_3946x1_141_B_1" localSheetId="0">MAPPING!$I$175</definedName>
    <definedName name="SD_3946x1_143_B_1" localSheetId="0">MAPPING!$I$177</definedName>
    <definedName name="SD_3946x1_145_B_1" localSheetId="0">MAPPING!$I$179</definedName>
    <definedName name="SD_3946x1_147_B_1" localSheetId="0">MAPPING!$I$181</definedName>
    <definedName name="SD_3946x1_149_B_1" localSheetId="0">MAPPING!$I$183</definedName>
    <definedName name="SD_3946x1_151_B_1" localSheetId="0">MAPPING!$I$185</definedName>
    <definedName name="SD_3946x1_154_B_0" localSheetId="0">MAPPING!$I$172</definedName>
    <definedName name="SD_3946x1_155_B_0" localSheetId="0">MAPPING!$I$174</definedName>
    <definedName name="SD_3946x1_156_B_0" localSheetId="0">MAPPING!$I$176</definedName>
    <definedName name="SD_3946x1_157_B_0" localSheetId="0">MAPPING!$I$178</definedName>
    <definedName name="SD_3946x1_158_B_0" localSheetId="0">MAPPING!$I$180</definedName>
    <definedName name="SD_3946x1_159_B_0" localSheetId="0">MAPPING!$I$182</definedName>
    <definedName name="SD_3946x1_160_B_0" localSheetId="0">MAPPING!$I$184</definedName>
    <definedName name="SD_3946x1_161_B_0" localSheetId="0">MAPPING!$I$186</definedName>
    <definedName name="SD_3946x1_162_B_0" localSheetId="0">MAPPING!$I$741</definedName>
    <definedName name="SD_3946x1_163_B_0" localSheetId="0">MAPPING!$I$742</definedName>
    <definedName name="SD_3946x1_164_B_0" localSheetId="0">MAPPING!$I$743</definedName>
    <definedName name="SD_3946x1_165_B_0" localSheetId="0">MAPPING!$I$744</definedName>
    <definedName name="SD_3946x1_166_B_0" localSheetId="0">MAPPING!$I$745</definedName>
    <definedName name="SD_3946x1_167_B_0" localSheetId="0">MAPPING!$I$746</definedName>
    <definedName name="SD_3946x1_168_B_0" localSheetId="0">MAPPING!$I$747</definedName>
    <definedName name="SD_3946x1_169_B_0" localSheetId="0">MAPPING!$I$748</definedName>
    <definedName name="SD_3946x1_170_B_0" localSheetId="0">MAPPING!$I$749</definedName>
    <definedName name="SD_3946x1_171_B_0" localSheetId="0">MAPPING!$I$750</definedName>
    <definedName name="SD_3946x1_172_B_0" localSheetId="0">MAPPING!$I$751</definedName>
    <definedName name="SD_3946x1_173_B_0" localSheetId="0">MAPPING!$I$756</definedName>
    <definedName name="SD_3946x1_174_B_0" localSheetId="0">MAPPING!$I$760</definedName>
    <definedName name="SD_3946x1_175_B_0" localSheetId="0">MAPPING!$I$757</definedName>
    <definedName name="SD_3946x1_176_B_0" localSheetId="0">MAPPING!$I$761</definedName>
    <definedName name="SD_3946x1_177_B_0" localSheetId="0">MAPPING!$I$758</definedName>
    <definedName name="SD_3946x1_178_B_0" localSheetId="0">MAPPING!$I$762</definedName>
    <definedName name="SD_3946x1_179_B_0" localSheetId="0">MAPPING!$I$759</definedName>
    <definedName name="SD_3946x1_180_B_0" localSheetId="0">MAPPING!$I$763</definedName>
    <definedName name="SD_3946x1_181_B_0" localSheetId="0">MAPPING!$I$768</definedName>
    <definedName name="SD_3946x1_182_B_0" localSheetId="0">MAPPING!$I$769</definedName>
    <definedName name="SD_3946x1_183_B_0" localSheetId="0">MAPPING!$I$770</definedName>
    <definedName name="SD_3946x1_184_B_0" localSheetId="0">MAPPING!$I$771</definedName>
    <definedName name="SD_3946x1_185_B_0" localSheetId="0">MAPPING!$I$772</definedName>
    <definedName name="SD_3946x1_186_B_0" localSheetId="0">MAPPING!$I$773</definedName>
    <definedName name="SD_3946x1_187_B_0" localSheetId="0">MAPPING!$I$774</definedName>
    <definedName name="SD_3946x1_188_B_0" localSheetId="0">MAPPING!$I$775</definedName>
    <definedName name="SD_3946x1_197_B_0" localSheetId="0">MAPPING!$I$784</definedName>
    <definedName name="SD_3946x1_198_B_0" localSheetId="0">MAPPING!$I$785</definedName>
    <definedName name="SD_3946x1_199_B_0" localSheetId="0">MAPPING!$I$786</definedName>
    <definedName name="SD_3946x1_201_B_0" localSheetId="0">MAPPING!$I$788</definedName>
    <definedName name="SD_3946x1_202_B_0" localSheetId="0">MAPPING!$I$787</definedName>
    <definedName name="SD_3946x1_203_B_0" localSheetId="0">MAPPING!$I$789</definedName>
    <definedName name="SD_3946x1_204_B_0" localSheetId="0">MAPPING!$I$790</definedName>
    <definedName name="SD_3946x1_205_B_0" localSheetId="0">MAPPING!$I$791</definedName>
    <definedName name="SD_3946x1_207_B_0" localSheetId="0">MAPPING!$I$793</definedName>
    <definedName name="SD_3946x1_208_B_0" localSheetId="0">MAPPING!$I$792</definedName>
    <definedName name="SD_3946x1_209_B_0" localSheetId="0">MAPPING!$I$794</definedName>
    <definedName name="SD_3946x1_210_B_0" localSheetId="0">MAPPING!$I$795</definedName>
    <definedName name="SD_3946x1_211_B_0" localSheetId="0">MAPPING!$I$796</definedName>
    <definedName name="SD_3946x1_212_B_0" localSheetId="0">MAPPING!$I$797</definedName>
    <definedName name="SD_3946x1_213_B_0" localSheetId="0">MAPPING!$I$798</definedName>
    <definedName name="SD_3946x1_214_B_0" localSheetId="0">MAPPING!$I$799</definedName>
    <definedName name="SD_3946x1_215_B_0" localSheetId="0">MAPPING!$I$800</definedName>
    <definedName name="SD_3946x1_216_B_0" localSheetId="0">MAPPING!$I$801</definedName>
    <definedName name="SD_3946x1_217_B_0" localSheetId="0">MAPPING!$I$802</definedName>
    <definedName name="SD_3946x1_218_B_0" localSheetId="0">MAPPING!$I$803</definedName>
    <definedName name="SD_3946x1_219_B_0" localSheetId="0">MAPPING!$I$804</definedName>
    <definedName name="SD_3946x1_220_B_0" localSheetId="0">MAPPING!$I$805</definedName>
    <definedName name="SD_3946x1_221_B_0" localSheetId="0">MAPPING!$I$806</definedName>
    <definedName name="SD_3946x1_222_B_0" localSheetId="0">MAPPING!$I$807</definedName>
    <definedName name="SD_3946x1_223_B_0" localSheetId="0">MAPPING!$I$808</definedName>
    <definedName name="SD_3946x1_224_B_0" localSheetId="0">MAPPING!$I$809</definedName>
    <definedName name="SD_3946x1_225_B_0" localSheetId="0">MAPPING!$I$810</definedName>
    <definedName name="SD_3946x1_226_B_0" localSheetId="0">MAPPING!$I$811</definedName>
    <definedName name="SD_3946x1_227_B_0" localSheetId="0">MAPPING!$I$812</definedName>
    <definedName name="SD_3946x1_228_B_0" localSheetId="0">MAPPING!$I$813</definedName>
    <definedName name="SD_3946x1_229_B_0" localSheetId="0">MAPPING!$I$814</definedName>
    <definedName name="SD_3946x1_230_B_0" localSheetId="0">MAPPING!$I$815</definedName>
    <definedName name="SD_3946x1_231_B_0" localSheetId="0">MAPPING!$I$118</definedName>
    <definedName name="SD_3946x1_232_B_0" localSheetId="0">MAPPING!$I$119</definedName>
    <definedName name="SD_3946x1_233_B_0" localSheetId="0">MAPPING!$I$120</definedName>
    <definedName name="SD_3946x1_234_B_0" localSheetId="0">MAPPING!$I$121</definedName>
    <definedName name="SD_3946x1_235_B_0" localSheetId="0">MAPPING!$I$122</definedName>
    <definedName name="SD_3946x1_236_B_0" localSheetId="0">MAPPING!$I$123</definedName>
    <definedName name="SD_3946x1_237_B_0" localSheetId="0">MAPPING!$I$124</definedName>
    <definedName name="SD_3946x1_238_B_0" localSheetId="0">MAPPING!$I$126</definedName>
    <definedName name="SD_3946x1_239_B_0" localSheetId="0">MAPPING!$I$128</definedName>
    <definedName name="SD_3946x1_240_B_0" localSheetId="0">MAPPING!$I$129</definedName>
    <definedName name="SD_3946x1_241_B_0" localSheetId="0">MAPPING!$I$130</definedName>
    <definedName name="SD_3946x1_242_B_0" localSheetId="0">MAPPING!$I$131</definedName>
    <definedName name="SD_3946x1_243_B_0" localSheetId="0">MAPPING!$I$776</definedName>
    <definedName name="SD_3946x1_244_B_0" localSheetId="0">MAPPING!$I$777</definedName>
    <definedName name="SD_3946x1_245_B_0" localSheetId="0">MAPPING!$I$778</definedName>
    <definedName name="SD_3946x1_246_B_0" localSheetId="0">MAPPING!$I$779</definedName>
    <definedName name="SD_3946x1_247_B_0" localSheetId="0">MAPPING!$I$780</definedName>
    <definedName name="SD_3946x1_248_B_0" localSheetId="0">MAPPING!$I$781</definedName>
    <definedName name="SD_3946x1_249_B_0" localSheetId="0">MAPPING!$I$782</definedName>
    <definedName name="SD_3946x1_250_B_0" localSheetId="0">MAPPING!$I$783</definedName>
    <definedName name="SD_3946x1_251_B_0" localSheetId="0">MAPPING!$I$1037</definedName>
    <definedName name="SD_3946x1_252_B_0" localSheetId="0">MAPPING!$I$1038</definedName>
    <definedName name="SD_3946x1_253_B_0" localSheetId="0">MAPPING!$I$1039</definedName>
    <definedName name="SD_3946x1_254_B_0" localSheetId="0">MAPPING!$I$1040</definedName>
    <definedName name="SD_3946x1_255_B_0" localSheetId="0">MAPPING!$I$1041</definedName>
    <definedName name="SD_3946x1_256_B_0" localSheetId="0">MAPPING!$I$1042</definedName>
    <definedName name="SD_3946x1_257_B_0" localSheetId="0">MAPPING!$I$1043</definedName>
    <definedName name="SD_3946x1_258_B_0" localSheetId="0">MAPPING!$I$1044</definedName>
    <definedName name="SD_3946x1_259_B_0" localSheetId="0">MAPPING!$I$1045</definedName>
    <definedName name="SD_3946x1_260_B_0" localSheetId="0">MAPPING!$I$1046</definedName>
    <definedName name="SD_3946x1_261_B_0" localSheetId="0">MAPPING!$I$1047</definedName>
    <definedName name="SD_3946x1_262_B_0" localSheetId="0">MAPPING!$I$1048</definedName>
    <definedName name="SD_3946x1_263_B_0" localSheetId="0">MAPPING!$I$1049</definedName>
    <definedName name="SD_3946x1_265_B_0" localSheetId="0">MAPPING!$I$1051</definedName>
    <definedName name="SD_3946x1_266_B_0" localSheetId="0">MAPPING!$I$1052</definedName>
    <definedName name="SD_3946x1_267_B_0" localSheetId="0">MAPPING!$I$1053</definedName>
    <definedName name="SD_3946x1_268_B_0" localSheetId="0">MAPPING!$I$1054</definedName>
    <definedName name="SD_3946x1_269_B_0" localSheetId="0">MAPPING!$I$1055</definedName>
    <definedName name="SD_3946x1_270_B_0" localSheetId="0">MAPPING!$I$1056</definedName>
    <definedName name="SD_3946x1_271_B_0" localSheetId="0">MAPPING!$I$1057</definedName>
    <definedName name="SD_3946x1_325_B_0" localSheetId="0" hidden="1">MAPPING!$I$1058</definedName>
    <definedName name="SD_3946x1_326_B_0" localSheetId="0" hidden="1">MAPPING!$I$1059</definedName>
    <definedName name="SD_3946x1_327_B_0" localSheetId="0" hidden="1">MAPPING!$I$1060</definedName>
    <definedName name="SD_3946x1_328_B_0" localSheetId="0" hidden="1">MAPPING!$I$1061</definedName>
    <definedName name="SD_4270x1_149_B_0" localSheetId="0">MAPPING!$N$20</definedName>
    <definedName name="SD_4270x1_212_B_0" localSheetId="0">MAPPING!$N$30</definedName>
    <definedName name="SD_4270x1_4371x1_115_B_1" localSheetId="0">MAPPING!$N$27</definedName>
    <definedName name="SD_4270x1_4371x1_125_B_1" localSheetId="0">MAPPING!$N$102</definedName>
    <definedName name="SD_4270x1_4371x1_129_B_0" localSheetId="0">MAPPING!$N$21</definedName>
    <definedName name="SD_4270x1_4371x1_131_B_0" localSheetId="0">MAPPING!$N$23</definedName>
    <definedName name="SD_4270x1_4371x1_132_B_0" localSheetId="0">MAPPING!$N$24</definedName>
    <definedName name="SD_4270x1_4371x1_134_B_0" localSheetId="0">MAPPING!$N$28</definedName>
    <definedName name="SD_4270x1_4371x1_135_B_0" localSheetId="0">MAPPING!$T$8</definedName>
    <definedName name="SD_4270x1_4371x1_136_B_0" localSheetId="0">MAPPING!$T$9</definedName>
    <definedName name="SD_4270x1_4371x1_140_B_0" localSheetId="0">MAPPING!$N$25</definedName>
    <definedName name="SD_4270x1_4371x1_146_B_0" localSheetId="0">MAPPING!$M$344</definedName>
    <definedName name="SD_4270x1_4371x1_162_B_0" localSheetId="0">MAPPING!$M$342</definedName>
    <definedName name="SD_4270x1_4371x1_166_B_0" localSheetId="0">MAPPING!$M$343</definedName>
    <definedName name="SD_4270x1_4371x1_168_B_0" localSheetId="0">MAPPING!$N$15</definedName>
    <definedName name="SD_4270x1_4371x1_181_B_0" localSheetId="0">MAPPING!$N$51</definedName>
    <definedName name="SD_4270x1_4371x1_185_B_0" localSheetId="0">MAPPING!$N$52</definedName>
    <definedName name="SD_4270x1_4371x1_201_B_0" localSheetId="0">MAPPING!$N$71</definedName>
    <definedName name="SD_4270x1_4371x1_214_B_0" localSheetId="0">MAPPING!$N$99</definedName>
    <definedName name="SD_4270x1_4371x1_221_B_0" localSheetId="0">MAPPING!$M$340</definedName>
    <definedName name="SD_4270x1_4371x1_222_B_0" localSheetId="0">MAPPING!$M$341</definedName>
    <definedName name="SD_4270x1_4371x1_226_B_0" localSheetId="0">MAPPING!$I$385</definedName>
    <definedName name="SD_4270x1_4371x1_227_B_0" localSheetId="0">MAPPING!$I$386</definedName>
    <definedName name="SD_4270x1_4371x1_228_B_0" localSheetId="0">MAPPING!$I$387</definedName>
    <definedName name="SD_4270x1_4371x1_229_B_0" localSheetId="0">MAPPING!$I$388</definedName>
    <definedName name="SD_4270x1_4371x1_230_B_0" localSheetId="0">MAPPING!$I$389</definedName>
    <definedName name="SD_4270x1_4371x1_232_B_0" localSheetId="0">MAPPING!$I$391</definedName>
    <definedName name="SD_4270x1_4371x1_233_B_0" localSheetId="0">MAPPING!$I$392</definedName>
    <definedName name="SD_4270x1_4371x1_234_B_0" localSheetId="0">MAPPING!$I$393</definedName>
    <definedName name="SD_4270x1_4371x1_235_B_0" localSheetId="0">MAPPING!$I$394</definedName>
    <definedName name="SD_4270x1_4371x1_236_B_0" localSheetId="0">MAPPING!$I$395</definedName>
    <definedName name="SD_4270x1_4371x1_237_B_0" localSheetId="0">MAPPING!$I$403</definedName>
    <definedName name="SD_4270x1_4371x1_238_B_0" localSheetId="0">MAPPING!$I$399</definedName>
    <definedName name="SD_4270x1_4371x1_239_B_0" localSheetId="0">MAPPING!$I$404</definedName>
    <definedName name="SD_4270x1_4371x1_240_B_0" localSheetId="0">MAPPING!$I$405</definedName>
    <definedName name="SD_4270x1_4371x1_241_B_0" localSheetId="0">MAPPING!$I$407</definedName>
    <definedName name="SD_4270x1_4371x1_242_B_0" localSheetId="0">MAPPING!$I$406</definedName>
    <definedName name="SD_4270x1_4371x1_243_B_0" localSheetId="0">MAPPING!$I$408</definedName>
    <definedName name="SD_4270x1_4371x1_244_B_0" localSheetId="0">MAPPING!$I$409</definedName>
    <definedName name="SD_4270x1_4371x1_245_B_0" localSheetId="0">MAPPING!$I$410</definedName>
    <definedName name="SD_4270x1_4371x1_246_B_0" localSheetId="0">MAPPING!$I$411</definedName>
    <definedName name="SD_4270x1_4371x1_247_B_0" localSheetId="0">MAPPING!$I$412</definedName>
    <definedName name="SD_4270x1_4371x1_248_B_0" localSheetId="0">MAPPING!$I$414</definedName>
    <definedName name="SD_4270x1_4371x1_249_B_0" localSheetId="0">MAPPING!$I$415</definedName>
    <definedName name="SD_4270x1_4371x1_250_B_0" localSheetId="0">MAPPING!$I$416</definedName>
    <definedName name="SD_4270x1_4371x1_251_B_0" localSheetId="0">MAPPING!$I$417</definedName>
    <definedName name="SD_4270x1_4371x1_252_B_0" localSheetId="0">MAPPING!$I$418</definedName>
    <definedName name="SD_4270x1_4371x1_253_B_0" localSheetId="0">MAPPING!$I$419</definedName>
    <definedName name="SD_4270x1_4371x1_254_B_0" localSheetId="0">MAPPING!$I$420</definedName>
    <definedName name="SD_4270x1_4371x1_255_B_0" localSheetId="0">MAPPING!$I$421</definedName>
    <definedName name="SD_4270x1_4371x1_256_B_0" localSheetId="0">MAPPING!$I$422</definedName>
    <definedName name="SD_4270x1_4371x1_257_B_0" localSheetId="0">MAPPING!$I$423</definedName>
    <definedName name="SD_4270x1_4371x1_258_B_0" localSheetId="0">MAPPING!$I$424</definedName>
    <definedName name="SD_4270x1_4371x1_259_B_0" localSheetId="0">MAPPING!$I$425</definedName>
    <definedName name="SD_4270x1_4371x1_260_B_0" localSheetId="0">MAPPING!$I$426</definedName>
    <definedName name="SD_4270x1_4371x1_261_B_0" localSheetId="0">MAPPING!$I$427</definedName>
    <definedName name="SD_4270x1_4371x1_262_B_0" localSheetId="0">MAPPING!$I$430</definedName>
    <definedName name="SD_4270x1_4371x1_263_B_0" localSheetId="0">MAPPING!$I$432</definedName>
    <definedName name="SD_4270x1_4371x1_264_B_0" localSheetId="0">MAPPING!$I$436</definedName>
    <definedName name="SD_4270x1_4371x1_265_B_0" localSheetId="0">MAPPING!$I$437</definedName>
    <definedName name="SD_4270x1_4371x1_266_B_0" localSheetId="0">MAPPING!$I$438</definedName>
    <definedName name="SD_4270x1_4371x1_267_B_0" localSheetId="0">MAPPING!$I$440</definedName>
    <definedName name="SD_4270x1_4371x1_268_B_0" localSheetId="0">MAPPING!$I$441</definedName>
    <definedName name="SD_4270x1_4371x1_269_B_0" localSheetId="0">MAPPING!$I$442</definedName>
    <definedName name="SD_4270x1_4371x1_270_B_0" localSheetId="0">MAPPING!$I$443</definedName>
    <definedName name="SD_4270x1_4371x1_271_B_0" localSheetId="0">MAPPING!$I$445</definedName>
    <definedName name="SD_4270x1_4371x1_362_B_1" localSheetId="0">MAPPING!$M$664</definedName>
    <definedName name="SD_4270x1_4371x1_410_B_0" localSheetId="0">MAPPING!$V$531</definedName>
    <definedName name="SD_4270x1_4371x1_411_B_0" localSheetId="0">MAPPING!$V$578</definedName>
    <definedName name="SD_4270x1_4371x1_412_B_0" localSheetId="0">MAPPING!$V$593</definedName>
    <definedName name="SD_4270x1_4371x1_413_B_0" localSheetId="0">MAPPING!$V$597</definedName>
    <definedName name="SD_4270x1_4371x1_414_B_0" localSheetId="0">MAPPING!$V$603</definedName>
    <definedName name="SD_4270x1_4371x1_415_B_0" localSheetId="0">MAPPING!$V$622</definedName>
    <definedName name="SD_4270x1_4371x1_416_B_0" localSheetId="0">MAPPING!$V$634</definedName>
    <definedName name="SD_4270x1_4371x1_417_B_0" localSheetId="0">MAPPING!$V$632</definedName>
    <definedName name="SD_4270x1_4371x1_418_B_0" localSheetId="0">MAPPING!$V$645</definedName>
    <definedName name="SD_4270x1_4371x1_419_B_0" localSheetId="0">MAPPING!$V$530</definedName>
    <definedName name="SD_4270x1_4371x1_420_B_0" localSheetId="0">MAPPING!$V$541</definedName>
    <definedName name="SD_4270x1_4371x1_421_B_0" localSheetId="0">MAPPING!$V$624</definedName>
    <definedName name="SD_4270x1_4371x1_422_B_0" localSheetId="0">MAPPING!$V$636</definedName>
    <definedName name="SD_4270x1_4371x1_423_B_0" localSheetId="0">MAPPING!$V$640</definedName>
    <definedName name="SD_4270x1_4371x1_4546x1_22_B_0" localSheetId="0">MAPPING!$S$538</definedName>
    <definedName name="SD_4270x1_4371x1_4546x1_23_B_0" localSheetId="0">MAPPING!$S$524</definedName>
    <definedName name="SD_4270x1_4371x1_4546x1_24_B_0" localSheetId="0">MAPPING!$S$525</definedName>
    <definedName name="SD_4270x1_4371x1_4546x1_25_B_0" localSheetId="0">MAPPING!$S$539</definedName>
    <definedName name="SD_4270x1_4371x1_4546x1_26_B_0" localSheetId="0">MAPPING!$S$533</definedName>
    <definedName name="SD_4270x1_4371x1_4546x1_28_B_0" localSheetId="0">MAPPING!$S$568</definedName>
    <definedName name="SD_4270x1_4371x1_4546x1_29_B_0" localSheetId="0">MAPPING!$S$571</definedName>
    <definedName name="SD_4270x1_4371x1_4546x1_30_B_0" localSheetId="0">MAPPING!$S$572</definedName>
    <definedName name="SD_4270x1_4371x1_4546x1_32_B_0" localSheetId="0">MAPPING!$S$574</definedName>
    <definedName name="SD_4270x1_4371x1_4546x1_33_B_0" localSheetId="0">MAPPING!$S$527</definedName>
    <definedName name="SD_4270x1_4371x1_4546x1_38_B_0" localSheetId="0">MAPPING!$S$536</definedName>
    <definedName name="SD_4270x1_4371x1_4546x1_40_B_0" localSheetId="0">MAPPING!$S$534</definedName>
    <definedName name="SD_4270x1_4371x1_4546x1_41_B_0" localSheetId="0">MAPPING!$S$535</definedName>
    <definedName name="SD_4270x1_4371x1_4546x1_43_B_0" localSheetId="0">MAPPING!$S$637</definedName>
    <definedName name="SD_4270x1_4371x1_4546x1_44_B_0" localSheetId="0">MAPPING!$S$577</definedName>
    <definedName name="SD_4270x1_4371x1_4546x1_45_B_0" localSheetId="0">MAPPING!$S$630</definedName>
    <definedName name="SD_4270x1_4371x1_4546x1_47_B_0" localSheetId="0">MAPPING!$S$620</definedName>
    <definedName name="SD_4270x1_4371x1_4546x1_6_B_0" localSheetId="0">MAPPING!$S$625</definedName>
    <definedName name="SD_4270x1_4371x1_4546x1_61_B_0" localSheetId="0">MAPPING!$S$531</definedName>
    <definedName name="SD_4270x1_4371x1_4546x1_62_B_0" localSheetId="0">MAPPING!$S$578</definedName>
    <definedName name="SD_4270x1_4371x1_4546x1_63_B_0" localSheetId="0">MAPPING!$S$593</definedName>
    <definedName name="SD_4270x1_4371x1_4546x1_64_B_0" localSheetId="0">MAPPING!$S$597</definedName>
    <definedName name="SD_4270x1_4371x1_4546x1_65_B_0" localSheetId="0">MAPPING!$S$603</definedName>
    <definedName name="SD_4270x1_4371x1_4546x1_66_B_0" localSheetId="0">MAPPING!$S$622</definedName>
    <definedName name="SD_4270x1_4371x1_4546x1_67_B_0" localSheetId="0">MAPPING!$S$634</definedName>
    <definedName name="SD_4270x1_4371x1_4546x1_68_B_0" localSheetId="0">MAPPING!$S$632</definedName>
    <definedName name="SD_4270x1_4371x1_4546x1_69_B_0" localSheetId="0">MAPPING!$S$645</definedName>
    <definedName name="SD_4270x1_4371x1_4546x1_70_B_0" localSheetId="0">MAPPING!$S$530</definedName>
    <definedName name="SD_4270x1_4371x1_4546x1_71_B_0" localSheetId="0">MAPPING!$S$541</definedName>
    <definedName name="SD_4270x1_4371x1_4546x1_72_B_0" localSheetId="0">MAPPING!$S$624</definedName>
    <definedName name="SD_4270x1_4371x1_4546x1_73_B_0" localSheetId="0">MAPPING!$S$636</definedName>
    <definedName name="SD_4270x1_4371x1_4546x1_74_B_0" localSheetId="0">MAPPING!$S$640</definedName>
    <definedName name="SD_4270x1_4371x1_4546x1_87_B_0" localSheetId="0">MAPPING!$S$528</definedName>
    <definedName name="SD_4270x1_4371x1_4546x1_90_B_0" localSheetId="0">MAPPING!$S$540</definedName>
    <definedName name="SD_4270x1_4371x1_4552x1_10_B_0" localSheetId="0">MAPPING!$R$504</definedName>
    <definedName name="SD_4270x1_4371x1_4552x1_16_B_0" localSheetId="0">MAPPING!$R$505</definedName>
    <definedName name="SD_4270x1_4371x1_4552x1_17_B_0" localSheetId="0">MAPPING!$R$507</definedName>
    <definedName name="SD_4270x1_4371x1_4552x1_18_B_0" localSheetId="0">MAPPING!$R$506</definedName>
    <definedName name="SD_4270x1_4371x1_4552x1_19_B_0" localSheetId="0">MAPPING!$R$508</definedName>
    <definedName name="SD_4270x1_4371x1_4552x1_22_B_0" localSheetId="0">MAPPING!$R$538</definedName>
    <definedName name="SD_4270x1_4371x1_4552x1_23_B_0" localSheetId="0">MAPPING!$R$524</definedName>
    <definedName name="SD_4270x1_4371x1_4552x1_24_B_0" localSheetId="0">MAPPING!$R$525</definedName>
    <definedName name="SD_4270x1_4371x1_4552x1_25_B_0" localSheetId="0">MAPPING!$R$539</definedName>
    <definedName name="SD_4270x1_4371x1_4552x1_26_B_0" localSheetId="0">MAPPING!$R$533</definedName>
    <definedName name="SD_4270x1_4371x1_4552x1_28_B_0" localSheetId="0">MAPPING!$R$568</definedName>
    <definedName name="SD_4270x1_4371x1_4552x1_29_B_0" localSheetId="0">MAPPING!$R$571</definedName>
    <definedName name="SD_4270x1_4371x1_4552x1_30_B_0" localSheetId="0">MAPPING!$R$572</definedName>
    <definedName name="SD_4270x1_4371x1_4552x1_32_B_0" localSheetId="0">MAPPING!$R$574</definedName>
    <definedName name="SD_4270x1_4371x1_4552x1_33_B_0" localSheetId="0">MAPPING!$R$527</definedName>
    <definedName name="SD_4270x1_4371x1_4552x1_38_B_0" localSheetId="0">MAPPING!$R$536</definedName>
    <definedName name="SD_4270x1_4371x1_4552x1_40_B_0" localSheetId="0">MAPPING!$R$534</definedName>
    <definedName name="SD_4270x1_4371x1_4552x1_41_B_0" localSheetId="0">MAPPING!$R$535</definedName>
    <definedName name="SD_4270x1_4371x1_4552x1_42_B_0" localSheetId="0">MAPPING!$R$646</definedName>
    <definedName name="SD_4270x1_4371x1_4552x1_43_B_0" localSheetId="0">MAPPING!$R$637</definedName>
    <definedName name="SD_4270x1_4371x1_4552x1_44_B_0" localSheetId="0">MAPPING!$R$577</definedName>
    <definedName name="SD_4270x1_4371x1_4552x1_45_B_0" localSheetId="0">MAPPING!$R$630</definedName>
    <definedName name="SD_4270x1_4371x1_4552x1_46_B_0" localSheetId="0">MAPPING!$R$621</definedName>
    <definedName name="SD_4270x1_4371x1_4552x1_47_B_0" localSheetId="0">MAPPING!$R$620</definedName>
    <definedName name="SD_4270x1_4371x1_4552x1_6_B_0" localSheetId="0">MAPPING!$R$625</definedName>
    <definedName name="SD_4270x1_4371x1_4552x1_61_B_0" localSheetId="0">MAPPING!$R$531</definedName>
    <definedName name="SD_4270x1_4371x1_4552x1_62_B_0" localSheetId="0">MAPPING!$R$578</definedName>
    <definedName name="SD_4270x1_4371x1_4552x1_63_B_0" localSheetId="0">MAPPING!$R$593</definedName>
    <definedName name="SD_4270x1_4371x1_4552x1_64_B_0" localSheetId="0">MAPPING!$R$597</definedName>
    <definedName name="SD_4270x1_4371x1_4552x1_65_B_0" localSheetId="0">MAPPING!$R$603</definedName>
    <definedName name="SD_4270x1_4371x1_4552x1_66_B_0" localSheetId="0">MAPPING!$R$622</definedName>
    <definedName name="SD_4270x1_4371x1_4552x1_67_B_0" localSheetId="0">MAPPING!$R$634</definedName>
    <definedName name="SD_4270x1_4371x1_4552x1_68_B_0" localSheetId="0">MAPPING!$R$632</definedName>
    <definedName name="SD_4270x1_4371x1_4552x1_69_B_0" localSheetId="0">MAPPING!$R$645</definedName>
    <definedName name="SD_4270x1_4371x1_4552x1_70_B_0" localSheetId="0">MAPPING!$R$530</definedName>
    <definedName name="SD_4270x1_4371x1_4552x1_71_B_0" localSheetId="0">MAPPING!$R$541</definedName>
    <definedName name="SD_4270x1_4371x1_4552x1_72_B_0" localSheetId="0">MAPPING!$R$624</definedName>
    <definedName name="SD_4270x1_4371x1_4552x1_73_B_0" localSheetId="0">MAPPING!$R$636</definedName>
    <definedName name="SD_4270x1_4371x1_4552x1_74_B_0" localSheetId="0">MAPPING!$R$640</definedName>
    <definedName name="SD_4270x1_4371x1_4552x1_87_B_0" localSheetId="0">MAPPING!$R$528</definedName>
    <definedName name="SD_4270x1_4371x1_4552x1_9_B_0" localSheetId="0">MAPPING!$R$503</definedName>
    <definedName name="SD_4270x1_4371x1_4552x1_90_B_0" localSheetId="0">MAPPING!$R$540</definedName>
    <definedName name="SD_4270x1_4371x1_4552x1_91_B_0" localSheetId="0">MAPPING!$R$509</definedName>
    <definedName name="SD_4270x1_4371x1_4552x1_92_B_0" localSheetId="0">MAPPING!$R$510</definedName>
    <definedName name="SD_4270x1_4371x1_4552x1_93_B_0" localSheetId="0">MAPPING!$R$516</definedName>
    <definedName name="SD_4270x1_4371x1_4558x1_10_B_0" localSheetId="0">MAPPING!$X$191</definedName>
    <definedName name="SD_4270x1_4371x1_4558x1_11_B_0" localSheetId="0">MAPPING!$AA$191</definedName>
    <definedName name="SD_4270x1_4371x1_4558x1_12_B_0" localSheetId="0">MAPPING!$AG$191</definedName>
    <definedName name="SD_4270x1_4371x1_4558x1_25_B_0" localSheetId="0">MAPPING!$Y$191</definedName>
    <definedName name="SD_4270x1_4371x1_4558x1_38_B_0" localSheetId="0">MAPPING!$AD$191</definedName>
    <definedName name="SD_4270x1_4371x1_4558x1_43_B_0" localSheetId="0">MAPPING!$AK$191</definedName>
    <definedName name="SD_4270x1_4371x1_4558x1_6_B_1" localSheetId="0">MAPPING!$W$191</definedName>
    <definedName name="SD_4270x1_4371x1_4558x1_7_B_0" localSheetId="0">MAPPING!$U$191</definedName>
    <definedName name="SD_4270x1_4371x1_4558x1_9_B_0" localSheetId="0">MAPPING!$V$191</definedName>
    <definedName name="SD_4270x1_4371x1_4558x1_9005x1_100_B_0" localSheetId="0">MAPPING!$AE$191</definedName>
    <definedName name="SD_4270x1_4371x1_4558x1_9005x1_250_B_1" localSheetId="0">MAPPING!$AF$191</definedName>
    <definedName name="SD_4270x1_4371x1_4558x1_9005x1_251_B_0" localSheetId="0">MAPPING!$AH$191</definedName>
    <definedName name="SD_4270x1_4371x1_4558x1_9005x1_252_B_0" localSheetId="0">MAPPING!$AI$191</definedName>
    <definedName name="SD_4270x1_4371x1_4558x1_9005x1_253_B_0" localSheetId="0">MAPPING!$AJ$191</definedName>
    <definedName name="SD_4270x1_4371x1_4558x1_9005x1_254_B_0" localSheetId="0">MAPPING!$AB$191</definedName>
    <definedName name="SD_4270x1_4371x1_4558x1_9005x1_255_B_0" localSheetId="0">MAPPING!$AC$191</definedName>
    <definedName name="SD_4270x1_4371x1_4558x10_10_B_0" localSheetId="0">MAPPING!$X$200</definedName>
    <definedName name="SD_4270x1_4371x1_4558x10_11_B_0" localSheetId="0">MAPPING!$AA$200</definedName>
    <definedName name="SD_4270x1_4371x1_4558x10_12_B_0" localSheetId="0">MAPPING!$AG$200</definedName>
    <definedName name="SD_4270x1_4371x1_4558x10_25_B_0" localSheetId="0">MAPPING!$Y$200</definedName>
    <definedName name="SD_4270x1_4371x1_4558x10_38_B_0" localSheetId="0">MAPPING!$AD$200</definedName>
    <definedName name="SD_4270x1_4371x1_4558x10_43_B_0" localSheetId="0">MAPPING!$AK$200</definedName>
    <definedName name="SD_4270x1_4371x1_4558x10_6_B_1" localSheetId="0">MAPPING!$W$200</definedName>
    <definedName name="SD_4270x1_4371x1_4558x10_7_B_0" localSheetId="0">MAPPING!$U$200</definedName>
    <definedName name="SD_4270x1_4371x1_4558x10_9_B_0" localSheetId="0">MAPPING!$V$200</definedName>
    <definedName name="SD_4270x1_4371x1_4558x10_9005x1_100_B_0" localSheetId="0">MAPPING!$AE$200</definedName>
    <definedName name="SD_4270x1_4371x1_4558x10_9005x1_250_B_1" localSheetId="0">MAPPING!$AF$200</definedName>
    <definedName name="SD_4270x1_4371x1_4558x10_9005x1_251_B_0" localSheetId="0">MAPPING!$AH$200</definedName>
    <definedName name="SD_4270x1_4371x1_4558x10_9005x1_252_B_0" localSheetId="0">MAPPING!$AI$200</definedName>
    <definedName name="SD_4270x1_4371x1_4558x10_9005x1_253_B_0" localSheetId="0">MAPPING!$AJ$200</definedName>
    <definedName name="SD_4270x1_4371x1_4558x10_9005x1_254_B_0" localSheetId="0">MAPPING!$AB$200</definedName>
    <definedName name="SD_4270x1_4371x1_4558x10_9005x1_255_B_0" localSheetId="0">MAPPING!$AC$200</definedName>
    <definedName name="SD_4270x1_4371x1_4558x100_10_B_0" localSheetId="0">MAPPING!$X$290</definedName>
    <definedName name="SD_4270x1_4371x1_4558x100_11_B_0" localSheetId="0">MAPPING!$AA$290</definedName>
    <definedName name="SD_4270x1_4371x1_4558x100_12_B_0" localSheetId="0">MAPPING!$AG$290</definedName>
    <definedName name="SD_4270x1_4371x1_4558x100_25_B_0" localSheetId="0">MAPPING!$Y$290</definedName>
    <definedName name="SD_4270x1_4371x1_4558x100_38_B_0" localSheetId="0">MAPPING!$AD$290</definedName>
    <definedName name="SD_4270x1_4371x1_4558x100_43_B_0" localSheetId="0">MAPPING!$AK$290</definedName>
    <definedName name="SD_4270x1_4371x1_4558x100_6_B_1" localSheetId="0">MAPPING!$W$290</definedName>
    <definedName name="SD_4270x1_4371x1_4558x100_7_B_0" localSheetId="0">MAPPING!$U$290</definedName>
    <definedName name="SD_4270x1_4371x1_4558x100_9_B_0" localSheetId="0">MAPPING!$V$290</definedName>
    <definedName name="SD_4270x1_4371x1_4558x100_9005x1_100_B_0" localSheetId="0">MAPPING!$AE$290</definedName>
    <definedName name="SD_4270x1_4371x1_4558x100_9005x1_250_B_1" localSheetId="0">MAPPING!$AF$290</definedName>
    <definedName name="SD_4270x1_4371x1_4558x100_9005x1_251_B_0" localSheetId="0">MAPPING!$AH$290</definedName>
    <definedName name="SD_4270x1_4371x1_4558x100_9005x1_252_B_0" localSheetId="0">MAPPING!$AI$290</definedName>
    <definedName name="SD_4270x1_4371x1_4558x100_9005x1_253_B_0" localSheetId="0">MAPPING!$AJ$290</definedName>
    <definedName name="SD_4270x1_4371x1_4558x100_9005x1_254_B_0" localSheetId="0">MAPPING!$AB$290</definedName>
    <definedName name="SD_4270x1_4371x1_4558x100_9005x1_255_B_0" localSheetId="0">MAPPING!$AC$290</definedName>
    <definedName name="SD_4270x1_4371x1_4558x11_10_B_0" localSheetId="0">MAPPING!$X$201</definedName>
    <definedName name="SD_4270x1_4371x1_4558x11_11_B_0" localSheetId="0">MAPPING!$AA$201</definedName>
    <definedName name="SD_4270x1_4371x1_4558x11_12_B_0" localSheetId="0">MAPPING!$AG$201</definedName>
    <definedName name="SD_4270x1_4371x1_4558x11_25_B_0" localSheetId="0">MAPPING!$Y$201</definedName>
    <definedName name="SD_4270x1_4371x1_4558x11_38_B_0" localSheetId="0">MAPPING!$AD$201</definedName>
    <definedName name="SD_4270x1_4371x1_4558x11_43_B_0" localSheetId="0">MAPPING!$AK$201</definedName>
    <definedName name="SD_4270x1_4371x1_4558x11_6_B_1" localSheetId="0">MAPPING!$W$201</definedName>
    <definedName name="SD_4270x1_4371x1_4558x11_7_B_0" localSheetId="0">MAPPING!$U$201</definedName>
    <definedName name="SD_4270x1_4371x1_4558x11_9_B_0" localSheetId="0">MAPPING!$V$201</definedName>
    <definedName name="SD_4270x1_4371x1_4558x11_9005x1_100_B_0" localSheetId="0">MAPPING!$AE$201</definedName>
    <definedName name="SD_4270x1_4371x1_4558x11_9005x1_250_B_1" localSheetId="0">MAPPING!$AF$201</definedName>
    <definedName name="SD_4270x1_4371x1_4558x11_9005x1_251_B_0" localSheetId="0">MAPPING!$AH$201</definedName>
    <definedName name="SD_4270x1_4371x1_4558x11_9005x1_252_B_0" localSheetId="0">MAPPING!$AI$201</definedName>
    <definedName name="SD_4270x1_4371x1_4558x11_9005x1_253_B_0" localSheetId="0">MAPPING!$AJ$201</definedName>
    <definedName name="SD_4270x1_4371x1_4558x11_9005x1_254_B_0" localSheetId="0">MAPPING!$AB$201</definedName>
    <definedName name="SD_4270x1_4371x1_4558x11_9005x1_255_B_0" localSheetId="0">MAPPING!$AC$201</definedName>
    <definedName name="SD_4270x1_4371x1_4558x12_10_B_0" localSheetId="0">MAPPING!$X$202</definedName>
    <definedName name="SD_4270x1_4371x1_4558x12_11_B_0" localSheetId="0">MAPPING!$AA$202</definedName>
    <definedName name="SD_4270x1_4371x1_4558x12_12_B_0" localSheetId="0">MAPPING!$AG$202</definedName>
    <definedName name="SD_4270x1_4371x1_4558x12_25_B_0" localSheetId="0">MAPPING!$Y$202</definedName>
    <definedName name="SD_4270x1_4371x1_4558x12_38_B_0" localSheetId="0">MAPPING!$AD$202</definedName>
    <definedName name="SD_4270x1_4371x1_4558x12_43_B_0" localSheetId="0">MAPPING!$AK$202</definedName>
    <definedName name="SD_4270x1_4371x1_4558x12_6_B_1" localSheetId="0">MAPPING!$W$202</definedName>
    <definedName name="SD_4270x1_4371x1_4558x12_7_B_0" localSheetId="0">MAPPING!$U$202</definedName>
    <definedName name="SD_4270x1_4371x1_4558x12_9_B_0" localSheetId="0">MAPPING!$V$202</definedName>
    <definedName name="SD_4270x1_4371x1_4558x12_9005x1_100_B_0" localSheetId="0">MAPPING!$AE$202</definedName>
    <definedName name="SD_4270x1_4371x1_4558x12_9005x1_250_B_1" localSheetId="0">MAPPING!$AF$202</definedName>
    <definedName name="SD_4270x1_4371x1_4558x12_9005x1_251_B_0" localSheetId="0">MAPPING!$AH$202</definedName>
    <definedName name="SD_4270x1_4371x1_4558x12_9005x1_252_B_0" localSheetId="0">MAPPING!$AI$202</definedName>
    <definedName name="SD_4270x1_4371x1_4558x12_9005x1_253_B_0" localSheetId="0">MAPPING!$AJ$202</definedName>
    <definedName name="SD_4270x1_4371x1_4558x12_9005x1_254_B_0" localSheetId="0">MAPPING!$AB$202</definedName>
    <definedName name="SD_4270x1_4371x1_4558x12_9005x1_255_B_0" localSheetId="0">MAPPING!$AC$202</definedName>
    <definedName name="SD_4270x1_4371x1_4558x13_10_B_0" localSheetId="0">MAPPING!$X$203</definedName>
    <definedName name="SD_4270x1_4371x1_4558x13_11_B_0" localSheetId="0">MAPPING!$AA$203</definedName>
    <definedName name="SD_4270x1_4371x1_4558x13_12_B_0" localSheetId="0">MAPPING!$AG$203</definedName>
    <definedName name="SD_4270x1_4371x1_4558x13_25_B_0" localSheetId="0">MAPPING!$Y$203</definedName>
    <definedName name="SD_4270x1_4371x1_4558x13_38_B_0" localSheetId="0">MAPPING!$AD$203</definedName>
    <definedName name="SD_4270x1_4371x1_4558x13_43_B_0" localSheetId="0">MAPPING!$AK$203</definedName>
    <definedName name="SD_4270x1_4371x1_4558x13_6_B_1" localSheetId="0">MAPPING!$W$203</definedName>
    <definedName name="SD_4270x1_4371x1_4558x13_7_B_0" localSheetId="0">MAPPING!$U$203</definedName>
    <definedName name="SD_4270x1_4371x1_4558x13_9_B_0" localSheetId="0">MAPPING!$V$203</definedName>
    <definedName name="SD_4270x1_4371x1_4558x13_9005x1_100_B_0" localSheetId="0">MAPPING!$AE$203</definedName>
    <definedName name="SD_4270x1_4371x1_4558x13_9005x1_250_B_1" localSheetId="0">MAPPING!$AF$203</definedName>
    <definedName name="SD_4270x1_4371x1_4558x13_9005x1_251_B_0" localSheetId="0">MAPPING!$AH$203</definedName>
    <definedName name="SD_4270x1_4371x1_4558x13_9005x1_252_B_0" localSheetId="0">MAPPING!$AI$203</definedName>
    <definedName name="SD_4270x1_4371x1_4558x13_9005x1_253_B_0" localSheetId="0">MAPPING!$AJ$203</definedName>
    <definedName name="SD_4270x1_4371x1_4558x13_9005x1_254_B_0" localSheetId="0">MAPPING!$AB$203</definedName>
    <definedName name="SD_4270x1_4371x1_4558x13_9005x1_255_B_0" localSheetId="0">MAPPING!$AC$203</definedName>
    <definedName name="SD_4270x1_4371x1_4558x14_10_B_0" localSheetId="0">MAPPING!$X$204</definedName>
    <definedName name="SD_4270x1_4371x1_4558x14_11_B_0" localSheetId="0">MAPPING!$AA$204</definedName>
    <definedName name="SD_4270x1_4371x1_4558x14_12_B_0" localSheetId="0">MAPPING!$AG$204</definedName>
    <definedName name="SD_4270x1_4371x1_4558x14_25_B_0" localSheetId="0">MAPPING!$Y$204</definedName>
    <definedName name="SD_4270x1_4371x1_4558x14_38_B_0" localSheetId="0">MAPPING!$AD$204</definedName>
    <definedName name="SD_4270x1_4371x1_4558x14_43_B_0" localSheetId="0">MAPPING!$AK$204</definedName>
    <definedName name="SD_4270x1_4371x1_4558x14_6_B_1" localSheetId="0">MAPPING!$W$204</definedName>
    <definedName name="SD_4270x1_4371x1_4558x14_7_B_0" localSheetId="0">MAPPING!$U$204</definedName>
    <definedName name="SD_4270x1_4371x1_4558x14_9_B_0" localSheetId="0">MAPPING!$V$204</definedName>
    <definedName name="SD_4270x1_4371x1_4558x14_9005x1_100_B_0" localSheetId="0">MAPPING!$AE$204</definedName>
    <definedName name="SD_4270x1_4371x1_4558x14_9005x1_250_B_1" localSheetId="0">MAPPING!$AF$204</definedName>
    <definedName name="SD_4270x1_4371x1_4558x14_9005x1_251_B_0" localSheetId="0">MAPPING!$AH$204</definedName>
    <definedName name="SD_4270x1_4371x1_4558x14_9005x1_252_B_0" localSheetId="0">MAPPING!$AI$204</definedName>
    <definedName name="SD_4270x1_4371x1_4558x14_9005x1_253_B_0" localSheetId="0">MAPPING!$AJ$204</definedName>
    <definedName name="SD_4270x1_4371x1_4558x14_9005x1_254_B_0" localSheetId="0">MAPPING!$AB$204</definedName>
    <definedName name="SD_4270x1_4371x1_4558x14_9005x1_255_B_0" localSheetId="0">MAPPING!$AC$204</definedName>
    <definedName name="SD_4270x1_4371x1_4558x15_10_B_0" localSheetId="0">MAPPING!$X$205</definedName>
    <definedName name="SD_4270x1_4371x1_4558x15_11_B_0" localSheetId="0">MAPPING!$AA$205</definedName>
    <definedName name="SD_4270x1_4371x1_4558x15_12_B_0" localSheetId="0">MAPPING!$AG$205</definedName>
    <definedName name="SD_4270x1_4371x1_4558x15_25_B_0" localSheetId="0">MAPPING!$Y$205</definedName>
    <definedName name="SD_4270x1_4371x1_4558x15_38_B_0" localSheetId="0">MAPPING!$AD$205</definedName>
    <definedName name="SD_4270x1_4371x1_4558x15_43_B_0" localSheetId="0">MAPPING!$AK$205</definedName>
    <definedName name="SD_4270x1_4371x1_4558x15_6_B_1" localSheetId="0">MAPPING!$W$205</definedName>
    <definedName name="SD_4270x1_4371x1_4558x15_7_B_0" localSheetId="0">MAPPING!$U$205</definedName>
    <definedName name="SD_4270x1_4371x1_4558x15_9_B_0" localSheetId="0">MAPPING!$V$205</definedName>
    <definedName name="SD_4270x1_4371x1_4558x15_9005x1_100_B_0" localSheetId="0">MAPPING!$AE$205</definedName>
    <definedName name="SD_4270x1_4371x1_4558x15_9005x1_250_B_1" localSheetId="0">MAPPING!$AF$205</definedName>
    <definedName name="SD_4270x1_4371x1_4558x15_9005x1_251_B_0" localSheetId="0">MAPPING!$AH$205</definedName>
    <definedName name="SD_4270x1_4371x1_4558x15_9005x1_252_B_0" localSheetId="0">MAPPING!$AI$205</definedName>
    <definedName name="SD_4270x1_4371x1_4558x15_9005x1_253_B_0" localSheetId="0">MAPPING!$AJ$205</definedName>
    <definedName name="SD_4270x1_4371x1_4558x15_9005x1_254_B_0" localSheetId="0">MAPPING!$AB$205</definedName>
    <definedName name="SD_4270x1_4371x1_4558x15_9005x1_255_B_0" localSheetId="0">MAPPING!$AC$205</definedName>
    <definedName name="SD_4270x1_4371x1_4558x16_10_B_0" localSheetId="0">MAPPING!$X$206</definedName>
    <definedName name="SD_4270x1_4371x1_4558x16_11_B_0" localSheetId="0">MAPPING!$AA$206</definedName>
    <definedName name="SD_4270x1_4371x1_4558x16_12_B_0" localSheetId="0">MAPPING!$AG$206</definedName>
    <definedName name="SD_4270x1_4371x1_4558x16_25_B_0" localSheetId="0">MAPPING!$Y$206</definedName>
    <definedName name="SD_4270x1_4371x1_4558x16_38_B_0" localSheetId="0">MAPPING!$AD$206</definedName>
    <definedName name="SD_4270x1_4371x1_4558x16_43_B_0" localSheetId="0">MAPPING!$AK$206</definedName>
    <definedName name="SD_4270x1_4371x1_4558x16_6_B_1" localSheetId="0">MAPPING!$W$206</definedName>
    <definedName name="SD_4270x1_4371x1_4558x16_7_B_0" localSheetId="0">MAPPING!$U$206</definedName>
    <definedName name="SD_4270x1_4371x1_4558x16_9_B_0" localSheetId="0">MAPPING!$V$206</definedName>
    <definedName name="SD_4270x1_4371x1_4558x16_9005x1_100_B_0" localSheetId="0">MAPPING!$AE$206</definedName>
    <definedName name="SD_4270x1_4371x1_4558x16_9005x1_250_B_1" localSheetId="0">MAPPING!$AF$206</definedName>
    <definedName name="SD_4270x1_4371x1_4558x16_9005x1_251_B_0" localSheetId="0">MAPPING!$AH$206</definedName>
    <definedName name="SD_4270x1_4371x1_4558x16_9005x1_252_B_0" localSheetId="0">MAPPING!$AI$206</definedName>
    <definedName name="SD_4270x1_4371x1_4558x16_9005x1_253_B_0" localSheetId="0">MAPPING!$AJ$206</definedName>
    <definedName name="SD_4270x1_4371x1_4558x16_9005x1_254_B_0" localSheetId="0">MAPPING!$AB$206</definedName>
    <definedName name="SD_4270x1_4371x1_4558x16_9005x1_255_B_0" localSheetId="0">MAPPING!$AC$206</definedName>
    <definedName name="SD_4270x1_4371x1_4558x17_10_B_0" localSheetId="0">MAPPING!$X$207</definedName>
    <definedName name="SD_4270x1_4371x1_4558x17_11_B_0" localSheetId="0">MAPPING!$AA$207</definedName>
    <definedName name="SD_4270x1_4371x1_4558x17_12_B_0" localSheetId="0">MAPPING!$AG$207</definedName>
    <definedName name="SD_4270x1_4371x1_4558x17_25_B_0" localSheetId="0">MAPPING!$Y$207</definedName>
    <definedName name="SD_4270x1_4371x1_4558x17_38_B_0" localSheetId="0">MAPPING!$AD$207</definedName>
    <definedName name="SD_4270x1_4371x1_4558x17_43_B_0" localSheetId="0">MAPPING!$AK$207</definedName>
    <definedName name="SD_4270x1_4371x1_4558x17_6_B_1" localSheetId="0">MAPPING!$W$207</definedName>
    <definedName name="SD_4270x1_4371x1_4558x17_7_B_0" localSheetId="0">MAPPING!$U$207</definedName>
    <definedName name="SD_4270x1_4371x1_4558x17_9_B_0" localSheetId="0">MAPPING!$V$207</definedName>
    <definedName name="SD_4270x1_4371x1_4558x17_9005x1_100_B_0" localSheetId="0">MAPPING!$AE$207</definedName>
    <definedName name="SD_4270x1_4371x1_4558x17_9005x1_250_B_1" localSheetId="0">MAPPING!$AF$207</definedName>
    <definedName name="SD_4270x1_4371x1_4558x17_9005x1_251_B_0" localSheetId="0">MAPPING!$AH$207</definedName>
    <definedName name="SD_4270x1_4371x1_4558x17_9005x1_252_B_0" localSheetId="0">MAPPING!$AI$207</definedName>
    <definedName name="SD_4270x1_4371x1_4558x17_9005x1_253_B_0" localSheetId="0">MAPPING!$AJ$207</definedName>
    <definedName name="SD_4270x1_4371x1_4558x17_9005x1_254_B_0" localSheetId="0">MAPPING!$AB$207</definedName>
    <definedName name="SD_4270x1_4371x1_4558x17_9005x1_255_B_0" localSheetId="0">MAPPING!$AC$207</definedName>
    <definedName name="SD_4270x1_4371x1_4558x18_10_B_0" localSheetId="0">MAPPING!$X$208</definedName>
    <definedName name="SD_4270x1_4371x1_4558x18_11_B_0" localSheetId="0">MAPPING!$AA$208</definedName>
    <definedName name="SD_4270x1_4371x1_4558x18_12_B_0" localSheetId="0">MAPPING!$AG$208</definedName>
    <definedName name="SD_4270x1_4371x1_4558x18_25_B_0" localSheetId="0">MAPPING!$Y$208</definedName>
    <definedName name="SD_4270x1_4371x1_4558x18_38_B_0" localSheetId="0">MAPPING!$AD$208</definedName>
    <definedName name="SD_4270x1_4371x1_4558x18_43_B_0" localSheetId="0">MAPPING!$AK$208</definedName>
    <definedName name="SD_4270x1_4371x1_4558x18_6_B_1" localSheetId="0">MAPPING!$W$208</definedName>
    <definedName name="SD_4270x1_4371x1_4558x18_7_B_0" localSheetId="0">MAPPING!$U$208</definedName>
    <definedName name="SD_4270x1_4371x1_4558x18_9_B_0" localSheetId="0">MAPPING!$V$208</definedName>
    <definedName name="SD_4270x1_4371x1_4558x18_9005x1_100_B_0" localSheetId="0">MAPPING!$AE$208</definedName>
    <definedName name="SD_4270x1_4371x1_4558x18_9005x1_250_B_1" localSheetId="0">MAPPING!$AF$208</definedName>
    <definedName name="SD_4270x1_4371x1_4558x18_9005x1_251_B_0" localSheetId="0">MAPPING!$AH$208</definedName>
    <definedName name="SD_4270x1_4371x1_4558x18_9005x1_252_B_0" localSheetId="0">MAPPING!$AI$208</definedName>
    <definedName name="SD_4270x1_4371x1_4558x18_9005x1_253_B_0" localSheetId="0">MAPPING!$AJ$208</definedName>
    <definedName name="SD_4270x1_4371x1_4558x18_9005x1_254_B_0" localSheetId="0">MAPPING!$AB$208</definedName>
    <definedName name="SD_4270x1_4371x1_4558x18_9005x1_255_B_0" localSheetId="0">MAPPING!$AC$208</definedName>
    <definedName name="SD_4270x1_4371x1_4558x19_10_B_0" localSheetId="0">MAPPING!$X$209</definedName>
    <definedName name="SD_4270x1_4371x1_4558x19_11_B_0" localSheetId="0">MAPPING!$AA$209</definedName>
    <definedName name="SD_4270x1_4371x1_4558x19_12_B_0" localSheetId="0">MAPPING!$AG$209</definedName>
    <definedName name="SD_4270x1_4371x1_4558x19_25_B_0" localSheetId="0">MAPPING!$Y$209</definedName>
    <definedName name="SD_4270x1_4371x1_4558x19_38_B_0" localSheetId="0">MAPPING!$AD$209</definedName>
    <definedName name="SD_4270x1_4371x1_4558x19_43_B_0" localSheetId="0">MAPPING!$AK$209</definedName>
    <definedName name="SD_4270x1_4371x1_4558x19_6_B_1" localSheetId="0">MAPPING!$W$209</definedName>
    <definedName name="SD_4270x1_4371x1_4558x19_7_B_0" localSheetId="0">MAPPING!$U$209</definedName>
    <definedName name="SD_4270x1_4371x1_4558x19_9_B_0" localSheetId="0">MAPPING!$V$209</definedName>
    <definedName name="SD_4270x1_4371x1_4558x19_9005x1_100_B_0" localSheetId="0">MAPPING!$AE$209</definedName>
    <definedName name="SD_4270x1_4371x1_4558x19_9005x1_250_B_1" localSheetId="0">MAPPING!$AF$209</definedName>
    <definedName name="SD_4270x1_4371x1_4558x19_9005x1_251_B_0" localSheetId="0">MAPPING!$AH$209</definedName>
    <definedName name="SD_4270x1_4371x1_4558x19_9005x1_252_B_0" localSheetId="0">MAPPING!$AI$209</definedName>
    <definedName name="SD_4270x1_4371x1_4558x19_9005x1_253_B_0" localSheetId="0">MAPPING!$AJ$209</definedName>
    <definedName name="SD_4270x1_4371x1_4558x19_9005x1_254_B_0" localSheetId="0">MAPPING!$AB$209</definedName>
    <definedName name="SD_4270x1_4371x1_4558x19_9005x1_255_B_0" localSheetId="0">MAPPING!$AC$209</definedName>
    <definedName name="SD_4270x1_4371x1_4558x2_10_B_0" localSheetId="0">MAPPING!$X$192</definedName>
    <definedName name="SD_4270x1_4371x1_4558x2_11_B_0" localSheetId="0">MAPPING!$AA$192</definedName>
    <definedName name="SD_4270x1_4371x1_4558x2_12_B_0" localSheetId="0">MAPPING!$AG$192</definedName>
    <definedName name="SD_4270x1_4371x1_4558x2_25_B_0" localSheetId="0">MAPPING!$Y$192</definedName>
    <definedName name="SD_4270x1_4371x1_4558x2_38_B_0" localSheetId="0">MAPPING!$AD$192</definedName>
    <definedName name="SD_4270x1_4371x1_4558x2_43_B_0" localSheetId="0">MAPPING!$AK$192</definedName>
    <definedName name="SD_4270x1_4371x1_4558x2_6_B_1" localSheetId="0">MAPPING!$W$192</definedName>
    <definedName name="SD_4270x1_4371x1_4558x2_7_B_0" localSheetId="0">MAPPING!$U$192</definedName>
    <definedName name="SD_4270x1_4371x1_4558x2_9_B_0" localSheetId="0">MAPPING!$V$192</definedName>
    <definedName name="SD_4270x1_4371x1_4558x2_9005x1_100_B_0" localSheetId="0">MAPPING!$AE$192</definedName>
    <definedName name="SD_4270x1_4371x1_4558x2_9005x1_250_B_1" localSheetId="0">MAPPING!$AF$192</definedName>
    <definedName name="SD_4270x1_4371x1_4558x2_9005x1_251_B_0" localSheetId="0">MAPPING!$AH$192</definedName>
    <definedName name="SD_4270x1_4371x1_4558x2_9005x1_252_B_0" localSheetId="0">MAPPING!$AI$192</definedName>
    <definedName name="SD_4270x1_4371x1_4558x2_9005x1_253_B_0" localSheetId="0">MAPPING!$AJ$192</definedName>
    <definedName name="SD_4270x1_4371x1_4558x2_9005x1_254_B_0" localSheetId="0">MAPPING!$AB$192</definedName>
    <definedName name="SD_4270x1_4371x1_4558x2_9005x1_255_B_0" localSheetId="0">MAPPING!$AC$192</definedName>
    <definedName name="SD_4270x1_4371x1_4558x20_10_B_0" localSheetId="0">MAPPING!$X$210</definedName>
    <definedName name="SD_4270x1_4371x1_4558x20_11_B_0" localSheetId="0">MAPPING!$AA$210</definedName>
    <definedName name="SD_4270x1_4371x1_4558x20_12_B_0" localSheetId="0">MAPPING!$AG$210</definedName>
    <definedName name="SD_4270x1_4371x1_4558x20_25_B_0" localSheetId="0">MAPPING!$Y$210</definedName>
    <definedName name="SD_4270x1_4371x1_4558x20_38_B_0" localSheetId="0">MAPPING!$AD$210</definedName>
    <definedName name="SD_4270x1_4371x1_4558x20_43_B_0" localSheetId="0">MAPPING!$AK$210</definedName>
    <definedName name="SD_4270x1_4371x1_4558x20_6_B_1" localSheetId="0">MAPPING!$W$210</definedName>
    <definedName name="SD_4270x1_4371x1_4558x20_7_B_0" localSheetId="0">MAPPING!$U$210</definedName>
    <definedName name="SD_4270x1_4371x1_4558x20_9_B_0" localSheetId="0">MAPPING!$V$210</definedName>
    <definedName name="SD_4270x1_4371x1_4558x20_9005x1_100_B_0" localSheetId="0">MAPPING!$AE$210</definedName>
    <definedName name="SD_4270x1_4371x1_4558x20_9005x1_250_B_1" localSheetId="0">MAPPING!$AF$210</definedName>
    <definedName name="SD_4270x1_4371x1_4558x20_9005x1_251_B_0" localSheetId="0">MAPPING!$AH$210</definedName>
    <definedName name="SD_4270x1_4371x1_4558x20_9005x1_252_B_0" localSheetId="0">MAPPING!$AI$210</definedName>
    <definedName name="SD_4270x1_4371x1_4558x20_9005x1_253_B_0" localSheetId="0">MAPPING!$AJ$210</definedName>
    <definedName name="SD_4270x1_4371x1_4558x20_9005x1_254_B_0" localSheetId="0">MAPPING!$AB$210</definedName>
    <definedName name="SD_4270x1_4371x1_4558x20_9005x1_255_B_0" localSheetId="0">MAPPING!$AC$210</definedName>
    <definedName name="SD_4270x1_4371x1_4558x21_10_B_0" localSheetId="0">MAPPING!$X$211</definedName>
    <definedName name="SD_4270x1_4371x1_4558x21_11_B_0" localSheetId="0">MAPPING!$AA$211</definedName>
    <definedName name="SD_4270x1_4371x1_4558x21_12_B_0" localSheetId="0">MAPPING!$AG$211</definedName>
    <definedName name="SD_4270x1_4371x1_4558x21_25_B_0" localSheetId="0">MAPPING!$Y$211</definedName>
    <definedName name="SD_4270x1_4371x1_4558x21_38_B_0" localSheetId="0">MAPPING!$AD$211</definedName>
    <definedName name="SD_4270x1_4371x1_4558x21_43_B_0" localSheetId="0">MAPPING!$AK$211</definedName>
    <definedName name="SD_4270x1_4371x1_4558x21_6_B_1" localSheetId="0">MAPPING!$W$211</definedName>
    <definedName name="SD_4270x1_4371x1_4558x21_7_B_0" localSheetId="0">MAPPING!$U$211</definedName>
    <definedName name="SD_4270x1_4371x1_4558x21_9_B_0" localSheetId="0">MAPPING!$V$211</definedName>
    <definedName name="SD_4270x1_4371x1_4558x21_9005x1_100_B_0" localSheetId="0">MAPPING!$AE$211</definedName>
    <definedName name="SD_4270x1_4371x1_4558x21_9005x1_250_B_1" localSheetId="0">MAPPING!$AF$211</definedName>
    <definedName name="SD_4270x1_4371x1_4558x21_9005x1_251_B_0" localSheetId="0">MAPPING!$AH$211</definedName>
    <definedName name="SD_4270x1_4371x1_4558x21_9005x1_252_B_0" localSheetId="0">MAPPING!$AI$211</definedName>
    <definedName name="SD_4270x1_4371x1_4558x21_9005x1_253_B_0" localSheetId="0">MAPPING!$AJ$211</definedName>
    <definedName name="SD_4270x1_4371x1_4558x21_9005x1_254_B_0" localSheetId="0">MAPPING!$AB$211</definedName>
    <definedName name="SD_4270x1_4371x1_4558x21_9005x1_255_B_0" localSheetId="0">MAPPING!$AC$211</definedName>
    <definedName name="SD_4270x1_4371x1_4558x22_10_B_0" localSheetId="0">MAPPING!$X$212</definedName>
    <definedName name="SD_4270x1_4371x1_4558x22_11_B_0" localSheetId="0">MAPPING!$AA$212</definedName>
    <definedName name="SD_4270x1_4371x1_4558x22_12_B_0" localSheetId="0">MAPPING!$AG$212</definedName>
    <definedName name="SD_4270x1_4371x1_4558x22_25_B_0" localSheetId="0">MAPPING!$Y$212</definedName>
    <definedName name="SD_4270x1_4371x1_4558x22_38_B_0" localSheetId="0">MAPPING!$AD$212</definedName>
    <definedName name="SD_4270x1_4371x1_4558x22_43_B_0" localSheetId="0">MAPPING!$AK$212</definedName>
    <definedName name="SD_4270x1_4371x1_4558x22_6_B_1" localSheetId="0">MAPPING!$W$212</definedName>
    <definedName name="SD_4270x1_4371x1_4558x22_7_B_0" localSheetId="0">MAPPING!$U$212</definedName>
    <definedName name="SD_4270x1_4371x1_4558x22_9_B_0" localSheetId="0">MAPPING!$V$212</definedName>
    <definedName name="SD_4270x1_4371x1_4558x22_9005x1_100_B_0" localSheetId="0">MAPPING!$AE$212</definedName>
    <definedName name="SD_4270x1_4371x1_4558x22_9005x1_250_B_1" localSheetId="0">MAPPING!$AF$212</definedName>
    <definedName name="SD_4270x1_4371x1_4558x22_9005x1_251_B_0" localSheetId="0">MAPPING!$AH$212</definedName>
    <definedName name="SD_4270x1_4371x1_4558x22_9005x1_252_B_0" localSheetId="0">MAPPING!$AI$212</definedName>
    <definedName name="SD_4270x1_4371x1_4558x22_9005x1_253_B_0" localSheetId="0">MAPPING!$AJ$212</definedName>
    <definedName name="SD_4270x1_4371x1_4558x22_9005x1_254_B_0" localSheetId="0">MAPPING!$AB$212</definedName>
    <definedName name="SD_4270x1_4371x1_4558x22_9005x1_255_B_0" localSheetId="0">MAPPING!$AC$212</definedName>
    <definedName name="SD_4270x1_4371x1_4558x23_10_B_0" localSheetId="0">MAPPING!$X$213</definedName>
    <definedName name="SD_4270x1_4371x1_4558x23_11_B_0" localSheetId="0">MAPPING!$AA$213</definedName>
    <definedName name="SD_4270x1_4371x1_4558x23_12_B_0" localSheetId="0">MAPPING!$AG$213</definedName>
    <definedName name="SD_4270x1_4371x1_4558x23_25_B_0" localSheetId="0">MAPPING!$Y$213</definedName>
    <definedName name="SD_4270x1_4371x1_4558x23_38_B_0" localSheetId="0">MAPPING!$AD$213</definedName>
    <definedName name="SD_4270x1_4371x1_4558x23_43_B_0" localSheetId="0">MAPPING!$AK$213</definedName>
    <definedName name="SD_4270x1_4371x1_4558x23_6_B_1" localSheetId="0">MAPPING!$W$213</definedName>
    <definedName name="SD_4270x1_4371x1_4558x23_7_B_0" localSheetId="0">MAPPING!$U$213</definedName>
    <definedName name="SD_4270x1_4371x1_4558x23_9_B_0" localSheetId="0">MAPPING!$V$213</definedName>
    <definedName name="SD_4270x1_4371x1_4558x23_9005x1_100_B_0" localSheetId="0">MAPPING!$AE$213</definedName>
    <definedName name="SD_4270x1_4371x1_4558x23_9005x1_250_B_1" localSheetId="0">MAPPING!$AF$213</definedName>
    <definedName name="SD_4270x1_4371x1_4558x23_9005x1_251_B_0" localSheetId="0">MAPPING!$AH$213</definedName>
    <definedName name="SD_4270x1_4371x1_4558x23_9005x1_252_B_0" localSheetId="0">MAPPING!$AI$213</definedName>
    <definedName name="SD_4270x1_4371x1_4558x23_9005x1_253_B_0" localSheetId="0">MAPPING!$AJ$213</definedName>
    <definedName name="SD_4270x1_4371x1_4558x23_9005x1_254_B_0" localSheetId="0">MAPPING!$AB$213</definedName>
    <definedName name="SD_4270x1_4371x1_4558x23_9005x1_255_B_0" localSheetId="0">MAPPING!$AC$213</definedName>
    <definedName name="SD_4270x1_4371x1_4558x24_10_B_0" localSheetId="0">MAPPING!$X$214</definedName>
    <definedName name="SD_4270x1_4371x1_4558x24_11_B_0" localSheetId="0">MAPPING!$AA$214</definedName>
    <definedName name="SD_4270x1_4371x1_4558x24_12_B_0" localSheetId="0">MAPPING!$AG$214</definedName>
    <definedName name="SD_4270x1_4371x1_4558x24_25_B_0" localSheetId="0">MAPPING!$Y$214</definedName>
    <definedName name="SD_4270x1_4371x1_4558x24_38_B_0" localSheetId="0">MAPPING!$AD$214</definedName>
    <definedName name="SD_4270x1_4371x1_4558x24_43_B_0" localSheetId="0">MAPPING!$AK$214</definedName>
    <definedName name="SD_4270x1_4371x1_4558x24_6_B_1" localSheetId="0">MAPPING!$W$214</definedName>
    <definedName name="SD_4270x1_4371x1_4558x24_7_B_0" localSheetId="0">MAPPING!$U$214</definedName>
    <definedName name="SD_4270x1_4371x1_4558x24_9_B_0" localSheetId="0">MAPPING!$V$214</definedName>
    <definedName name="SD_4270x1_4371x1_4558x24_9005x1_100_B_0" localSheetId="0">MAPPING!$AE$214</definedName>
    <definedName name="SD_4270x1_4371x1_4558x24_9005x1_250_B_1" localSheetId="0">MAPPING!$AF$214</definedName>
    <definedName name="SD_4270x1_4371x1_4558x24_9005x1_251_B_0" localSheetId="0">MAPPING!$AH$214</definedName>
    <definedName name="SD_4270x1_4371x1_4558x24_9005x1_252_B_0" localSheetId="0">MAPPING!$AI$214</definedName>
    <definedName name="SD_4270x1_4371x1_4558x24_9005x1_253_B_0" localSheetId="0">MAPPING!$AJ$214</definedName>
    <definedName name="SD_4270x1_4371x1_4558x24_9005x1_254_B_0" localSheetId="0">MAPPING!$AB$214</definedName>
    <definedName name="SD_4270x1_4371x1_4558x24_9005x1_255_B_0" localSheetId="0">MAPPING!$AC$214</definedName>
    <definedName name="SD_4270x1_4371x1_4558x25_10_B_0" localSheetId="0">MAPPING!$X$215</definedName>
    <definedName name="SD_4270x1_4371x1_4558x25_11_B_0" localSheetId="0">MAPPING!$AA$215</definedName>
    <definedName name="SD_4270x1_4371x1_4558x25_12_B_0" localSheetId="0">MAPPING!$AG$215</definedName>
    <definedName name="SD_4270x1_4371x1_4558x25_25_B_0" localSheetId="0">MAPPING!$Y$215</definedName>
    <definedName name="SD_4270x1_4371x1_4558x25_38_B_0" localSheetId="0">MAPPING!$AD$215</definedName>
    <definedName name="SD_4270x1_4371x1_4558x25_43_B_0" localSheetId="0">MAPPING!$AK$215</definedName>
    <definedName name="SD_4270x1_4371x1_4558x25_6_B_1" localSheetId="0">MAPPING!$W$215</definedName>
    <definedName name="SD_4270x1_4371x1_4558x25_7_B_0" localSheetId="0">MAPPING!$U$215</definedName>
    <definedName name="SD_4270x1_4371x1_4558x25_9_B_0" localSheetId="0">MAPPING!$V$215</definedName>
    <definedName name="SD_4270x1_4371x1_4558x25_9005x1_100_B_0" localSheetId="0">MAPPING!$AE$215</definedName>
    <definedName name="SD_4270x1_4371x1_4558x25_9005x1_250_B_1" localSheetId="0">MAPPING!$AF$215</definedName>
    <definedName name="SD_4270x1_4371x1_4558x25_9005x1_251_B_0" localSheetId="0">MAPPING!$AH$215</definedName>
    <definedName name="SD_4270x1_4371x1_4558x25_9005x1_252_B_0" localSheetId="0">MAPPING!$AI$215</definedName>
    <definedName name="SD_4270x1_4371x1_4558x25_9005x1_253_B_0" localSheetId="0">MAPPING!$AJ$215</definedName>
    <definedName name="SD_4270x1_4371x1_4558x25_9005x1_254_B_0" localSheetId="0">MAPPING!$AB$215</definedName>
    <definedName name="SD_4270x1_4371x1_4558x25_9005x1_255_B_0" localSheetId="0">MAPPING!$AC$215</definedName>
    <definedName name="SD_4270x1_4371x1_4558x26_10_B_0" localSheetId="0">MAPPING!$X$216</definedName>
    <definedName name="SD_4270x1_4371x1_4558x26_11_B_0" localSheetId="0">MAPPING!$AA$216</definedName>
    <definedName name="SD_4270x1_4371x1_4558x26_12_B_0" localSheetId="0">MAPPING!$AG$216</definedName>
    <definedName name="SD_4270x1_4371x1_4558x26_25_B_0" localSheetId="0">MAPPING!$Y$216</definedName>
    <definedName name="SD_4270x1_4371x1_4558x26_38_B_0" localSheetId="0">MAPPING!$AD$216</definedName>
    <definedName name="SD_4270x1_4371x1_4558x26_43_B_0" localSheetId="0">MAPPING!$AK$216</definedName>
    <definedName name="SD_4270x1_4371x1_4558x26_6_B_1" localSheetId="0">MAPPING!$W$216</definedName>
    <definedName name="SD_4270x1_4371x1_4558x26_7_B_0" localSheetId="0">MAPPING!$U$216</definedName>
    <definedName name="SD_4270x1_4371x1_4558x26_9_B_0" localSheetId="0">MAPPING!$V$216</definedName>
    <definedName name="SD_4270x1_4371x1_4558x26_9005x1_100_B_0" localSheetId="0">MAPPING!$AE$216</definedName>
    <definedName name="SD_4270x1_4371x1_4558x26_9005x1_250_B_1" localSheetId="0">MAPPING!$AF$216</definedName>
    <definedName name="SD_4270x1_4371x1_4558x26_9005x1_251_B_0" localSheetId="0">MAPPING!$AH$216</definedName>
    <definedName name="SD_4270x1_4371x1_4558x26_9005x1_252_B_0" localSheetId="0">MAPPING!$AI$216</definedName>
    <definedName name="SD_4270x1_4371x1_4558x26_9005x1_253_B_0" localSheetId="0">MAPPING!$AJ$216</definedName>
    <definedName name="SD_4270x1_4371x1_4558x26_9005x1_254_B_0" localSheetId="0">MAPPING!$AB$216</definedName>
    <definedName name="SD_4270x1_4371x1_4558x26_9005x1_255_B_0" localSheetId="0">MAPPING!$AC$216</definedName>
    <definedName name="SD_4270x1_4371x1_4558x27_10_B_0" localSheetId="0">MAPPING!$X$217</definedName>
    <definedName name="SD_4270x1_4371x1_4558x27_11_B_0" localSheetId="0">MAPPING!$AA$217</definedName>
    <definedName name="SD_4270x1_4371x1_4558x27_12_B_0" localSheetId="0">MAPPING!$AG$217</definedName>
    <definedName name="SD_4270x1_4371x1_4558x27_25_B_0" localSheetId="0">MAPPING!$Y$217</definedName>
    <definedName name="SD_4270x1_4371x1_4558x27_38_B_0" localSheetId="0">MAPPING!$AD$217</definedName>
    <definedName name="SD_4270x1_4371x1_4558x27_43_B_0" localSheetId="0">MAPPING!$AK$217</definedName>
    <definedName name="SD_4270x1_4371x1_4558x27_6_B_1" localSheetId="0">MAPPING!$W$217</definedName>
    <definedName name="SD_4270x1_4371x1_4558x27_7_B_0" localSheetId="0">MAPPING!$U$217</definedName>
    <definedName name="SD_4270x1_4371x1_4558x27_9_B_0" localSheetId="0">MAPPING!$V$217</definedName>
    <definedName name="SD_4270x1_4371x1_4558x27_9005x1_100_B_0" localSheetId="0">MAPPING!$AE$217</definedName>
    <definedName name="SD_4270x1_4371x1_4558x27_9005x1_250_B_1" localSheetId="0">MAPPING!$AF$217</definedName>
    <definedName name="SD_4270x1_4371x1_4558x27_9005x1_251_B_0" localSheetId="0">MAPPING!$AH$217</definedName>
    <definedName name="SD_4270x1_4371x1_4558x27_9005x1_252_B_0" localSheetId="0">MAPPING!$AI$217</definedName>
    <definedName name="SD_4270x1_4371x1_4558x27_9005x1_253_B_0" localSheetId="0">MAPPING!$AJ$217</definedName>
    <definedName name="SD_4270x1_4371x1_4558x27_9005x1_254_B_0" localSheetId="0">MAPPING!$AB$217</definedName>
    <definedName name="SD_4270x1_4371x1_4558x27_9005x1_255_B_0" localSheetId="0">MAPPING!$AC$217</definedName>
    <definedName name="SD_4270x1_4371x1_4558x28_10_B_0" localSheetId="0">MAPPING!$X$218</definedName>
    <definedName name="SD_4270x1_4371x1_4558x28_11_B_0" localSheetId="0">MAPPING!$AA$218</definedName>
    <definedName name="SD_4270x1_4371x1_4558x28_12_B_0" localSheetId="0">MAPPING!$AG$218</definedName>
    <definedName name="SD_4270x1_4371x1_4558x28_25_B_0" localSheetId="0">MAPPING!$Y$218</definedName>
    <definedName name="SD_4270x1_4371x1_4558x28_38_B_0" localSheetId="0">MAPPING!$AD$218</definedName>
    <definedName name="SD_4270x1_4371x1_4558x28_43_B_0" localSheetId="0">MAPPING!$AK$218</definedName>
    <definedName name="SD_4270x1_4371x1_4558x28_6_B_1" localSheetId="0">MAPPING!$W$218</definedName>
    <definedName name="SD_4270x1_4371x1_4558x28_7_B_0" localSheetId="0">MAPPING!$U$218</definedName>
    <definedName name="SD_4270x1_4371x1_4558x28_9_B_0" localSheetId="0">MAPPING!$V$218</definedName>
    <definedName name="SD_4270x1_4371x1_4558x28_9005x1_100_B_0" localSheetId="0">MAPPING!$AE$218</definedName>
    <definedName name="SD_4270x1_4371x1_4558x28_9005x1_250_B_1" localSheetId="0">MAPPING!$AF$218</definedName>
    <definedName name="SD_4270x1_4371x1_4558x28_9005x1_251_B_0" localSheetId="0">MAPPING!$AH$218</definedName>
    <definedName name="SD_4270x1_4371x1_4558x28_9005x1_252_B_0" localSheetId="0">MAPPING!$AI$218</definedName>
    <definedName name="SD_4270x1_4371x1_4558x28_9005x1_253_B_0" localSheetId="0">MAPPING!$AJ$218</definedName>
    <definedName name="SD_4270x1_4371x1_4558x28_9005x1_254_B_0" localSheetId="0">MAPPING!$AB$218</definedName>
    <definedName name="SD_4270x1_4371x1_4558x28_9005x1_255_B_0" localSheetId="0">MAPPING!$AC$218</definedName>
    <definedName name="SD_4270x1_4371x1_4558x29_10_B_0" localSheetId="0">MAPPING!$X$219</definedName>
    <definedName name="SD_4270x1_4371x1_4558x29_11_B_0" localSheetId="0">MAPPING!$AA$219</definedName>
    <definedName name="SD_4270x1_4371x1_4558x29_12_B_0" localSheetId="0">MAPPING!$AG$219</definedName>
    <definedName name="SD_4270x1_4371x1_4558x29_25_B_0" localSheetId="0">MAPPING!$Y$219</definedName>
    <definedName name="SD_4270x1_4371x1_4558x29_38_B_0" localSheetId="0">MAPPING!$AD$219</definedName>
    <definedName name="SD_4270x1_4371x1_4558x29_43_B_0" localSheetId="0">MAPPING!$AK$219</definedName>
    <definedName name="SD_4270x1_4371x1_4558x29_6_B_1" localSheetId="0">MAPPING!$W$219</definedName>
    <definedName name="SD_4270x1_4371x1_4558x29_7_B_0" localSheetId="0">MAPPING!$U$219</definedName>
    <definedName name="SD_4270x1_4371x1_4558x29_9_B_0" localSheetId="0">MAPPING!$V$219</definedName>
    <definedName name="SD_4270x1_4371x1_4558x29_9005x1_100_B_0" localSheetId="0">MAPPING!$AE$219</definedName>
    <definedName name="SD_4270x1_4371x1_4558x29_9005x1_250_B_1" localSheetId="0">MAPPING!$AF$219</definedName>
    <definedName name="SD_4270x1_4371x1_4558x29_9005x1_251_B_0" localSheetId="0">MAPPING!$AH$219</definedName>
    <definedName name="SD_4270x1_4371x1_4558x29_9005x1_252_B_0" localSheetId="0">MAPPING!$AI$219</definedName>
    <definedName name="SD_4270x1_4371x1_4558x29_9005x1_253_B_0" localSheetId="0">MAPPING!$AJ$219</definedName>
    <definedName name="SD_4270x1_4371x1_4558x29_9005x1_254_B_0" localSheetId="0">MAPPING!$AB$219</definedName>
    <definedName name="SD_4270x1_4371x1_4558x29_9005x1_255_B_0" localSheetId="0">MAPPING!$AC$219</definedName>
    <definedName name="SD_4270x1_4371x1_4558x3_10_B_0" localSheetId="0">MAPPING!$X$193</definedName>
    <definedName name="SD_4270x1_4371x1_4558x3_11_B_0" localSheetId="0">MAPPING!$AA$193</definedName>
    <definedName name="SD_4270x1_4371x1_4558x3_12_B_0" localSheetId="0">MAPPING!$AG$193</definedName>
    <definedName name="SD_4270x1_4371x1_4558x3_25_B_0" localSheetId="0">MAPPING!$Y$193</definedName>
    <definedName name="SD_4270x1_4371x1_4558x3_38_B_0" localSheetId="0">MAPPING!$AD$193</definedName>
    <definedName name="SD_4270x1_4371x1_4558x3_43_B_0" localSheetId="0">MAPPING!$AK$193</definedName>
    <definedName name="SD_4270x1_4371x1_4558x3_6_B_1" localSheetId="0">MAPPING!$W$193</definedName>
    <definedName name="SD_4270x1_4371x1_4558x3_7_B_0" localSheetId="0">MAPPING!$U$193</definedName>
    <definedName name="SD_4270x1_4371x1_4558x3_9_B_0" localSheetId="0">MAPPING!$V$193</definedName>
    <definedName name="SD_4270x1_4371x1_4558x3_9005x1_100_B_0" localSheetId="0">MAPPING!$AE$193</definedName>
    <definedName name="SD_4270x1_4371x1_4558x3_9005x1_250_B_1" localSheetId="0">MAPPING!$AF$193</definedName>
    <definedName name="SD_4270x1_4371x1_4558x3_9005x1_251_B_0" localSheetId="0">MAPPING!$AH$193</definedName>
    <definedName name="SD_4270x1_4371x1_4558x3_9005x1_252_B_0" localSheetId="0">MAPPING!$AI$193</definedName>
    <definedName name="SD_4270x1_4371x1_4558x3_9005x1_253_B_0" localSheetId="0">MAPPING!$AJ$193</definedName>
    <definedName name="SD_4270x1_4371x1_4558x3_9005x1_254_B_0" localSheetId="0">MAPPING!$AB$193</definedName>
    <definedName name="SD_4270x1_4371x1_4558x3_9005x1_255_B_0" localSheetId="0">MAPPING!$AC$193</definedName>
    <definedName name="SD_4270x1_4371x1_4558x30_10_B_0" localSheetId="0">MAPPING!$X$220</definedName>
    <definedName name="SD_4270x1_4371x1_4558x30_11_B_0" localSheetId="0">MAPPING!$AA$220</definedName>
    <definedName name="SD_4270x1_4371x1_4558x30_12_B_0" localSheetId="0">MAPPING!$AG$220</definedName>
    <definedName name="SD_4270x1_4371x1_4558x30_25_B_0" localSheetId="0">MAPPING!$Y$220</definedName>
    <definedName name="SD_4270x1_4371x1_4558x30_38_B_0" localSheetId="0">MAPPING!$AD$220</definedName>
    <definedName name="SD_4270x1_4371x1_4558x30_43_B_0" localSheetId="0">MAPPING!$AK$220</definedName>
    <definedName name="SD_4270x1_4371x1_4558x30_6_B_1" localSheetId="0">MAPPING!$W$220</definedName>
    <definedName name="SD_4270x1_4371x1_4558x30_7_B_0" localSheetId="0">MAPPING!$U$220</definedName>
    <definedName name="SD_4270x1_4371x1_4558x30_9_B_0" localSheetId="0">MAPPING!$V$220</definedName>
    <definedName name="SD_4270x1_4371x1_4558x30_9005x1_100_B_0" localSheetId="0">MAPPING!$AE$220</definedName>
    <definedName name="SD_4270x1_4371x1_4558x30_9005x1_250_B_1" localSheetId="0">MAPPING!$AF$220</definedName>
    <definedName name="SD_4270x1_4371x1_4558x30_9005x1_251_B_0" localSheetId="0">MAPPING!$AH$220</definedName>
    <definedName name="SD_4270x1_4371x1_4558x30_9005x1_252_B_0" localSheetId="0">MAPPING!$AI$220</definedName>
    <definedName name="SD_4270x1_4371x1_4558x30_9005x1_253_B_0" localSheetId="0">MAPPING!$AJ$220</definedName>
    <definedName name="SD_4270x1_4371x1_4558x30_9005x1_254_B_0" localSheetId="0">MAPPING!$AB$220</definedName>
    <definedName name="SD_4270x1_4371x1_4558x30_9005x1_255_B_0" localSheetId="0">MAPPING!$AC$220</definedName>
    <definedName name="SD_4270x1_4371x1_4558x31_10_B_0" localSheetId="0">MAPPING!$X$221</definedName>
    <definedName name="SD_4270x1_4371x1_4558x31_11_B_0" localSheetId="0">MAPPING!$AA$221</definedName>
    <definedName name="SD_4270x1_4371x1_4558x31_12_B_0" localSheetId="0">MAPPING!$AG$221</definedName>
    <definedName name="SD_4270x1_4371x1_4558x31_25_B_0" localSheetId="0">MAPPING!$Y$221</definedName>
    <definedName name="SD_4270x1_4371x1_4558x31_38_B_0" localSheetId="0">MAPPING!$AD$221</definedName>
    <definedName name="SD_4270x1_4371x1_4558x31_43_B_0" localSheetId="0">MAPPING!$AK$221</definedName>
    <definedName name="SD_4270x1_4371x1_4558x31_6_B_1" localSheetId="0">MAPPING!$W$221</definedName>
    <definedName name="SD_4270x1_4371x1_4558x31_7_B_0" localSheetId="0">MAPPING!$U$221</definedName>
    <definedName name="SD_4270x1_4371x1_4558x31_9_B_0" localSheetId="0">MAPPING!$V$221</definedName>
    <definedName name="SD_4270x1_4371x1_4558x31_9005x1_100_B_0" localSheetId="0">MAPPING!$AE$221</definedName>
    <definedName name="SD_4270x1_4371x1_4558x31_9005x1_250_B_1" localSheetId="0">MAPPING!$AF$221</definedName>
    <definedName name="SD_4270x1_4371x1_4558x31_9005x1_251_B_0" localSheetId="0">MAPPING!$AH$221</definedName>
    <definedName name="SD_4270x1_4371x1_4558x31_9005x1_252_B_0" localSheetId="0">MAPPING!$AI$221</definedName>
    <definedName name="SD_4270x1_4371x1_4558x31_9005x1_253_B_0" localSheetId="0">MAPPING!$AJ$221</definedName>
    <definedName name="SD_4270x1_4371x1_4558x31_9005x1_254_B_0" localSheetId="0">MAPPING!$AB$221</definedName>
    <definedName name="SD_4270x1_4371x1_4558x31_9005x1_255_B_0" localSheetId="0">MAPPING!$AC$221</definedName>
    <definedName name="SD_4270x1_4371x1_4558x32_10_B_0" localSheetId="0">MAPPING!$X$222</definedName>
    <definedName name="SD_4270x1_4371x1_4558x32_11_B_0" localSheetId="0">MAPPING!$AA$222</definedName>
    <definedName name="SD_4270x1_4371x1_4558x32_12_B_0" localSheetId="0">MAPPING!$AG$222</definedName>
    <definedName name="SD_4270x1_4371x1_4558x32_25_B_0" localSheetId="0">MAPPING!$Y$222</definedName>
    <definedName name="SD_4270x1_4371x1_4558x32_38_B_0" localSheetId="0">MAPPING!$AD$222</definedName>
    <definedName name="SD_4270x1_4371x1_4558x32_43_B_0" localSheetId="0">MAPPING!$AK$222</definedName>
    <definedName name="SD_4270x1_4371x1_4558x32_6_B_1" localSheetId="0">MAPPING!$W$222</definedName>
    <definedName name="SD_4270x1_4371x1_4558x32_7_B_0" localSheetId="0">MAPPING!$U$222</definedName>
    <definedName name="SD_4270x1_4371x1_4558x32_9_B_0" localSheetId="0">MAPPING!$V$222</definedName>
    <definedName name="SD_4270x1_4371x1_4558x32_9005x1_100_B_0" localSheetId="0">MAPPING!$AE$222</definedName>
    <definedName name="SD_4270x1_4371x1_4558x32_9005x1_250_B_1" localSheetId="0">MAPPING!$AF$222</definedName>
    <definedName name="SD_4270x1_4371x1_4558x32_9005x1_251_B_0" localSheetId="0">MAPPING!$AH$222</definedName>
    <definedName name="SD_4270x1_4371x1_4558x32_9005x1_252_B_0" localSheetId="0">MAPPING!$AI$222</definedName>
    <definedName name="SD_4270x1_4371x1_4558x32_9005x1_253_B_0" localSheetId="0">MAPPING!$AJ$222</definedName>
    <definedName name="SD_4270x1_4371x1_4558x32_9005x1_254_B_0" localSheetId="0">MAPPING!$AB$222</definedName>
    <definedName name="SD_4270x1_4371x1_4558x32_9005x1_255_B_0" localSheetId="0">MAPPING!$AC$222</definedName>
    <definedName name="SD_4270x1_4371x1_4558x33_10_B_0" localSheetId="0">MAPPING!$X$223</definedName>
    <definedName name="SD_4270x1_4371x1_4558x33_11_B_0" localSheetId="0">MAPPING!$AA$223</definedName>
    <definedName name="SD_4270x1_4371x1_4558x33_12_B_0" localSheetId="0">MAPPING!$AG$223</definedName>
    <definedName name="SD_4270x1_4371x1_4558x33_25_B_0" localSheetId="0">MAPPING!$Y$223</definedName>
    <definedName name="SD_4270x1_4371x1_4558x33_38_B_0" localSheetId="0">MAPPING!$AD$223</definedName>
    <definedName name="SD_4270x1_4371x1_4558x33_43_B_0" localSheetId="0">MAPPING!$AK$223</definedName>
    <definedName name="SD_4270x1_4371x1_4558x33_6_B_1" localSheetId="0">MAPPING!$W$223</definedName>
    <definedName name="SD_4270x1_4371x1_4558x33_7_B_0" localSheetId="0">MAPPING!$U$223</definedName>
    <definedName name="SD_4270x1_4371x1_4558x33_9_B_0" localSheetId="0">MAPPING!$V$223</definedName>
    <definedName name="SD_4270x1_4371x1_4558x33_9005x1_100_B_0" localSheetId="0">MAPPING!$AE$223</definedName>
    <definedName name="SD_4270x1_4371x1_4558x33_9005x1_250_B_1" localSheetId="0">MAPPING!$AF$223</definedName>
    <definedName name="SD_4270x1_4371x1_4558x33_9005x1_251_B_0" localSheetId="0">MAPPING!$AH$223</definedName>
    <definedName name="SD_4270x1_4371x1_4558x33_9005x1_252_B_0" localSheetId="0">MAPPING!$AI$223</definedName>
    <definedName name="SD_4270x1_4371x1_4558x33_9005x1_253_B_0" localSheetId="0">MAPPING!$AJ$223</definedName>
    <definedName name="SD_4270x1_4371x1_4558x33_9005x1_254_B_0" localSheetId="0">MAPPING!$AB$223</definedName>
    <definedName name="SD_4270x1_4371x1_4558x33_9005x1_255_B_0" localSheetId="0">MAPPING!$AC$223</definedName>
    <definedName name="SD_4270x1_4371x1_4558x34_10_B_0" localSheetId="0">MAPPING!$X$224</definedName>
    <definedName name="SD_4270x1_4371x1_4558x34_11_B_0" localSheetId="0">MAPPING!$AA$224</definedName>
    <definedName name="SD_4270x1_4371x1_4558x34_12_B_0" localSheetId="0">MAPPING!$AG$224</definedName>
    <definedName name="SD_4270x1_4371x1_4558x34_25_B_0" localSheetId="0">MAPPING!$Y$224</definedName>
    <definedName name="SD_4270x1_4371x1_4558x34_38_B_0" localSheetId="0">MAPPING!$AD$224</definedName>
    <definedName name="SD_4270x1_4371x1_4558x34_43_B_0" localSheetId="0">MAPPING!$AK$224</definedName>
    <definedName name="SD_4270x1_4371x1_4558x34_6_B_1" localSheetId="0">MAPPING!$W$224</definedName>
    <definedName name="SD_4270x1_4371x1_4558x34_7_B_0" localSheetId="0">MAPPING!$U$224</definedName>
    <definedName name="SD_4270x1_4371x1_4558x34_9_B_0" localSheetId="0">MAPPING!$V$224</definedName>
    <definedName name="SD_4270x1_4371x1_4558x34_9005x1_100_B_0" localSheetId="0">MAPPING!$AE$224</definedName>
    <definedName name="SD_4270x1_4371x1_4558x34_9005x1_250_B_1" localSheetId="0">MAPPING!$AF$224</definedName>
    <definedName name="SD_4270x1_4371x1_4558x34_9005x1_251_B_0" localSheetId="0">MAPPING!$AH$224</definedName>
    <definedName name="SD_4270x1_4371x1_4558x34_9005x1_252_B_0" localSheetId="0">MAPPING!$AI$224</definedName>
    <definedName name="SD_4270x1_4371x1_4558x34_9005x1_253_B_0" localSheetId="0">MAPPING!$AJ$224</definedName>
    <definedName name="SD_4270x1_4371x1_4558x34_9005x1_254_B_0" localSheetId="0">MAPPING!$AB$224</definedName>
    <definedName name="SD_4270x1_4371x1_4558x34_9005x1_255_B_0" localSheetId="0">MAPPING!$AC$224</definedName>
    <definedName name="SD_4270x1_4371x1_4558x35_10_B_0" localSheetId="0">MAPPING!$X$225</definedName>
    <definedName name="SD_4270x1_4371x1_4558x35_11_B_0" localSheetId="0">MAPPING!$AA$225</definedName>
    <definedName name="SD_4270x1_4371x1_4558x35_12_B_0" localSheetId="0">MAPPING!$AG$225</definedName>
    <definedName name="SD_4270x1_4371x1_4558x35_25_B_0" localSheetId="0">MAPPING!$Y$225</definedName>
    <definedName name="SD_4270x1_4371x1_4558x35_38_B_0" localSheetId="0">MAPPING!$AD$225</definedName>
    <definedName name="SD_4270x1_4371x1_4558x35_43_B_0" localSheetId="0">MAPPING!$AK$225</definedName>
    <definedName name="SD_4270x1_4371x1_4558x35_6_B_1" localSheetId="0">MAPPING!$W$225</definedName>
    <definedName name="SD_4270x1_4371x1_4558x35_7_B_0" localSheetId="0">MAPPING!$U$225</definedName>
    <definedName name="SD_4270x1_4371x1_4558x35_9_B_0" localSheetId="0">MAPPING!$V$225</definedName>
    <definedName name="SD_4270x1_4371x1_4558x35_9005x1_100_B_0" localSheetId="0">MAPPING!$AE$225</definedName>
    <definedName name="SD_4270x1_4371x1_4558x35_9005x1_250_B_1" localSheetId="0">MAPPING!$AF$225</definedName>
    <definedName name="SD_4270x1_4371x1_4558x35_9005x1_251_B_0" localSheetId="0">MAPPING!$AH$225</definedName>
    <definedName name="SD_4270x1_4371x1_4558x35_9005x1_252_B_0" localSheetId="0">MAPPING!$AI$225</definedName>
    <definedName name="SD_4270x1_4371x1_4558x35_9005x1_253_B_0" localSheetId="0">MAPPING!$AJ$225</definedName>
    <definedName name="SD_4270x1_4371x1_4558x35_9005x1_254_B_0" localSheetId="0">MAPPING!$AB$225</definedName>
    <definedName name="SD_4270x1_4371x1_4558x35_9005x1_255_B_0" localSheetId="0">MAPPING!$AC$225</definedName>
    <definedName name="SD_4270x1_4371x1_4558x36_10_B_0" localSheetId="0">MAPPING!$X$226</definedName>
    <definedName name="SD_4270x1_4371x1_4558x36_11_B_0" localSheetId="0">MAPPING!$AA$226</definedName>
    <definedName name="SD_4270x1_4371x1_4558x36_12_B_0" localSheetId="0">MAPPING!$AG$226</definedName>
    <definedName name="SD_4270x1_4371x1_4558x36_25_B_0" localSheetId="0">MAPPING!$Y$226</definedName>
    <definedName name="SD_4270x1_4371x1_4558x36_38_B_0" localSheetId="0">MAPPING!$AD$226</definedName>
    <definedName name="SD_4270x1_4371x1_4558x36_43_B_0" localSheetId="0">MAPPING!$AK$226</definedName>
    <definedName name="SD_4270x1_4371x1_4558x36_6_B_1" localSheetId="0">MAPPING!$W$226</definedName>
    <definedName name="SD_4270x1_4371x1_4558x36_7_B_0" localSheetId="0">MAPPING!$U$226</definedName>
    <definedName name="SD_4270x1_4371x1_4558x36_9_B_0" localSheetId="0">MAPPING!$V$226</definedName>
    <definedName name="SD_4270x1_4371x1_4558x36_9005x1_100_B_0" localSheetId="0">MAPPING!$AE$226</definedName>
    <definedName name="SD_4270x1_4371x1_4558x36_9005x1_250_B_1" localSheetId="0">MAPPING!$AF$226</definedName>
    <definedName name="SD_4270x1_4371x1_4558x36_9005x1_251_B_0" localSheetId="0">MAPPING!$AH$226</definedName>
    <definedName name="SD_4270x1_4371x1_4558x36_9005x1_252_B_0" localSheetId="0">MAPPING!$AI$226</definedName>
    <definedName name="SD_4270x1_4371x1_4558x36_9005x1_253_B_0" localSheetId="0">MAPPING!$AJ$226</definedName>
    <definedName name="SD_4270x1_4371x1_4558x36_9005x1_254_B_0" localSheetId="0">MAPPING!$AB$226</definedName>
    <definedName name="SD_4270x1_4371x1_4558x36_9005x1_255_B_0" localSheetId="0">MAPPING!$AC$226</definedName>
    <definedName name="SD_4270x1_4371x1_4558x37_10_B_0" localSheetId="0">MAPPING!$X$227</definedName>
    <definedName name="SD_4270x1_4371x1_4558x37_11_B_0" localSheetId="0">MAPPING!$AA$227</definedName>
    <definedName name="SD_4270x1_4371x1_4558x37_12_B_0" localSheetId="0">MAPPING!$AG$227</definedName>
    <definedName name="SD_4270x1_4371x1_4558x37_25_B_0" localSheetId="0">MAPPING!$Y$227</definedName>
    <definedName name="SD_4270x1_4371x1_4558x37_38_B_0" localSheetId="0">MAPPING!$AD$227</definedName>
    <definedName name="SD_4270x1_4371x1_4558x37_43_B_0" localSheetId="0">MAPPING!$AK$227</definedName>
    <definedName name="SD_4270x1_4371x1_4558x37_6_B_1" localSheetId="0">MAPPING!$W$227</definedName>
    <definedName name="SD_4270x1_4371x1_4558x37_7_B_0" localSheetId="0">MAPPING!$U$227</definedName>
    <definedName name="SD_4270x1_4371x1_4558x37_9_B_0" localSheetId="0">MAPPING!$V$227</definedName>
    <definedName name="SD_4270x1_4371x1_4558x37_9005x1_100_B_0" localSheetId="0">MAPPING!$AE$227</definedName>
    <definedName name="SD_4270x1_4371x1_4558x37_9005x1_250_B_1" localSheetId="0">MAPPING!$AF$227</definedName>
    <definedName name="SD_4270x1_4371x1_4558x37_9005x1_251_B_0" localSheetId="0">MAPPING!$AH$227</definedName>
    <definedName name="SD_4270x1_4371x1_4558x37_9005x1_252_B_0" localSheetId="0">MAPPING!$AI$227</definedName>
    <definedName name="SD_4270x1_4371x1_4558x37_9005x1_253_B_0" localSheetId="0">MAPPING!$AJ$227</definedName>
    <definedName name="SD_4270x1_4371x1_4558x37_9005x1_254_B_0" localSheetId="0">MAPPING!$AB$227</definedName>
    <definedName name="SD_4270x1_4371x1_4558x37_9005x1_255_B_0" localSheetId="0">MAPPING!$AC$227</definedName>
    <definedName name="SD_4270x1_4371x1_4558x38_10_B_0" localSheetId="0">MAPPING!$X$228</definedName>
    <definedName name="SD_4270x1_4371x1_4558x38_11_B_0" localSheetId="0">MAPPING!$AA$228</definedName>
    <definedName name="SD_4270x1_4371x1_4558x38_12_B_0" localSheetId="0">MAPPING!$AG$228</definedName>
    <definedName name="SD_4270x1_4371x1_4558x38_25_B_0" localSheetId="0">MAPPING!$Y$228</definedName>
    <definedName name="SD_4270x1_4371x1_4558x38_38_B_0" localSheetId="0">MAPPING!$AD$228</definedName>
    <definedName name="SD_4270x1_4371x1_4558x38_43_B_0" localSheetId="0">MAPPING!$AK$228</definedName>
    <definedName name="SD_4270x1_4371x1_4558x38_6_B_1" localSheetId="0">MAPPING!$W$228</definedName>
    <definedName name="SD_4270x1_4371x1_4558x38_7_B_0" localSheetId="0">MAPPING!$U$228</definedName>
    <definedName name="SD_4270x1_4371x1_4558x38_9_B_0" localSheetId="0">MAPPING!$V$228</definedName>
    <definedName name="SD_4270x1_4371x1_4558x38_9005x1_100_B_0" localSheetId="0">MAPPING!$AE$228</definedName>
    <definedName name="SD_4270x1_4371x1_4558x38_9005x1_250_B_1" localSheetId="0">MAPPING!$AF$228</definedName>
    <definedName name="SD_4270x1_4371x1_4558x38_9005x1_251_B_0" localSheetId="0">MAPPING!$AH$228</definedName>
    <definedName name="SD_4270x1_4371x1_4558x38_9005x1_252_B_0" localSheetId="0">MAPPING!$AI$228</definedName>
    <definedName name="SD_4270x1_4371x1_4558x38_9005x1_253_B_0" localSheetId="0">MAPPING!$AJ$228</definedName>
    <definedName name="SD_4270x1_4371x1_4558x38_9005x1_254_B_0" localSheetId="0">MAPPING!$AB$228</definedName>
    <definedName name="SD_4270x1_4371x1_4558x38_9005x1_255_B_0" localSheetId="0">MAPPING!$AC$228</definedName>
    <definedName name="SD_4270x1_4371x1_4558x39_10_B_0" localSheetId="0">MAPPING!$X$229</definedName>
    <definedName name="SD_4270x1_4371x1_4558x39_11_B_0" localSheetId="0">MAPPING!$AA$229</definedName>
    <definedName name="SD_4270x1_4371x1_4558x39_12_B_0" localSheetId="0">MAPPING!$AG$229</definedName>
    <definedName name="SD_4270x1_4371x1_4558x39_25_B_0" localSheetId="0">MAPPING!$Y$229</definedName>
    <definedName name="SD_4270x1_4371x1_4558x39_38_B_0" localSheetId="0">MAPPING!$AD$229</definedName>
    <definedName name="SD_4270x1_4371x1_4558x39_43_B_0" localSheetId="0">MAPPING!$AK$229</definedName>
    <definedName name="SD_4270x1_4371x1_4558x39_6_B_1" localSheetId="0">MAPPING!$W$229</definedName>
    <definedName name="SD_4270x1_4371x1_4558x39_7_B_0" localSheetId="0">MAPPING!$U$229</definedName>
    <definedName name="SD_4270x1_4371x1_4558x39_9_B_0" localSheetId="0">MAPPING!$V$229</definedName>
    <definedName name="SD_4270x1_4371x1_4558x39_9005x1_100_B_0" localSheetId="0">MAPPING!$AE$229</definedName>
    <definedName name="SD_4270x1_4371x1_4558x39_9005x1_250_B_1" localSheetId="0">MAPPING!$AF$229</definedName>
    <definedName name="SD_4270x1_4371x1_4558x39_9005x1_251_B_0" localSheetId="0">MAPPING!$AH$229</definedName>
    <definedName name="SD_4270x1_4371x1_4558x39_9005x1_252_B_0" localSheetId="0">MAPPING!$AI$229</definedName>
    <definedName name="SD_4270x1_4371x1_4558x39_9005x1_253_B_0" localSheetId="0">MAPPING!$AJ$229</definedName>
    <definedName name="SD_4270x1_4371x1_4558x39_9005x1_254_B_0" localSheetId="0">MAPPING!$AB$229</definedName>
    <definedName name="SD_4270x1_4371x1_4558x39_9005x1_255_B_0" localSheetId="0">MAPPING!$AC$229</definedName>
    <definedName name="SD_4270x1_4371x1_4558x4_10_B_0" localSheetId="0">MAPPING!$X$194</definedName>
    <definedName name="SD_4270x1_4371x1_4558x4_11_B_0" localSheetId="0">MAPPING!$AA$194</definedName>
    <definedName name="SD_4270x1_4371x1_4558x4_12_B_0" localSheetId="0">MAPPING!$AG$194</definedName>
    <definedName name="SD_4270x1_4371x1_4558x4_25_B_0" localSheetId="0">MAPPING!$Y$194</definedName>
    <definedName name="SD_4270x1_4371x1_4558x4_38_B_0" localSheetId="0">MAPPING!$AD$194</definedName>
    <definedName name="SD_4270x1_4371x1_4558x4_43_B_0" localSheetId="0">MAPPING!$AK$194</definedName>
    <definedName name="SD_4270x1_4371x1_4558x4_6_B_1" localSheetId="0">MAPPING!$W$194</definedName>
    <definedName name="SD_4270x1_4371x1_4558x4_7_B_0" localSheetId="0">MAPPING!$U$194</definedName>
    <definedName name="SD_4270x1_4371x1_4558x4_9_B_0" localSheetId="0">MAPPING!$V$194</definedName>
    <definedName name="SD_4270x1_4371x1_4558x4_9005x1_100_B_0" localSheetId="0">MAPPING!$AE$194</definedName>
    <definedName name="SD_4270x1_4371x1_4558x4_9005x1_250_B_1" localSheetId="0">MAPPING!$AF$194</definedName>
    <definedName name="SD_4270x1_4371x1_4558x4_9005x1_251_B_0" localSheetId="0">MAPPING!$AH$194</definedName>
    <definedName name="SD_4270x1_4371x1_4558x4_9005x1_252_B_0" localSheetId="0">MAPPING!$AI$194</definedName>
    <definedName name="SD_4270x1_4371x1_4558x4_9005x1_253_B_0" localSheetId="0">MAPPING!$AJ$194</definedName>
    <definedName name="SD_4270x1_4371x1_4558x4_9005x1_254_B_0" localSheetId="0">MAPPING!$AB$194</definedName>
    <definedName name="SD_4270x1_4371x1_4558x4_9005x1_255_B_0" localSheetId="0">MAPPING!$AC$194</definedName>
    <definedName name="SD_4270x1_4371x1_4558x40_10_B_0" localSheetId="0">MAPPING!$X$230</definedName>
    <definedName name="SD_4270x1_4371x1_4558x40_11_B_0" localSheetId="0">MAPPING!$AA$230</definedName>
    <definedName name="SD_4270x1_4371x1_4558x40_12_B_0" localSheetId="0">MAPPING!$AG$230</definedName>
    <definedName name="SD_4270x1_4371x1_4558x40_25_B_0" localSheetId="0">MAPPING!$Y$230</definedName>
    <definedName name="SD_4270x1_4371x1_4558x40_38_B_0" localSheetId="0">MAPPING!$AD$230</definedName>
    <definedName name="SD_4270x1_4371x1_4558x40_43_B_0" localSheetId="0">MAPPING!$AK$230</definedName>
    <definedName name="SD_4270x1_4371x1_4558x40_6_B_1" localSheetId="0">MAPPING!$W$230</definedName>
    <definedName name="SD_4270x1_4371x1_4558x40_7_B_0" localSheetId="0">MAPPING!$U$230</definedName>
    <definedName name="SD_4270x1_4371x1_4558x40_9_B_0" localSheetId="0">MAPPING!$V$230</definedName>
    <definedName name="SD_4270x1_4371x1_4558x40_9005x1_100_B_0" localSheetId="0">MAPPING!$AE$230</definedName>
    <definedName name="SD_4270x1_4371x1_4558x40_9005x1_250_B_1" localSheetId="0">MAPPING!$AF$230</definedName>
    <definedName name="SD_4270x1_4371x1_4558x40_9005x1_251_B_0" localSheetId="0">MAPPING!$AH$230</definedName>
    <definedName name="SD_4270x1_4371x1_4558x40_9005x1_252_B_0" localSheetId="0">MAPPING!$AI$230</definedName>
    <definedName name="SD_4270x1_4371x1_4558x40_9005x1_253_B_0" localSheetId="0">MAPPING!$AJ$230</definedName>
    <definedName name="SD_4270x1_4371x1_4558x40_9005x1_254_B_0" localSheetId="0">MAPPING!$AB$230</definedName>
    <definedName name="SD_4270x1_4371x1_4558x40_9005x1_255_B_0" localSheetId="0">MAPPING!$AC$230</definedName>
    <definedName name="SD_4270x1_4371x1_4558x41_10_B_0" localSheetId="0">MAPPING!$X$231</definedName>
    <definedName name="SD_4270x1_4371x1_4558x41_11_B_0" localSheetId="0">MAPPING!$AA$231</definedName>
    <definedName name="SD_4270x1_4371x1_4558x41_12_B_0" localSheetId="0">MAPPING!$AG$231</definedName>
    <definedName name="SD_4270x1_4371x1_4558x41_25_B_0" localSheetId="0">MAPPING!$Y$231</definedName>
    <definedName name="SD_4270x1_4371x1_4558x41_38_B_0" localSheetId="0">MAPPING!$AD$231</definedName>
    <definedName name="SD_4270x1_4371x1_4558x41_43_B_0" localSheetId="0">MAPPING!$AK$231</definedName>
    <definedName name="SD_4270x1_4371x1_4558x41_6_B_1" localSheetId="0">MAPPING!$W$231</definedName>
    <definedName name="SD_4270x1_4371x1_4558x41_7_B_0" localSheetId="0">MAPPING!$U$231</definedName>
    <definedName name="SD_4270x1_4371x1_4558x41_9_B_0" localSheetId="0">MAPPING!$V$231</definedName>
    <definedName name="SD_4270x1_4371x1_4558x41_9005x1_100_B_0" localSheetId="0">MAPPING!$AE$231</definedName>
    <definedName name="SD_4270x1_4371x1_4558x41_9005x1_250_B_1" localSheetId="0">MAPPING!$AF$231</definedName>
    <definedName name="SD_4270x1_4371x1_4558x41_9005x1_251_B_0" localSheetId="0">MAPPING!$AH$231</definedName>
    <definedName name="SD_4270x1_4371x1_4558x41_9005x1_252_B_0" localSheetId="0">MAPPING!$AI$231</definedName>
    <definedName name="SD_4270x1_4371x1_4558x41_9005x1_253_B_0" localSheetId="0">MAPPING!$AJ$231</definedName>
    <definedName name="SD_4270x1_4371x1_4558x41_9005x1_254_B_0" localSheetId="0">MAPPING!$AB$231</definedName>
    <definedName name="SD_4270x1_4371x1_4558x41_9005x1_255_B_0" localSheetId="0">MAPPING!$AC$231</definedName>
    <definedName name="SD_4270x1_4371x1_4558x42_10_B_0" localSheetId="0">MAPPING!$X$232</definedName>
    <definedName name="SD_4270x1_4371x1_4558x42_11_B_0" localSheetId="0">MAPPING!$AA$232</definedName>
    <definedName name="SD_4270x1_4371x1_4558x42_12_B_0" localSheetId="0">MAPPING!$AG$232</definedName>
    <definedName name="SD_4270x1_4371x1_4558x42_25_B_0" localSheetId="0">MAPPING!$Y$232</definedName>
    <definedName name="SD_4270x1_4371x1_4558x42_38_B_0" localSheetId="0">MAPPING!$AD$232</definedName>
    <definedName name="SD_4270x1_4371x1_4558x42_43_B_0" localSheetId="0">MAPPING!$AK$232</definedName>
    <definedName name="SD_4270x1_4371x1_4558x42_6_B_1" localSheetId="0">MAPPING!$W$232</definedName>
    <definedName name="SD_4270x1_4371x1_4558x42_7_B_0" localSheetId="0">MAPPING!$U$232</definedName>
    <definedName name="SD_4270x1_4371x1_4558x42_9_B_0" localSheetId="0">MAPPING!$V$232</definedName>
    <definedName name="SD_4270x1_4371x1_4558x42_9005x1_100_B_0" localSheetId="0">MAPPING!$AE$232</definedName>
    <definedName name="SD_4270x1_4371x1_4558x42_9005x1_250_B_1" localSheetId="0">MAPPING!$AF$232</definedName>
    <definedName name="SD_4270x1_4371x1_4558x42_9005x1_251_B_0" localSheetId="0">MAPPING!$AH$232</definedName>
    <definedName name="SD_4270x1_4371x1_4558x42_9005x1_252_B_0" localSheetId="0">MAPPING!$AI$232</definedName>
    <definedName name="SD_4270x1_4371x1_4558x42_9005x1_253_B_0" localSheetId="0">MAPPING!$AJ$232</definedName>
    <definedName name="SD_4270x1_4371x1_4558x42_9005x1_254_B_0" localSheetId="0">MAPPING!$AB$232</definedName>
    <definedName name="SD_4270x1_4371x1_4558x42_9005x1_255_B_0" localSheetId="0">MAPPING!$AC$232</definedName>
    <definedName name="SD_4270x1_4371x1_4558x43_10_B_0" localSheetId="0">MAPPING!$X$233</definedName>
    <definedName name="SD_4270x1_4371x1_4558x43_11_B_0" localSheetId="0">MAPPING!$AA$233</definedName>
    <definedName name="SD_4270x1_4371x1_4558x43_12_B_0" localSheetId="0">MAPPING!$AG$233</definedName>
    <definedName name="SD_4270x1_4371x1_4558x43_25_B_0" localSheetId="0">MAPPING!$Y$233</definedName>
    <definedName name="SD_4270x1_4371x1_4558x43_38_B_0" localSheetId="0">MAPPING!$AD$233</definedName>
    <definedName name="SD_4270x1_4371x1_4558x43_43_B_0" localSheetId="0">MAPPING!$AK$233</definedName>
    <definedName name="SD_4270x1_4371x1_4558x43_6_B_1" localSheetId="0">MAPPING!$W$233</definedName>
    <definedName name="SD_4270x1_4371x1_4558x43_7_B_0" localSheetId="0">MAPPING!$U$233</definedName>
    <definedName name="SD_4270x1_4371x1_4558x43_9_B_0" localSheetId="0">MAPPING!$V$233</definedName>
    <definedName name="SD_4270x1_4371x1_4558x43_9005x1_100_B_0" localSheetId="0">MAPPING!$AE$233</definedName>
    <definedName name="SD_4270x1_4371x1_4558x43_9005x1_250_B_1" localSheetId="0">MAPPING!$AF$233</definedName>
    <definedName name="SD_4270x1_4371x1_4558x43_9005x1_251_B_0" localSheetId="0">MAPPING!$AH$233</definedName>
    <definedName name="SD_4270x1_4371x1_4558x43_9005x1_252_B_0" localSheetId="0">MAPPING!$AI$233</definedName>
    <definedName name="SD_4270x1_4371x1_4558x43_9005x1_253_B_0" localSheetId="0">MAPPING!$AJ$233</definedName>
    <definedName name="SD_4270x1_4371x1_4558x43_9005x1_254_B_0" localSheetId="0">MAPPING!$AB$233</definedName>
    <definedName name="SD_4270x1_4371x1_4558x43_9005x1_255_B_0" localSheetId="0">MAPPING!$AC$233</definedName>
    <definedName name="SD_4270x1_4371x1_4558x44_10_B_0" localSheetId="0">MAPPING!$X$234</definedName>
    <definedName name="SD_4270x1_4371x1_4558x44_11_B_0" localSheetId="0">MAPPING!$AA$234</definedName>
    <definedName name="SD_4270x1_4371x1_4558x44_12_B_0" localSheetId="0">MAPPING!$AG$234</definedName>
    <definedName name="SD_4270x1_4371x1_4558x44_25_B_0" localSheetId="0">MAPPING!$Y$234</definedName>
    <definedName name="SD_4270x1_4371x1_4558x44_38_B_0" localSheetId="0">MAPPING!$AD$234</definedName>
    <definedName name="SD_4270x1_4371x1_4558x44_43_B_0" localSheetId="0">MAPPING!$AK$234</definedName>
    <definedName name="SD_4270x1_4371x1_4558x44_6_B_1" localSheetId="0">MAPPING!$W$234</definedName>
    <definedName name="SD_4270x1_4371x1_4558x44_7_B_0" localSheetId="0">MAPPING!$U$234</definedName>
    <definedName name="SD_4270x1_4371x1_4558x44_9_B_0" localSheetId="0">MAPPING!$V$234</definedName>
    <definedName name="SD_4270x1_4371x1_4558x44_9005x1_100_B_0" localSheetId="0">MAPPING!$AE$234</definedName>
    <definedName name="SD_4270x1_4371x1_4558x44_9005x1_250_B_1" localSheetId="0">MAPPING!$AF$234</definedName>
    <definedName name="SD_4270x1_4371x1_4558x44_9005x1_251_B_0" localSheetId="0">MAPPING!$AH$234</definedName>
    <definedName name="SD_4270x1_4371x1_4558x44_9005x1_252_B_0" localSheetId="0">MAPPING!$AI$234</definedName>
    <definedName name="SD_4270x1_4371x1_4558x44_9005x1_253_B_0" localSheetId="0">MAPPING!$AJ$234</definedName>
    <definedName name="SD_4270x1_4371x1_4558x44_9005x1_254_B_0" localSheetId="0">MAPPING!$AB$234</definedName>
    <definedName name="SD_4270x1_4371x1_4558x44_9005x1_255_B_0" localSheetId="0">MAPPING!$AC$234</definedName>
    <definedName name="SD_4270x1_4371x1_4558x45_10_B_0" localSheetId="0">MAPPING!$X$235</definedName>
    <definedName name="SD_4270x1_4371x1_4558x45_11_B_0" localSheetId="0">MAPPING!$AA$235</definedName>
    <definedName name="SD_4270x1_4371x1_4558x45_12_B_0" localSheetId="0">MAPPING!$AG$235</definedName>
    <definedName name="SD_4270x1_4371x1_4558x45_25_B_0" localSheetId="0">MAPPING!$Y$235</definedName>
    <definedName name="SD_4270x1_4371x1_4558x45_38_B_0" localSheetId="0">MAPPING!$AD$235</definedName>
    <definedName name="SD_4270x1_4371x1_4558x45_43_B_0" localSheetId="0">MAPPING!$AK$235</definedName>
    <definedName name="SD_4270x1_4371x1_4558x45_6_B_1" localSheetId="0">MAPPING!$W$235</definedName>
    <definedName name="SD_4270x1_4371x1_4558x45_7_B_0" localSheetId="0">MAPPING!$U$235</definedName>
    <definedName name="SD_4270x1_4371x1_4558x45_9_B_0" localSheetId="0">MAPPING!$V$235</definedName>
    <definedName name="SD_4270x1_4371x1_4558x45_9005x1_100_B_0" localSheetId="0">MAPPING!$AE$235</definedName>
    <definedName name="SD_4270x1_4371x1_4558x45_9005x1_250_B_1" localSheetId="0">MAPPING!$AF$235</definedName>
    <definedName name="SD_4270x1_4371x1_4558x45_9005x1_251_B_0" localSheetId="0">MAPPING!$AH$235</definedName>
    <definedName name="SD_4270x1_4371x1_4558x45_9005x1_252_B_0" localSheetId="0">MAPPING!$AI$235</definedName>
    <definedName name="SD_4270x1_4371x1_4558x45_9005x1_253_B_0" localSheetId="0">MAPPING!$AJ$235</definedName>
    <definedName name="SD_4270x1_4371x1_4558x45_9005x1_254_B_0" localSheetId="0">MAPPING!$AB$235</definedName>
    <definedName name="SD_4270x1_4371x1_4558x45_9005x1_255_B_0" localSheetId="0">MAPPING!$AC$235</definedName>
    <definedName name="SD_4270x1_4371x1_4558x46_10_B_0" localSheetId="0">MAPPING!$X$236</definedName>
    <definedName name="SD_4270x1_4371x1_4558x46_11_B_0" localSheetId="0">MAPPING!$AA$236</definedName>
    <definedName name="SD_4270x1_4371x1_4558x46_12_B_0" localSheetId="0">MAPPING!$AG$236</definedName>
    <definedName name="SD_4270x1_4371x1_4558x46_25_B_0" localSheetId="0">MAPPING!$Y$236</definedName>
    <definedName name="SD_4270x1_4371x1_4558x46_38_B_0" localSheetId="0">MAPPING!$AD$236</definedName>
    <definedName name="SD_4270x1_4371x1_4558x46_43_B_0" localSheetId="0">MAPPING!$AK$236</definedName>
    <definedName name="SD_4270x1_4371x1_4558x46_6_B_1" localSheetId="0">MAPPING!$W$236</definedName>
    <definedName name="SD_4270x1_4371x1_4558x46_7_B_0" localSheetId="0">MAPPING!$U$236</definedName>
    <definedName name="SD_4270x1_4371x1_4558x46_9_B_0" localSheetId="0">MAPPING!$V$236</definedName>
    <definedName name="SD_4270x1_4371x1_4558x46_9005x1_100_B_0" localSheetId="0">MAPPING!$AE$236</definedName>
    <definedName name="SD_4270x1_4371x1_4558x46_9005x1_250_B_1" localSheetId="0">MAPPING!$AF$236</definedName>
    <definedName name="SD_4270x1_4371x1_4558x46_9005x1_251_B_0" localSheetId="0">MAPPING!$AH$236</definedName>
    <definedName name="SD_4270x1_4371x1_4558x46_9005x1_252_B_0" localSheetId="0">MAPPING!$AI$236</definedName>
    <definedName name="SD_4270x1_4371x1_4558x46_9005x1_253_B_0" localSheetId="0">MAPPING!$AJ$236</definedName>
    <definedName name="SD_4270x1_4371x1_4558x46_9005x1_254_B_0" localSheetId="0">MAPPING!$AB$236</definedName>
    <definedName name="SD_4270x1_4371x1_4558x46_9005x1_255_B_0" localSheetId="0">MAPPING!$AC$236</definedName>
    <definedName name="SD_4270x1_4371x1_4558x47_10_B_0" localSheetId="0">MAPPING!$X$237</definedName>
    <definedName name="SD_4270x1_4371x1_4558x47_11_B_0" localSheetId="0">MAPPING!$AA$237</definedName>
    <definedName name="SD_4270x1_4371x1_4558x47_12_B_0" localSheetId="0">MAPPING!$AG$237</definedName>
    <definedName name="SD_4270x1_4371x1_4558x47_25_B_0" localSheetId="0">MAPPING!$Y$237</definedName>
    <definedName name="SD_4270x1_4371x1_4558x47_38_B_0" localSheetId="0">MAPPING!$AD$237</definedName>
    <definedName name="SD_4270x1_4371x1_4558x47_43_B_0" localSheetId="0">MAPPING!$AK$237</definedName>
    <definedName name="SD_4270x1_4371x1_4558x47_6_B_1" localSheetId="0">MAPPING!$W$237</definedName>
    <definedName name="SD_4270x1_4371x1_4558x47_7_B_0" localSheetId="0">MAPPING!$U$237</definedName>
    <definedName name="SD_4270x1_4371x1_4558x47_9_B_0" localSheetId="0">MAPPING!$V$237</definedName>
    <definedName name="SD_4270x1_4371x1_4558x47_9005x1_100_B_0" localSheetId="0">MAPPING!$AE$237</definedName>
    <definedName name="SD_4270x1_4371x1_4558x47_9005x1_250_B_1" localSheetId="0">MAPPING!$AF$237</definedName>
    <definedName name="SD_4270x1_4371x1_4558x47_9005x1_251_B_0" localSheetId="0">MAPPING!$AH$237</definedName>
    <definedName name="SD_4270x1_4371x1_4558x47_9005x1_252_B_0" localSheetId="0">MAPPING!$AI$237</definedName>
    <definedName name="SD_4270x1_4371x1_4558x47_9005x1_253_B_0" localSheetId="0">MAPPING!$AJ$237</definedName>
    <definedName name="SD_4270x1_4371x1_4558x47_9005x1_254_B_0" localSheetId="0">MAPPING!$AB$237</definedName>
    <definedName name="SD_4270x1_4371x1_4558x47_9005x1_255_B_0" localSheetId="0">MAPPING!$AC$237</definedName>
    <definedName name="SD_4270x1_4371x1_4558x48_10_B_0" localSheetId="0">MAPPING!$X$238</definedName>
    <definedName name="SD_4270x1_4371x1_4558x48_11_B_0" localSheetId="0">MAPPING!$AA$238</definedName>
    <definedName name="SD_4270x1_4371x1_4558x48_12_B_0" localSheetId="0">MAPPING!$AG$238</definedName>
    <definedName name="SD_4270x1_4371x1_4558x48_25_B_0" localSheetId="0">MAPPING!$Y$238</definedName>
    <definedName name="SD_4270x1_4371x1_4558x48_38_B_0" localSheetId="0">MAPPING!$AD$238</definedName>
    <definedName name="SD_4270x1_4371x1_4558x48_43_B_0" localSheetId="0">MAPPING!$AK$238</definedName>
    <definedName name="SD_4270x1_4371x1_4558x48_6_B_1" localSheetId="0">MAPPING!$W$238</definedName>
    <definedName name="SD_4270x1_4371x1_4558x48_7_B_0" localSheetId="0">MAPPING!$U$238</definedName>
    <definedName name="SD_4270x1_4371x1_4558x48_9_B_0" localSheetId="0">MAPPING!$V$238</definedName>
    <definedName name="SD_4270x1_4371x1_4558x48_9005x1_100_B_0" localSheetId="0">MAPPING!$AE$238</definedName>
    <definedName name="SD_4270x1_4371x1_4558x48_9005x1_250_B_1" localSheetId="0">MAPPING!$AF$238</definedName>
    <definedName name="SD_4270x1_4371x1_4558x48_9005x1_251_B_0" localSheetId="0">MAPPING!$AH$238</definedName>
    <definedName name="SD_4270x1_4371x1_4558x48_9005x1_252_B_0" localSheetId="0">MAPPING!$AI$238</definedName>
    <definedName name="SD_4270x1_4371x1_4558x48_9005x1_253_B_0" localSheetId="0">MAPPING!$AJ$238</definedName>
    <definedName name="SD_4270x1_4371x1_4558x48_9005x1_254_B_0" localSheetId="0">MAPPING!$AB$238</definedName>
    <definedName name="SD_4270x1_4371x1_4558x48_9005x1_255_B_0" localSheetId="0">MAPPING!$AC$238</definedName>
    <definedName name="SD_4270x1_4371x1_4558x49_10_B_0" localSheetId="0">MAPPING!$X$239</definedName>
    <definedName name="SD_4270x1_4371x1_4558x49_11_B_0" localSheetId="0">MAPPING!$AA$239</definedName>
    <definedName name="SD_4270x1_4371x1_4558x49_12_B_0" localSheetId="0">MAPPING!$AG$239</definedName>
    <definedName name="SD_4270x1_4371x1_4558x49_25_B_0" localSheetId="0">MAPPING!$Y$239</definedName>
    <definedName name="SD_4270x1_4371x1_4558x49_38_B_0" localSheetId="0">MAPPING!$AD$239</definedName>
    <definedName name="SD_4270x1_4371x1_4558x49_43_B_0" localSheetId="0">MAPPING!$AK$239</definedName>
    <definedName name="SD_4270x1_4371x1_4558x49_6_B_1" localSheetId="0">MAPPING!$W$239</definedName>
    <definedName name="SD_4270x1_4371x1_4558x49_7_B_0" localSheetId="0">MAPPING!$U$239</definedName>
    <definedName name="SD_4270x1_4371x1_4558x49_9_B_0" localSheetId="0">MAPPING!$V$239</definedName>
    <definedName name="SD_4270x1_4371x1_4558x49_9005x1_100_B_0" localSheetId="0">MAPPING!$AE$239</definedName>
    <definedName name="SD_4270x1_4371x1_4558x49_9005x1_250_B_1" localSheetId="0">MAPPING!$AF$239</definedName>
    <definedName name="SD_4270x1_4371x1_4558x49_9005x1_251_B_0" localSheetId="0">MAPPING!$AH$239</definedName>
    <definedName name="SD_4270x1_4371x1_4558x49_9005x1_252_B_0" localSheetId="0">MAPPING!$AI$239</definedName>
    <definedName name="SD_4270x1_4371x1_4558x49_9005x1_253_B_0" localSheetId="0">MAPPING!$AJ$239</definedName>
    <definedName name="SD_4270x1_4371x1_4558x49_9005x1_254_B_0" localSheetId="0">MAPPING!$AB$239</definedName>
    <definedName name="SD_4270x1_4371x1_4558x49_9005x1_255_B_0" localSheetId="0">MAPPING!$AC$239</definedName>
    <definedName name="SD_4270x1_4371x1_4558x5_10_B_0" localSheetId="0">MAPPING!$X$195</definedName>
    <definedName name="SD_4270x1_4371x1_4558x5_11_B_0" localSheetId="0">MAPPING!$AA$195</definedName>
    <definedName name="SD_4270x1_4371x1_4558x5_12_B_0" localSheetId="0">MAPPING!$AG$195</definedName>
    <definedName name="SD_4270x1_4371x1_4558x5_25_B_0" localSheetId="0">MAPPING!$Y$195</definedName>
    <definedName name="SD_4270x1_4371x1_4558x5_38_B_0" localSheetId="0">MAPPING!$AD$195</definedName>
    <definedName name="SD_4270x1_4371x1_4558x5_43_B_0" localSheetId="0">MAPPING!$AK$195</definedName>
    <definedName name="SD_4270x1_4371x1_4558x5_6_B_1" localSheetId="0">MAPPING!$W$195</definedName>
    <definedName name="SD_4270x1_4371x1_4558x5_7_B_0" localSheetId="0">MAPPING!$U$195</definedName>
    <definedName name="SD_4270x1_4371x1_4558x5_9_B_0" localSheetId="0">MAPPING!$V$195</definedName>
    <definedName name="SD_4270x1_4371x1_4558x5_9005x1_100_B_0" localSheetId="0">MAPPING!$AE$195</definedName>
    <definedName name="SD_4270x1_4371x1_4558x5_9005x1_250_B_1" localSheetId="0">MAPPING!$AF$195</definedName>
    <definedName name="SD_4270x1_4371x1_4558x5_9005x1_251_B_0" localSheetId="0">MAPPING!$AH$195</definedName>
    <definedName name="SD_4270x1_4371x1_4558x5_9005x1_252_B_0" localSheetId="0">MAPPING!$AI$195</definedName>
    <definedName name="SD_4270x1_4371x1_4558x5_9005x1_253_B_0" localSheetId="0">MAPPING!$AJ$195</definedName>
    <definedName name="SD_4270x1_4371x1_4558x5_9005x1_254_B_0" localSheetId="0">MAPPING!$AB$195</definedName>
    <definedName name="SD_4270x1_4371x1_4558x5_9005x1_255_B_0" localSheetId="0">MAPPING!$AC$195</definedName>
    <definedName name="SD_4270x1_4371x1_4558x50_10_B_0" localSheetId="0">MAPPING!$X$240</definedName>
    <definedName name="SD_4270x1_4371x1_4558x50_11_B_0" localSheetId="0">MAPPING!$AA$240</definedName>
    <definedName name="SD_4270x1_4371x1_4558x50_12_B_0" localSheetId="0">MAPPING!$AG$240</definedName>
    <definedName name="SD_4270x1_4371x1_4558x50_25_B_0" localSheetId="0">MAPPING!$Y$240</definedName>
    <definedName name="SD_4270x1_4371x1_4558x50_38_B_0" localSheetId="0">MAPPING!$AD$240</definedName>
    <definedName name="SD_4270x1_4371x1_4558x50_43_B_0" localSheetId="0">MAPPING!$AK$240</definedName>
    <definedName name="SD_4270x1_4371x1_4558x50_6_B_1" localSheetId="0">MAPPING!$W$240</definedName>
    <definedName name="SD_4270x1_4371x1_4558x50_7_B_0" localSheetId="0">MAPPING!$U$240</definedName>
    <definedName name="SD_4270x1_4371x1_4558x50_9_B_0" localSheetId="0">MAPPING!$V$240</definedName>
    <definedName name="SD_4270x1_4371x1_4558x50_9005x1_100_B_0" localSheetId="0">MAPPING!$AE$240</definedName>
    <definedName name="SD_4270x1_4371x1_4558x50_9005x1_250_B_1" localSheetId="0">MAPPING!$AF$240</definedName>
    <definedName name="SD_4270x1_4371x1_4558x50_9005x1_251_B_0" localSheetId="0">MAPPING!$AH$240</definedName>
    <definedName name="SD_4270x1_4371x1_4558x50_9005x1_252_B_0" localSheetId="0">MAPPING!$AI$240</definedName>
    <definedName name="SD_4270x1_4371x1_4558x50_9005x1_253_B_0" localSheetId="0">MAPPING!$AJ$240</definedName>
    <definedName name="SD_4270x1_4371x1_4558x50_9005x1_254_B_0" localSheetId="0">MAPPING!$AB$240</definedName>
    <definedName name="SD_4270x1_4371x1_4558x50_9005x1_255_B_0" localSheetId="0">MAPPING!$AC$240</definedName>
    <definedName name="SD_4270x1_4371x1_4558x51_10_B_0" localSheetId="0">MAPPING!$X$241</definedName>
    <definedName name="SD_4270x1_4371x1_4558x51_11_B_0" localSheetId="0">MAPPING!$AA$241</definedName>
    <definedName name="SD_4270x1_4371x1_4558x51_12_B_0" localSheetId="0">MAPPING!$AG$241</definedName>
    <definedName name="SD_4270x1_4371x1_4558x51_25_B_0" localSheetId="0">MAPPING!$Y$241</definedName>
    <definedName name="SD_4270x1_4371x1_4558x51_38_B_0" localSheetId="0">MAPPING!$AD$241</definedName>
    <definedName name="SD_4270x1_4371x1_4558x51_43_B_0" localSheetId="0">MAPPING!$AK$241</definedName>
    <definedName name="SD_4270x1_4371x1_4558x51_6_B_1" localSheetId="0">MAPPING!$W$241</definedName>
    <definedName name="SD_4270x1_4371x1_4558x51_7_B_0" localSheetId="0">MAPPING!$U$241</definedName>
    <definedName name="SD_4270x1_4371x1_4558x51_9_B_0" localSheetId="0">MAPPING!$V$241</definedName>
    <definedName name="SD_4270x1_4371x1_4558x51_9005x1_100_B_0" localSheetId="0">MAPPING!$AE$241</definedName>
    <definedName name="SD_4270x1_4371x1_4558x51_9005x1_250_B_1" localSheetId="0">MAPPING!$AF$241</definedName>
    <definedName name="SD_4270x1_4371x1_4558x51_9005x1_251_B_0" localSheetId="0">MAPPING!$AH$241</definedName>
    <definedName name="SD_4270x1_4371x1_4558x51_9005x1_252_B_0" localSheetId="0">MAPPING!$AI$241</definedName>
    <definedName name="SD_4270x1_4371x1_4558x51_9005x1_253_B_0" localSheetId="0">MAPPING!$AJ$241</definedName>
    <definedName name="SD_4270x1_4371x1_4558x51_9005x1_254_B_0" localSheetId="0">MAPPING!$AB$241</definedName>
    <definedName name="SD_4270x1_4371x1_4558x51_9005x1_255_B_0" localSheetId="0">MAPPING!$AC$241</definedName>
    <definedName name="SD_4270x1_4371x1_4558x52_10_B_0" localSheetId="0">MAPPING!$X$242</definedName>
    <definedName name="SD_4270x1_4371x1_4558x52_11_B_0" localSheetId="0">MAPPING!$AA$242</definedName>
    <definedName name="SD_4270x1_4371x1_4558x52_12_B_0" localSheetId="0">MAPPING!$AG$242</definedName>
    <definedName name="SD_4270x1_4371x1_4558x52_25_B_0" localSheetId="0">MAPPING!$Y$242</definedName>
    <definedName name="SD_4270x1_4371x1_4558x52_38_B_0" localSheetId="0">MAPPING!$AD$242</definedName>
    <definedName name="SD_4270x1_4371x1_4558x52_43_B_0" localSheetId="0">MAPPING!$AK$242</definedName>
    <definedName name="SD_4270x1_4371x1_4558x52_6_B_1" localSheetId="0">MAPPING!$W$242</definedName>
    <definedName name="SD_4270x1_4371x1_4558x52_7_B_0" localSheetId="0">MAPPING!$U$242</definedName>
    <definedName name="SD_4270x1_4371x1_4558x52_9_B_0" localSheetId="0">MAPPING!$V$242</definedName>
    <definedName name="SD_4270x1_4371x1_4558x52_9005x1_100_B_0" localSheetId="0">MAPPING!$AE$242</definedName>
    <definedName name="SD_4270x1_4371x1_4558x52_9005x1_250_B_1" localSheetId="0">MAPPING!$AF$242</definedName>
    <definedName name="SD_4270x1_4371x1_4558x52_9005x1_251_B_0" localSheetId="0">MAPPING!$AH$242</definedName>
    <definedName name="SD_4270x1_4371x1_4558x52_9005x1_252_B_0" localSheetId="0">MAPPING!$AI$242</definedName>
    <definedName name="SD_4270x1_4371x1_4558x52_9005x1_253_B_0" localSheetId="0">MAPPING!$AJ$242</definedName>
    <definedName name="SD_4270x1_4371x1_4558x52_9005x1_254_B_0" localSheetId="0">MAPPING!$AB$242</definedName>
    <definedName name="SD_4270x1_4371x1_4558x52_9005x1_255_B_0" localSheetId="0">MAPPING!$AC$242</definedName>
    <definedName name="SD_4270x1_4371x1_4558x53_10_B_0" localSheetId="0">MAPPING!$X$243</definedName>
    <definedName name="SD_4270x1_4371x1_4558x53_11_B_0" localSheetId="0">MAPPING!$AA$243</definedName>
    <definedName name="SD_4270x1_4371x1_4558x53_12_B_0" localSheetId="0">MAPPING!$AG$243</definedName>
    <definedName name="SD_4270x1_4371x1_4558x53_25_B_0" localSheetId="0">MAPPING!$Y$243</definedName>
    <definedName name="SD_4270x1_4371x1_4558x53_38_B_0" localSheetId="0">MAPPING!$AD$243</definedName>
    <definedName name="SD_4270x1_4371x1_4558x53_43_B_0" localSheetId="0">MAPPING!$AK$243</definedName>
    <definedName name="SD_4270x1_4371x1_4558x53_6_B_1" localSheetId="0">MAPPING!$W$243</definedName>
    <definedName name="SD_4270x1_4371x1_4558x53_7_B_0" localSheetId="0">MAPPING!$U$243</definedName>
    <definedName name="SD_4270x1_4371x1_4558x53_9_B_0" localSheetId="0">MAPPING!$V$243</definedName>
    <definedName name="SD_4270x1_4371x1_4558x53_9005x1_100_B_0" localSheetId="0">MAPPING!$AE$243</definedName>
    <definedName name="SD_4270x1_4371x1_4558x53_9005x1_250_B_1" localSheetId="0">MAPPING!$AF$243</definedName>
    <definedName name="SD_4270x1_4371x1_4558x53_9005x1_251_B_0" localSheetId="0">MAPPING!$AH$243</definedName>
    <definedName name="SD_4270x1_4371x1_4558x53_9005x1_252_B_0" localSheetId="0">MAPPING!$AI$243</definedName>
    <definedName name="SD_4270x1_4371x1_4558x53_9005x1_253_B_0" localSheetId="0">MAPPING!$AJ$243</definedName>
    <definedName name="SD_4270x1_4371x1_4558x53_9005x1_254_B_0" localSheetId="0">MAPPING!$AB$243</definedName>
    <definedName name="SD_4270x1_4371x1_4558x53_9005x1_255_B_0" localSheetId="0">MAPPING!$AC$243</definedName>
    <definedName name="SD_4270x1_4371x1_4558x54_10_B_0" localSheetId="0">MAPPING!$X$244</definedName>
    <definedName name="SD_4270x1_4371x1_4558x54_11_B_0" localSheetId="0">MAPPING!$AA$244</definedName>
    <definedName name="SD_4270x1_4371x1_4558x54_12_B_0" localSheetId="0">MAPPING!$AG$244</definedName>
    <definedName name="SD_4270x1_4371x1_4558x54_25_B_0" localSheetId="0">MAPPING!$Y$244</definedName>
    <definedName name="SD_4270x1_4371x1_4558x54_38_B_0" localSheetId="0">MAPPING!$AD$244</definedName>
    <definedName name="SD_4270x1_4371x1_4558x54_43_B_0" localSheetId="0">MAPPING!$AK$244</definedName>
    <definedName name="SD_4270x1_4371x1_4558x54_6_B_1" localSheetId="0">MAPPING!$W$244</definedName>
    <definedName name="SD_4270x1_4371x1_4558x54_7_B_0" localSheetId="0">MAPPING!$U$244</definedName>
    <definedName name="SD_4270x1_4371x1_4558x54_9_B_0" localSheetId="0">MAPPING!$V$244</definedName>
    <definedName name="SD_4270x1_4371x1_4558x54_9005x1_100_B_0" localSheetId="0">MAPPING!$AE$244</definedName>
    <definedName name="SD_4270x1_4371x1_4558x54_9005x1_250_B_1" localSheetId="0">MAPPING!$AF$244</definedName>
    <definedName name="SD_4270x1_4371x1_4558x54_9005x1_251_B_0" localSheetId="0">MAPPING!$AH$244</definedName>
    <definedName name="SD_4270x1_4371x1_4558x54_9005x1_252_B_0" localSheetId="0">MAPPING!$AI$244</definedName>
    <definedName name="SD_4270x1_4371x1_4558x54_9005x1_253_B_0" localSheetId="0">MAPPING!$AJ$244</definedName>
    <definedName name="SD_4270x1_4371x1_4558x54_9005x1_254_B_0" localSheetId="0">MAPPING!$AB$244</definedName>
    <definedName name="SD_4270x1_4371x1_4558x54_9005x1_255_B_0" localSheetId="0">MAPPING!$AC$244</definedName>
    <definedName name="SD_4270x1_4371x1_4558x55_10_B_0" localSheetId="0">MAPPING!$X$245</definedName>
    <definedName name="SD_4270x1_4371x1_4558x55_11_B_0" localSheetId="0">MAPPING!$AA$245</definedName>
    <definedName name="SD_4270x1_4371x1_4558x55_12_B_0" localSheetId="0">MAPPING!$AG$245</definedName>
    <definedName name="SD_4270x1_4371x1_4558x55_25_B_0" localSheetId="0">MAPPING!$Y$245</definedName>
    <definedName name="SD_4270x1_4371x1_4558x55_38_B_0" localSheetId="0">MAPPING!$AD$245</definedName>
    <definedName name="SD_4270x1_4371x1_4558x55_43_B_0" localSheetId="0">MAPPING!$AK$245</definedName>
    <definedName name="SD_4270x1_4371x1_4558x55_6_B_1" localSheetId="0">MAPPING!$W$245</definedName>
    <definedName name="SD_4270x1_4371x1_4558x55_7_B_0" localSheetId="0">MAPPING!$U$245</definedName>
    <definedName name="SD_4270x1_4371x1_4558x55_9_B_0" localSheetId="0">MAPPING!$V$245</definedName>
    <definedName name="SD_4270x1_4371x1_4558x55_9005x1_100_B_0" localSheetId="0">MAPPING!$AE$245</definedName>
    <definedName name="SD_4270x1_4371x1_4558x55_9005x1_250_B_1" localSheetId="0">MAPPING!$AF$245</definedName>
    <definedName name="SD_4270x1_4371x1_4558x55_9005x1_251_B_0" localSheetId="0">MAPPING!$AH$245</definedName>
    <definedName name="SD_4270x1_4371x1_4558x55_9005x1_252_B_0" localSheetId="0">MAPPING!$AI$245</definedName>
    <definedName name="SD_4270x1_4371x1_4558x55_9005x1_253_B_0" localSheetId="0">MAPPING!$AJ$245</definedName>
    <definedName name="SD_4270x1_4371x1_4558x55_9005x1_254_B_0" localSheetId="0">MAPPING!$AB$245</definedName>
    <definedName name="SD_4270x1_4371x1_4558x55_9005x1_255_B_0" localSheetId="0">MAPPING!$AC$245</definedName>
    <definedName name="SD_4270x1_4371x1_4558x56_10_B_0" localSheetId="0">MAPPING!$X$246</definedName>
    <definedName name="SD_4270x1_4371x1_4558x56_11_B_0" localSheetId="0">MAPPING!$AA$246</definedName>
    <definedName name="SD_4270x1_4371x1_4558x56_12_B_0" localSheetId="0">MAPPING!$AG$246</definedName>
    <definedName name="SD_4270x1_4371x1_4558x56_25_B_0" localSheetId="0">MAPPING!$Y$246</definedName>
    <definedName name="SD_4270x1_4371x1_4558x56_38_B_0" localSheetId="0">MAPPING!$AD$246</definedName>
    <definedName name="SD_4270x1_4371x1_4558x56_43_B_0" localSheetId="0">MAPPING!$AK$246</definedName>
    <definedName name="SD_4270x1_4371x1_4558x56_6_B_1" localSheetId="0">MAPPING!$W$246</definedName>
    <definedName name="SD_4270x1_4371x1_4558x56_7_B_0" localSheetId="0">MAPPING!$U$246</definedName>
    <definedName name="SD_4270x1_4371x1_4558x56_9_B_0" localSheetId="0">MAPPING!$V$246</definedName>
    <definedName name="SD_4270x1_4371x1_4558x56_9005x1_100_B_0" localSheetId="0">MAPPING!$AE$246</definedName>
    <definedName name="SD_4270x1_4371x1_4558x56_9005x1_250_B_1" localSheetId="0">MAPPING!$AF$246</definedName>
    <definedName name="SD_4270x1_4371x1_4558x56_9005x1_251_B_0" localSheetId="0">MAPPING!$AH$246</definedName>
    <definedName name="SD_4270x1_4371x1_4558x56_9005x1_252_B_0" localSheetId="0">MAPPING!$AI$246</definedName>
    <definedName name="SD_4270x1_4371x1_4558x56_9005x1_253_B_0" localSheetId="0">MAPPING!$AJ$246</definedName>
    <definedName name="SD_4270x1_4371x1_4558x56_9005x1_254_B_0" localSheetId="0">MAPPING!$AB$246</definedName>
    <definedName name="SD_4270x1_4371x1_4558x56_9005x1_255_B_0" localSheetId="0">MAPPING!$AC$246</definedName>
    <definedName name="SD_4270x1_4371x1_4558x57_10_B_0" localSheetId="0">MAPPING!$X$247</definedName>
    <definedName name="SD_4270x1_4371x1_4558x57_11_B_0" localSheetId="0">MAPPING!$AA$247</definedName>
    <definedName name="SD_4270x1_4371x1_4558x57_12_B_0" localSheetId="0">MAPPING!$AG$247</definedName>
    <definedName name="SD_4270x1_4371x1_4558x57_25_B_0" localSheetId="0">MAPPING!$Y$247</definedName>
    <definedName name="SD_4270x1_4371x1_4558x57_38_B_0" localSheetId="0">MAPPING!$AD$247</definedName>
    <definedName name="SD_4270x1_4371x1_4558x57_43_B_0" localSheetId="0">MAPPING!$AK$247</definedName>
    <definedName name="SD_4270x1_4371x1_4558x57_6_B_1" localSheetId="0">MAPPING!$W$247</definedName>
    <definedName name="SD_4270x1_4371x1_4558x57_7_B_0" localSheetId="0">MAPPING!$U$247</definedName>
    <definedName name="SD_4270x1_4371x1_4558x57_9_B_0" localSheetId="0">MAPPING!$V$247</definedName>
    <definedName name="SD_4270x1_4371x1_4558x57_9005x1_100_B_0" localSheetId="0">MAPPING!$AE$247</definedName>
    <definedName name="SD_4270x1_4371x1_4558x57_9005x1_250_B_1" localSheetId="0">MAPPING!$AF$247</definedName>
    <definedName name="SD_4270x1_4371x1_4558x57_9005x1_251_B_0" localSheetId="0">MAPPING!$AH$247</definedName>
    <definedName name="SD_4270x1_4371x1_4558x57_9005x1_252_B_0" localSheetId="0">MAPPING!$AI$247</definedName>
    <definedName name="SD_4270x1_4371x1_4558x57_9005x1_253_B_0" localSheetId="0">MAPPING!$AJ$247</definedName>
    <definedName name="SD_4270x1_4371x1_4558x57_9005x1_254_B_0" localSheetId="0">MAPPING!$AB$247</definedName>
    <definedName name="SD_4270x1_4371x1_4558x57_9005x1_255_B_0" localSheetId="0">MAPPING!$AC$247</definedName>
    <definedName name="SD_4270x1_4371x1_4558x58_10_B_0" localSheetId="0">MAPPING!$X$248</definedName>
    <definedName name="SD_4270x1_4371x1_4558x58_11_B_0" localSheetId="0">MAPPING!$AA$248</definedName>
    <definedName name="SD_4270x1_4371x1_4558x58_12_B_0" localSheetId="0">MAPPING!$AG$248</definedName>
    <definedName name="SD_4270x1_4371x1_4558x58_25_B_0" localSheetId="0">MAPPING!$Y$248</definedName>
    <definedName name="SD_4270x1_4371x1_4558x58_38_B_0" localSheetId="0">MAPPING!$AD$248</definedName>
    <definedName name="SD_4270x1_4371x1_4558x58_43_B_0" localSheetId="0">MAPPING!$AK$248</definedName>
    <definedName name="SD_4270x1_4371x1_4558x58_6_B_1" localSheetId="0">MAPPING!$W$248</definedName>
    <definedName name="SD_4270x1_4371x1_4558x58_7_B_0" localSheetId="0">MAPPING!$U$248</definedName>
    <definedName name="SD_4270x1_4371x1_4558x58_9_B_0" localSheetId="0">MAPPING!$V$248</definedName>
    <definedName name="SD_4270x1_4371x1_4558x58_9005x1_100_B_0" localSheetId="0">MAPPING!$AE$248</definedName>
    <definedName name="SD_4270x1_4371x1_4558x58_9005x1_250_B_1" localSheetId="0">MAPPING!$AF$248</definedName>
    <definedName name="SD_4270x1_4371x1_4558x58_9005x1_251_B_0" localSheetId="0">MAPPING!$AH$248</definedName>
    <definedName name="SD_4270x1_4371x1_4558x58_9005x1_252_B_0" localSheetId="0">MAPPING!$AI$248</definedName>
    <definedName name="SD_4270x1_4371x1_4558x58_9005x1_253_B_0" localSheetId="0">MAPPING!$AJ$248</definedName>
    <definedName name="SD_4270x1_4371x1_4558x58_9005x1_254_B_0" localSheetId="0">MAPPING!$AB$248</definedName>
    <definedName name="SD_4270x1_4371x1_4558x58_9005x1_255_B_0" localSheetId="0">MAPPING!$AC$248</definedName>
    <definedName name="SD_4270x1_4371x1_4558x59_10_B_0" localSheetId="0">MAPPING!$X$249</definedName>
    <definedName name="SD_4270x1_4371x1_4558x59_11_B_0" localSheetId="0">MAPPING!$AA$249</definedName>
    <definedName name="SD_4270x1_4371x1_4558x59_12_B_0" localSheetId="0">MAPPING!$AG$249</definedName>
    <definedName name="SD_4270x1_4371x1_4558x59_25_B_0" localSheetId="0">MAPPING!$Y$249</definedName>
    <definedName name="SD_4270x1_4371x1_4558x59_38_B_0" localSheetId="0">MAPPING!$AD$249</definedName>
    <definedName name="SD_4270x1_4371x1_4558x59_43_B_0" localSheetId="0">MAPPING!$AK$249</definedName>
    <definedName name="SD_4270x1_4371x1_4558x59_6_B_1" localSheetId="0">MAPPING!$W$249</definedName>
    <definedName name="SD_4270x1_4371x1_4558x59_7_B_0" localSheetId="0">MAPPING!$U$249</definedName>
    <definedName name="SD_4270x1_4371x1_4558x59_9_B_0" localSheetId="0">MAPPING!$V$249</definedName>
    <definedName name="SD_4270x1_4371x1_4558x59_9005x1_100_B_0" localSheetId="0">MAPPING!$AE$249</definedName>
    <definedName name="SD_4270x1_4371x1_4558x59_9005x1_250_B_1" localSheetId="0">MAPPING!$AF$249</definedName>
    <definedName name="SD_4270x1_4371x1_4558x59_9005x1_251_B_0" localSheetId="0">MAPPING!$AH$249</definedName>
    <definedName name="SD_4270x1_4371x1_4558x59_9005x1_252_B_0" localSheetId="0">MAPPING!$AI$249</definedName>
    <definedName name="SD_4270x1_4371x1_4558x59_9005x1_253_B_0" localSheetId="0">MAPPING!$AJ$249</definedName>
    <definedName name="SD_4270x1_4371x1_4558x59_9005x1_254_B_0" localSheetId="0">MAPPING!$AB$249</definedName>
    <definedName name="SD_4270x1_4371x1_4558x59_9005x1_255_B_0" localSheetId="0">MAPPING!$AC$249</definedName>
    <definedName name="SD_4270x1_4371x1_4558x6_10_B_0" localSheetId="0">MAPPING!$X$196</definedName>
    <definedName name="SD_4270x1_4371x1_4558x6_11_B_0" localSheetId="0">MAPPING!$AA$196</definedName>
    <definedName name="SD_4270x1_4371x1_4558x6_12_B_0" localSheetId="0">MAPPING!$AG$196</definedName>
    <definedName name="SD_4270x1_4371x1_4558x6_25_B_0" localSheetId="0">MAPPING!$Y$196</definedName>
    <definedName name="SD_4270x1_4371x1_4558x6_38_B_0" localSheetId="0">MAPPING!$AD$196</definedName>
    <definedName name="SD_4270x1_4371x1_4558x6_43_B_0" localSheetId="0">MAPPING!$AK$196</definedName>
    <definedName name="SD_4270x1_4371x1_4558x6_6_B_1" localSheetId="0">MAPPING!$W$196</definedName>
    <definedName name="SD_4270x1_4371x1_4558x6_7_B_0" localSheetId="0">MAPPING!$U$196</definedName>
    <definedName name="SD_4270x1_4371x1_4558x6_9_B_0" localSheetId="0">MAPPING!$V$196</definedName>
    <definedName name="SD_4270x1_4371x1_4558x6_9005x1_100_B_0" localSheetId="0">MAPPING!$AE$196</definedName>
    <definedName name="SD_4270x1_4371x1_4558x6_9005x1_250_B_1" localSheetId="0">MAPPING!$AF$196</definedName>
    <definedName name="SD_4270x1_4371x1_4558x6_9005x1_251_B_0" localSheetId="0">MAPPING!$AH$196</definedName>
    <definedName name="SD_4270x1_4371x1_4558x6_9005x1_252_B_0" localSheetId="0">MAPPING!$AI$196</definedName>
    <definedName name="SD_4270x1_4371x1_4558x6_9005x1_253_B_0" localSheetId="0">MAPPING!$AJ$196</definedName>
    <definedName name="SD_4270x1_4371x1_4558x6_9005x1_254_B_0" localSheetId="0">MAPPING!$AB$196</definedName>
    <definedName name="SD_4270x1_4371x1_4558x6_9005x1_255_B_0" localSheetId="0">MAPPING!$AC$196</definedName>
    <definedName name="SD_4270x1_4371x1_4558x60_10_B_0" localSheetId="0">MAPPING!$X$250</definedName>
    <definedName name="SD_4270x1_4371x1_4558x60_11_B_0" localSheetId="0">MAPPING!$AA$250</definedName>
    <definedName name="SD_4270x1_4371x1_4558x60_12_B_0" localSheetId="0">MAPPING!$AG$250</definedName>
    <definedName name="SD_4270x1_4371x1_4558x60_25_B_0" localSheetId="0">MAPPING!$Y$250</definedName>
    <definedName name="SD_4270x1_4371x1_4558x60_38_B_0" localSheetId="0">MAPPING!$AD$250</definedName>
    <definedName name="SD_4270x1_4371x1_4558x60_43_B_0" localSheetId="0">MAPPING!$AK$250</definedName>
    <definedName name="SD_4270x1_4371x1_4558x60_6_B_1" localSheetId="0">MAPPING!$W$250</definedName>
    <definedName name="SD_4270x1_4371x1_4558x60_7_B_0" localSheetId="0">MAPPING!$U$250</definedName>
    <definedName name="SD_4270x1_4371x1_4558x60_9_B_0" localSheetId="0">MAPPING!$V$250</definedName>
    <definedName name="SD_4270x1_4371x1_4558x60_9005x1_100_B_0" localSheetId="0">MAPPING!$AE$250</definedName>
    <definedName name="SD_4270x1_4371x1_4558x60_9005x1_250_B_1" localSheetId="0">MAPPING!$AF$250</definedName>
    <definedName name="SD_4270x1_4371x1_4558x60_9005x1_251_B_0" localSheetId="0">MAPPING!$AH$250</definedName>
    <definedName name="SD_4270x1_4371x1_4558x60_9005x1_252_B_0" localSheetId="0">MAPPING!$AI$250</definedName>
    <definedName name="SD_4270x1_4371x1_4558x60_9005x1_253_B_0" localSheetId="0">MAPPING!$AJ$250</definedName>
    <definedName name="SD_4270x1_4371x1_4558x60_9005x1_254_B_0" localSheetId="0">MAPPING!$AB$250</definedName>
    <definedName name="SD_4270x1_4371x1_4558x60_9005x1_255_B_0" localSheetId="0">MAPPING!$AC$250</definedName>
    <definedName name="SD_4270x1_4371x1_4558x61_10_B_0" localSheetId="0">MAPPING!$X$251</definedName>
    <definedName name="SD_4270x1_4371x1_4558x61_11_B_0" localSheetId="0">MAPPING!$AA$251</definedName>
    <definedName name="SD_4270x1_4371x1_4558x61_12_B_0" localSheetId="0">MAPPING!$AG$251</definedName>
    <definedName name="SD_4270x1_4371x1_4558x61_25_B_0" localSheetId="0">MAPPING!$Y$251</definedName>
    <definedName name="SD_4270x1_4371x1_4558x61_38_B_0" localSheetId="0">MAPPING!$AD$251</definedName>
    <definedName name="SD_4270x1_4371x1_4558x61_43_B_0" localSheetId="0">MAPPING!$AK$251</definedName>
    <definedName name="SD_4270x1_4371x1_4558x61_6_B_1" localSheetId="0">MAPPING!$W$251</definedName>
    <definedName name="SD_4270x1_4371x1_4558x61_7_B_0" localSheetId="0">MAPPING!$U$251</definedName>
    <definedName name="SD_4270x1_4371x1_4558x61_9_B_0" localSheetId="0">MAPPING!$V$251</definedName>
    <definedName name="SD_4270x1_4371x1_4558x61_9005x1_100_B_0" localSheetId="0">MAPPING!$AE$251</definedName>
    <definedName name="SD_4270x1_4371x1_4558x61_9005x1_250_B_1" localSheetId="0">MAPPING!$AF$251</definedName>
    <definedName name="SD_4270x1_4371x1_4558x61_9005x1_251_B_0" localSheetId="0">MAPPING!$AH$251</definedName>
    <definedName name="SD_4270x1_4371x1_4558x61_9005x1_252_B_0" localSheetId="0">MAPPING!$AI$251</definedName>
    <definedName name="SD_4270x1_4371x1_4558x61_9005x1_253_B_0" localSheetId="0">MAPPING!$AJ$251</definedName>
    <definedName name="SD_4270x1_4371x1_4558x61_9005x1_254_B_0" localSheetId="0">MAPPING!$AB$251</definedName>
    <definedName name="SD_4270x1_4371x1_4558x61_9005x1_255_B_0" localSheetId="0">MAPPING!$AC$251</definedName>
    <definedName name="SD_4270x1_4371x1_4558x62_10_B_0" localSheetId="0">MAPPING!$X$252</definedName>
    <definedName name="SD_4270x1_4371x1_4558x62_11_B_0" localSheetId="0">MAPPING!$AA$252</definedName>
    <definedName name="SD_4270x1_4371x1_4558x62_12_B_0" localSheetId="0">MAPPING!$AG$252</definedName>
    <definedName name="SD_4270x1_4371x1_4558x62_25_B_0" localSheetId="0">MAPPING!$Y$252</definedName>
    <definedName name="SD_4270x1_4371x1_4558x62_38_B_0" localSheetId="0">MAPPING!$AD$252</definedName>
    <definedName name="SD_4270x1_4371x1_4558x62_43_B_0" localSheetId="0">MAPPING!$AK$252</definedName>
    <definedName name="SD_4270x1_4371x1_4558x62_6_B_1" localSheetId="0">MAPPING!$W$252</definedName>
    <definedName name="SD_4270x1_4371x1_4558x62_7_B_0" localSheetId="0">MAPPING!$U$252</definedName>
    <definedName name="SD_4270x1_4371x1_4558x62_9_B_0" localSheetId="0">MAPPING!$V$252</definedName>
    <definedName name="SD_4270x1_4371x1_4558x62_9005x1_100_B_0" localSheetId="0">MAPPING!$AE$252</definedName>
    <definedName name="SD_4270x1_4371x1_4558x62_9005x1_250_B_1" localSheetId="0">MAPPING!$AF$252</definedName>
    <definedName name="SD_4270x1_4371x1_4558x62_9005x1_251_B_0" localSheetId="0">MAPPING!$AH$252</definedName>
    <definedName name="SD_4270x1_4371x1_4558x62_9005x1_252_B_0" localSheetId="0">MAPPING!$AI$252</definedName>
    <definedName name="SD_4270x1_4371x1_4558x62_9005x1_253_B_0" localSheetId="0">MAPPING!$AJ$252</definedName>
    <definedName name="SD_4270x1_4371x1_4558x62_9005x1_254_B_0" localSheetId="0">MAPPING!$AB$252</definedName>
    <definedName name="SD_4270x1_4371x1_4558x62_9005x1_255_B_0" localSheetId="0">MAPPING!$AC$252</definedName>
    <definedName name="SD_4270x1_4371x1_4558x63_10_B_0" localSheetId="0">MAPPING!$X$253</definedName>
    <definedName name="SD_4270x1_4371x1_4558x63_11_B_0" localSheetId="0">MAPPING!$AA$253</definedName>
    <definedName name="SD_4270x1_4371x1_4558x63_12_B_0" localSheetId="0">MAPPING!$AG$253</definedName>
    <definedName name="SD_4270x1_4371x1_4558x63_25_B_0" localSheetId="0">MAPPING!$Y$253</definedName>
    <definedName name="SD_4270x1_4371x1_4558x63_38_B_0" localSheetId="0">MAPPING!$AD$253</definedName>
    <definedName name="SD_4270x1_4371x1_4558x63_43_B_0" localSheetId="0">MAPPING!$AK$253</definedName>
    <definedName name="SD_4270x1_4371x1_4558x63_6_B_1" localSheetId="0">MAPPING!$W$253</definedName>
    <definedName name="SD_4270x1_4371x1_4558x63_7_B_0" localSheetId="0">MAPPING!$U$253</definedName>
    <definedName name="SD_4270x1_4371x1_4558x63_9_B_0" localSheetId="0">MAPPING!$V$253</definedName>
    <definedName name="SD_4270x1_4371x1_4558x63_9005x1_100_B_0" localSheetId="0">MAPPING!$AE$253</definedName>
    <definedName name="SD_4270x1_4371x1_4558x63_9005x1_250_B_1" localSheetId="0">MAPPING!$AF$253</definedName>
    <definedName name="SD_4270x1_4371x1_4558x63_9005x1_251_B_0" localSheetId="0">MAPPING!$AH$253</definedName>
    <definedName name="SD_4270x1_4371x1_4558x63_9005x1_252_B_0" localSheetId="0">MAPPING!$AI$253</definedName>
    <definedName name="SD_4270x1_4371x1_4558x63_9005x1_253_B_0" localSheetId="0">MAPPING!$AJ$253</definedName>
    <definedName name="SD_4270x1_4371x1_4558x63_9005x1_254_B_0" localSheetId="0">MAPPING!$AB$253</definedName>
    <definedName name="SD_4270x1_4371x1_4558x63_9005x1_255_B_0" localSheetId="0">MAPPING!$AC$253</definedName>
    <definedName name="SD_4270x1_4371x1_4558x64_10_B_0" localSheetId="0">MAPPING!$X$254</definedName>
    <definedName name="SD_4270x1_4371x1_4558x64_11_B_0" localSheetId="0">MAPPING!$AA$254</definedName>
    <definedName name="SD_4270x1_4371x1_4558x64_12_B_0" localSheetId="0">MAPPING!$AG$254</definedName>
    <definedName name="SD_4270x1_4371x1_4558x64_25_B_0" localSheetId="0">MAPPING!$Y$254</definedName>
    <definedName name="SD_4270x1_4371x1_4558x64_38_B_0" localSheetId="0">MAPPING!$AD$254</definedName>
    <definedName name="SD_4270x1_4371x1_4558x64_43_B_0" localSheetId="0">MAPPING!$AK$254</definedName>
    <definedName name="SD_4270x1_4371x1_4558x64_6_B_1" localSheetId="0">MAPPING!$W$254</definedName>
    <definedName name="SD_4270x1_4371x1_4558x64_7_B_0" localSheetId="0">MAPPING!$U$254</definedName>
    <definedName name="SD_4270x1_4371x1_4558x64_9_B_0" localSheetId="0">MAPPING!$V$254</definedName>
    <definedName name="SD_4270x1_4371x1_4558x64_9005x1_100_B_0" localSheetId="0">MAPPING!$AE$254</definedName>
    <definedName name="SD_4270x1_4371x1_4558x64_9005x1_250_B_1" localSheetId="0">MAPPING!$AF$254</definedName>
    <definedName name="SD_4270x1_4371x1_4558x64_9005x1_251_B_0" localSheetId="0">MAPPING!$AH$254</definedName>
    <definedName name="SD_4270x1_4371x1_4558x64_9005x1_252_B_0" localSheetId="0">MAPPING!$AI$254</definedName>
    <definedName name="SD_4270x1_4371x1_4558x64_9005x1_253_B_0" localSheetId="0">MAPPING!$AJ$254</definedName>
    <definedName name="SD_4270x1_4371x1_4558x64_9005x1_254_B_0" localSheetId="0">MAPPING!$AB$254</definedName>
    <definedName name="SD_4270x1_4371x1_4558x64_9005x1_255_B_0" localSheetId="0">MAPPING!$AC$254</definedName>
    <definedName name="SD_4270x1_4371x1_4558x65_10_B_0" localSheetId="0">MAPPING!$X$255</definedName>
    <definedName name="SD_4270x1_4371x1_4558x65_11_B_0" localSheetId="0">MAPPING!$AA$255</definedName>
    <definedName name="SD_4270x1_4371x1_4558x65_12_B_0" localSheetId="0">MAPPING!$AG$255</definedName>
    <definedName name="SD_4270x1_4371x1_4558x65_25_B_0" localSheetId="0">MAPPING!$Y$255</definedName>
    <definedName name="SD_4270x1_4371x1_4558x65_38_B_0" localSheetId="0">MAPPING!$AD$255</definedName>
    <definedName name="SD_4270x1_4371x1_4558x65_43_B_0" localSheetId="0">MAPPING!$AK$255</definedName>
    <definedName name="SD_4270x1_4371x1_4558x65_6_B_1" localSheetId="0">MAPPING!$W$255</definedName>
    <definedName name="SD_4270x1_4371x1_4558x65_7_B_0" localSheetId="0">MAPPING!$U$255</definedName>
    <definedName name="SD_4270x1_4371x1_4558x65_9_B_0" localSheetId="0">MAPPING!$V$255</definedName>
    <definedName name="SD_4270x1_4371x1_4558x65_9005x1_100_B_0" localSheetId="0">MAPPING!$AE$255</definedName>
    <definedName name="SD_4270x1_4371x1_4558x65_9005x1_250_B_1" localSheetId="0">MAPPING!$AF$255</definedName>
    <definedName name="SD_4270x1_4371x1_4558x65_9005x1_251_B_0" localSheetId="0">MAPPING!$AH$255</definedName>
    <definedName name="SD_4270x1_4371x1_4558x65_9005x1_252_B_0" localSheetId="0">MAPPING!$AI$255</definedName>
    <definedName name="SD_4270x1_4371x1_4558x65_9005x1_253_B_0" localSheetId="0">MAPPING!$AJ$255</definedName>
    <definedName name="SD_4270x1_4371x1_4558x65_9005x1_254_B_0" localSheetId="0">MAPPING!$AB$255</definedName>
    <definedName name="SD_4270x1_4371x1_4558x65_9005x1_255_B_0" localSheetId="0">MAPPING!$AC$255</definedName>
    <definedName name="SD_4270x1_4371x1_4558x66_10_B_0" localSheetId="0">MAPPING!$X$256</definedName>
    <definedName name="SD_4270x1_4371x1_4558x66_11_B_0" localSheetId="0">MAPPING!$AA$256</definedName>
    <definedName name="SD_4270x1_4371x1_4558x66_12_B_0" localSheetId="0">MAPPING!$AG$256</definedName>
    <definedName name="SD_4270x1_4371x1_4558x66_25_B_0" localSheetId="0">MAPPING!$Y$256</definedName>
    <definedName name="SD_4270x1_4371x1_4558x66_38_B_0" localSheetId="0">MAPPING!$AD$256</definedName>
    <definedName name="SD_4270x1_4371x1_4558x66_43_B_0" localSheetId="0">MAPPING!$AK$256</definedName>
    <definedName name="SD_4270x1_4371x1_4558x66_6_B_1" localSheetId="0">MAPPING!$W$256</definedName>
    <definedName name="SD_4270x1_4371x1_4558x66_7_B_0" localSheetId="0">MAPPING!$U$256</definedName>
    <definedName name="SD_4270x1_4371x1_4558x66_9_B_0" localSheetId="0">MAPPING!$V$256</definedName>
    <definedName name="SD_4270x1_4371x1_4558x66_9005x1_100_B_0" localSheetId="0">MAPPING!$AE$256</definedName>
    <definedName name="SD_4270x1_4371x1_4558x66_9005x1_250_B_1" localSheetId="0">MAPPING!$AF$256</definedName>
    <definedName name="SD_4270x1_4371x1_4558x66_9005x1_251_B_0" localSheetId="0">MAPPING!$AH$256</definedName>
    <definedName name="SD_4270x1_4371x1_4558x66_9005x1_252_B_0" localSheetId="0">MAPPING!$AI$256</definedName>
    <definedName name="SD_4270x1_4371x1_4558x66_9005x1_253_B_0" localSheetId="0">MAPPING!$AJ$256</definedName>
    <definedName name="SD_4270x1_4371x1_4558x66_9005x1_254_B_0" localSheetId="0">MAPPING!$AB$256</definedName>
    <definedName name="SD_4270x1_4371x1_4558x66_9005x1_255_B_0" localSheetId="0">MAPPING!$AC$256</definedName>
    <definedName name="SD_4270x1_4371x1_4558x67_10_B_0" localSheetId="0">MAPPING!$X$257</definedName>
    <definedName name="SD_4270x1_4371x1_4558x67_11_B_0" localSheetId="0">MAPPING!$AA$257</definedName>
    <definedName name="SD_4270x1_4371x1_4558x67_12_B_0" localSheetId="0">MAPPING!$AG$257</definedName>
    <definedName name="SD_4270x1_4371x1_4558x67_25_B_0" localSheetId="0">MAPPING!$Y$257</definedName>
    <definedName name="SD_4270x1_4371x1_4558x67_38_B_0" localSheetId="0">MAPPING!$AD$257</definedName>
    <definedName name="SD_4270x1_4371x1_4558x67_43_B_0" localSheetId="0">MAPPING!$AK$257</definedName>
    <definedName name="SD_4270x1_4371x1_4558x67_6_B_1" localSheetId="0">MAPPING!$W$257</definedName>
    <definedName name="SD_4270x1_4371x1_4558x67_7_B_0" localSheetId="0">MAPPING!$U$257</definedName>
    <definedName name="SD_4270x1_4371x1_4558x67_9_B_0" localSheetId="0">MAPPING!$V$257</definedName>
    <definedName name="SD_4270x1_4371x1_4558x67_9005x1_100_B_0" localSheetId="0">MAPPING!$AE$257</definedName>
    <definedName name="SD_4270x1_4371x1_4558x67_9005x1_250_B_1" localSheetId="0">MAPPING!$AF$257</definedName>
    <definedName name="SD_4270x1_4371x1_4558x67_9005x1_251_B_0" localSheetId="0">MAPPING!$AH$257</definedName>
    <definedName name="SD_4270x1_4371x1_4558x67_9005x1_252_B_0" localSheetId="0">MAPPING!$AI$257</definedName>
    <definedName name="SD_4270x1_4371x1_4558x67_9005x1_253_B_0" localSheetId="0">MAPPING!$AJ$257</definedName>
    <definedName name="SD_4270x1_4371x1_4558x67_9005x1_254_B_0" localSheetId="0">MAPPING!$AB$257</definedName>
    <definedName name="SD_4270x1_4371x1_4558x67_9005x1_255_B_0" localSheetId="0">MAPPING!$AC$257</definedName>
    <definedName name="SD_4270x1_4371x1_4558x68_10_B_0" localSheetId="0">MAPPING!$X$258</definedName>
    <definedName name="SD_4270x1_4371x1_4558x68_11_B_0" localSheetId="0">MAPPING!$AA$258</definedName>
    <definedName name="SD_4270x1_4371x1_4558x68_12_B_0" localSheetId="0">MAPPING!$AG$258</definedName>
    <definedName name="SD_4270x1_4371x1_4558x68_25_B_0" localSheetId="0">MAPPING!$Y$258</definedName>
    <definedName name="SD_4270x1_4371x1_4558x68_38_B_0" localSheetId="0">MAPPING!$AD$258</definedName>
    <definedName name="SD_4270x1_4371x1_4558x68_43_B_0" localSheetId="0">MAPPING!$AK$258</definedName>
    <definedName name="SD_4270x1_4371x1_4558x68_6_B_1" localSheetId="0">MAPPING!$W$258</definedName>
    <definedName name="SD_4270x1_4371x1_4558x68_7_B_0" localSheetId="0">MAPPING!$U$258</definedName>
    <definedName name="SD_4270x1_4371x1_4558x68_9_B_0" localSheetId="0">MAPPING!$V$258</definedName>
    <definedName name="SD_4270x1_4371x1_4558x68_9005x1_100_B_0" localSheetId="0">MAPPING!$AE$258</definedName>
    <definedName name="SD_4270x1_4371x1_4558x68_9005x1_250_B_1" localSheetId="0">MAPPING!$AF$258</definedName>
    <definedName name="SD_4270x1_4371x1_4558x68_9005x1_251_B_0" localSheetId="0">MAPPING!$AH$258</definedName>
    <definedName name="SD_4270x1_4371x1_4558x68_9005x1_252_B_0" localSheetId="0">MAPPING!$AI$258</definedName>
    <definedName name="SD_4270x1_4371x1_4558x68_9005x1_253_B_0" localSheetId="0">MAPPING!$AJ$258</definedName>
    <definedName name="SD_4270x1_4371x1_4558x68_9005x1_254_B_0" localSheetId="0">MAPPING!$AB$258</definedName>
    <definedName name="SD_4270x1_4371x1_4558x68_9005x1_255_B_0" localSheetId="0">MAPPING!$AC$258</definedName>
    <definedName name="SD_4270x1_4371x1_4558x69_10_B_0" localSheetId="0">MAPPING!$X$259</definedName>
    <definedName name="SD_4270x1_4371x1_4558x69_11_B_0" localSheetId="0">MAPPING!$AA$259</definedName>
    <definedName name="SD_4270x1_4371x1_4558x69_12_B_0" localSheetId="0">MAPPING!$AG$259</definedName>
    <definedName name="SD_4270x1_4371x1_4558x69_25_B_0" localSheetId="0">MAPPING!$Y$259</definedName>
    <definedName name="SD_4270x1_4371x1_4558x69_38_B_0" localSheetId="0">MAPPING!$AD$259</definedName>
    <definedName name="SD_4270x1_4371x1_4558x69_43_B_0" localSheetId="0">MAPPING!$AK$259</definedName>
    <definedName name="SD_4270x1_4371x1_4558x69_6_B_1" localSheetId="0">MAPPING!$W$259</definedName>
    <definedName name="SD_4270x1_4371x1_4558x69_7_B_0" localSheetId="0">MAPPING!$U$259</definedName>
    <definedName name="SD_4270x1_4371x1_4558x69_9_B_0" localSheetId="0">MAPPING!$V$259</definedName>
    <definedName name="SD_4270x1_4371x1_4558x69_9005x1_100_B_0" localSheetId="0">MAPPING!$AE$259</definedName>
    <definedName name="SD_4270x1_4371x1_4558x69_9005x1_250_B_1" localSheetId="0">MAPPING!$AF$259</definedName>
    <definedName name="SD_4270x1_4371x1_4558x69_9005x1_251_B_0" localSheetId="0">MAPPING!$AH$259</definedName>
    <definedName name="SD_4270x1_4371x1_4558x69_9005x1_252_B_0" localSheetId="0">MAPPING!$AI$259</definedName>
    <definedName name="SD_4270x1_4371x1_4558x69_9005x1_253_B_0" localSheetId="0">MAPPING!$AJ$259</definedName>
    <definedName name="SD_4270x1_4371x1_4558x69_9005x1_254_B_0" localSheetId="0">MAPPING!$AB$259</definedName>
    <definedName name="SD_4270x1_4371x1_4558x69_9005x1_255_B_0" localSheetId="0">MAPPING!$AC$259</definedName>
    <definedName name="SD_4270x1_4371x1_4558x7_10_B_0" localSheetId="0">MAPPING!$X$197</definedName>
    <definedName name="SD_4270x1_4371x1_4558x7_11_B_0" localSheetId="0">MAPPING!$AA$197</definedName>
    <definedName name="SD_4270x1_4371x1_4558x7_12_B_0" localSheetId="0">MAPPING!$AG$197</definedName>
    <definedName name="SD_4270x1_4371x1_4558x7_25_B_0" localSheetId="0">MAPPING!$Y$197</definedName>
    <definedName name="SD_4270x1_4371x1_4558x7_38_B_0" localSheetId="0">MAPPING!$AD$197</definedName>
    <definedName name="SD_4270x1_4371x1_4558x7_43_B_0" localSheetId="0">MAPPING!$AK$197</definedName>
    <definedName name="SD_4270x1_4371x1_4558x7_6_B_1" localSheetId="0">MAPPING!$W$197</definedName>
    <definedName name="SD_4270x1_4371x1_4558x7_7_B_0" localSheetId="0">MAPPING!$U$197</definedName>
    <definedName name="SD_4270x1_4371x1_4558x7_9_B_0" localSheetId="0">MAPPING!$V$197</definedName>
    <definedName name="SD_4270x1_4371x1_4558x7_9005x1_100_B_0" localSheetId="0">MAPPING!$AE$197</definedName>
    <definedName name="SD_4270x1_4371x1_4558x7_9005x1_250_B_1" localSheetId="0">MAPPING!$AF$197</definedName>
    <definedName name="SD_4270x1_4371x1_4558x7_9005x1_251_B_0" localSheetId="0">MAPPING!$AH$197</definedName>
    <definedName name="SD_4270x1_4371x1_4558x7_9005x1_252_B_0" localSheetId="0">MAPPING!$AI$197</definedName>
    <definedName name="SD_4270x1_4371x1_4558x7_9005x1_253_B_0" localSheetId="0">MAPPING!$AJ$197</definedName>
    <definedName name="SD_4270x1_4371x1_4558x7_9005x1_254_B_0" localSheetId="0">MAPPING!$AB$197</definedName>
    <definedName name="SD_4270x1_4371x1_4558x7_9005x1_255_B_0" localSheetId="0">MAPPING!$AC$197</definedName>
    <definedName name="SD_4270x1_4371x1_4558x70_10_B_0" localSheetId="0">MAPPING!$X$260</definedName>
    <definedName name="SD_4270x1_4371x1_4558x70_11_B_0" localSheetId="0">MAPPING!$AA$260</definedName>
    <definedName name="SD_4270x1_4371x1_4558x70_12_B_0" localSheetId="0">MAPPING!$AG$260</definedName>
    <definedName name="SD_4270x1_4371x1_4558x70_25_B_0" localSheetId="0">MAPPING!$Y$260</definedName>
    <definedName name="SD_4270x1_4371x1_4558x70_38_B_0" localSheetId="0">MAPPING!$AD$260</definedName>
    <definedName name="SD_4270x1_4371x1_4558x70_43_B_0" localSheetId="0">MAPPING!$AK$260</definedName>
    <definedName name="SD_4270x1_4371x1_4558x70_6_B_1" localSheetId="0">MAPPING!$W$260</definedName>
    <definedName name="SD_4270x1_4371x1_4558x70_7_B_0" localSheetId="0">MAPPING!$U$260</definedName>
    <definedName name="SD_4270x1_4371x1_4558x70_9_B_0" localSheetId="0">MAPPING!$V$260</definedName>
    <definedName name="SD_4270x1_4371x1_4558x70_9005x1_100_B_0" localSheetId="0">MAPPING!$AE$260</definedName>
    <definedName name="SD_4270x1_4371x1_4558x70_9005x1_250_B_1" localSheetId="0">MAPPING!$AF$260</definedName>
    <definedName name="SD_4270x1_4371x1_4558x70_9005x1_251_B_0" localSheetId="0">MAPPING!$AH$260</definedName>
    <definedName name="SD_4270x1_4371x1_4558x70_9005x1_252_B_0" localSheetId="0">MAPPING!$AI$260</definedName>
    <definedName name="SD_4270x1_4371x1_4558x70_9005x1_253_B_0" localSheetId="0">MAPPING!$AJ$260</definedName>
    <definedName name="SD_4270x1_4371x1_4558x70_9005x1_254_B_0" localSheetId="0">MAPPING!$AB$260</definedName>
    <definedName name="SD_4270x1_4371x1_4558x70_9005x1_255_B_0" localSheetId="0">MAPPING!$AC$260</definedName>
    <definedName name="SD_4270x1_4371x1_4558x71_10_B_0" localSheetId="0">MAPPING!$X$261</definedName>
    <definedName name="SD_4270x1_4371x1_4558x71_11_B_0" localSheetId="0">MAPPING!$AA$261</definedName>
    <definedName name="SD_4270x1_4371x1_4558x71_12_B_0" localSheetId="0">MAPPING!$AG$261</definedName>
    <definedName name="SD_4270x1_4371x1_4558x71_25_B_0" localSheetId="0">MAPPING!$Y$261</definedName>
    <definedName name="SD_4270x1_4371x1_4558x71_38_B_0" localSheetId="0">MAPPING!$AD$261</definedName>
    <definedName name="SD_4270x1_4371x1_4558x71_43_B_0" localSheetId="0">MAPPING!$AK$261</definedName>
    <definedName name="SD_4270x1_4371x1_4558x71_6_B_1" localSheetId="0">MAPPING!$W$261</definedName>
    <definedName name="SD_4270x1_4371x1_4558x71_7_B_0" localSheetId="0">MAPPING!$U$261</definedName>
    <definedName name="SD_4270x1_4371x1_4558x71_9_B_0" localSheetId="0">MAPPING!$V$261</definedName>
    <definedName name="SD_4270x1_4371x1_4558x71_9005x1_100_B_0" localSheetId="0">MAPPING!$AE$261</definedName>
    <definedName name="SD_4270x1_4371x1_4558x71_9005x1_250_B_1" localSheetId="0">MAPPING!$AF$261</definedName>
    <definedName name="SD_4270x1_4371x1_4558x71_9005x1_251_B_0" localSheetId="0">MAPPING!$AH$261</definedName>
    <definedName name="SD_4270x1_4371x1_4558x71_9005x1_252_B_0" localSheetId="0">MAPPING!$AI$261</definedName>
    <definedName name="SD_4270x1_4371x1_4558x71_9005x1_253_B_0" localSheetId="0">MAPPING!$AJ$261</definedName>
    <definedName name="SD_4270x1_4371x1_4558x71_9005x1_254_B_0" localSheetId="0">MAPPING!$AB$261</definedName>
    <definedName name="SD_4270x1_4371x1_4558x71_9005x1_255_B_0" localSheetId="0">MAPPING!$AC$261</definedName>
    <definedName name="SD_4270x1_4371x1_4558x72_10_B_0" localSheetId="0">MAPPING!$X$262</definedName>
    <definedName name="SD_4270x1_4371x1_4558x72_11_B_0" localSheetId="0">MAPPING!$AA$262</definedName>
    <definedName name="SD_4270x1_4371x1_4558x72_12_B_0" localSheetId="0">MAPPING!$AG$262</definedName>
    <definedName name="SD_4270x1_4371x1_4558x72_25_B_0" localSheetId="0">MAPPING!$Y$262</definedName>
    <definedName name="SD_4270x1_4371x1_4558x72_38_B_0" localSheetId="0">MAPPING!$AD$262</definedName>
    <definedName name="SD_4270x1_4371x1_4558x72_43_B_0" localSheetId="0">MAPPING!$AK$262</definedName>
    <definedName name="SD_4270x1_4371x1_4558x72_6_B_1" localSheetId="0">MAPPING!$W$262</definedName>
    <definedName name="SD_4270x1_4371x1_4558x72_7_B_0" localSheetId="0">MAPPING!$U$262</definedName>
    <definedName name="SD_4270x1_4371x1_4558x72_9_B_0" localSheetId="0">MAPPING!$V$262</definedName>
    <definedName name="SD_4270x1_4371x1_4558x72_9005x1_100_B_0" localSheetId="0">MAPPING!$AE$262</definedName>
    <definedName name="SD_4270x1_4371x1_4558x72_9005x1_250_B_1" localSheetId="0">MAPPING!$AF$262</definedName>
    <definedName name="SD_4270x1_4371x1_4558x72_9005x1_251_B_0" localSheetId="0">MAPPING!$AH$262</definedName>
    <definedName name="SD_4270x1_4371x1_4558x72_9005x1_252_B_0" localSheetId="0">MAPPING!$AI$262</definedName>
    <definedName name="SD_4270x1_4371x1_4558x72_9005x1_253_B_0" localSheetId="0">MAPPING!$AJ$262</definedName>
    <definedName name="SD_4270x1_4371x1_4558x72_9005x1_254_B_0" localSheetId="0">MAPPING!$AB$262</definedName>
    <definedName name="SD_4270x1_4371x1_4558x72_9005x1_255_B_0" localSheetId="0">MAPPING!$AC$262</definedName>
    <definedName name="SD_4270x1_4371x1_4558x73_10_B_0" localSheetId="0">MAPPING!$X$263</definedName>
    <definedName name="SD_4270x1_4371x1_4558x73_11_B_0" localSheetId="0">MAPPING!$AA$263</definedName>
    <definedName name="SD_4270x1_4371x1_4558x73_12_B_0" localSheetId="0">MAPPING!$AG$263</definedName>
    <definedName name="SD_4270x1_4371x1_4558x73_25_B_0" localSheetId="0">MAPPING!$Y$263</definedName>
    <definedName name="SD_4270x1_4371x1_4558x73_38_B_0" localSheetId="0">MAPPING!$AD$263</definedName>
    <definedName name="SD_4270x1_4371x1_4558x73_43_B_0" localSheetId="0">MAPPING!$AK$263</definedName>
    <definedName name="SD_4270x1_4371x1_4558x73_6_B_1" localSheetId="0">MAPPING!$W$263</definedName>
    <definedName name="SD_4270x1_4371x1_4558x73_7_B_0" localSheetId="0">MAPPING!$U$263</definedName>
    <definedName name="SD_4270x1_4371x1_4558x73_9_B_0" localSheetId="0">MAPPING!$V$263</definedName>
    <definedName name="SD_4270x1_4371x1_4558x73_9005x1_100_B_0" localSheetId="0">MAPPING!$AE$263</definedName>
    <definedName name="SD_4270x1_4371x1_4558x73_9005x1_250_B_1" localSheetId="0">MAPPING!$AF$263</definedName>
    <definedName name="SD_4270x1_4371x1_4558x73_9005x1_251_B_0" localSheetId="0">MAPPING!$AH$263</definedName>
    <definedName name="SD_4270x1_4371x1_4558x73_9005x1_252_B_0" localSheetId="0">MAPPING!$AI$263</definedName>
    <definedName name="SD_4270x1_4371x1_4558x73_9005x1_253_B_0" localSheetId="0">MAPPING!$AJ$263</definedName>
    <definedName name="SD_4270x1_4371x1_4558x73_9005x1_254_B_0" localSheetId="0">MAPPING!$AB$263</definedName>
    <definedName name="SD_4270x1_4371x1_4558x73_9005x1_255_B_0" localSheetId="0">MAPPING!$AC$263</definedName>
    <definedName name="SD_4270x1_4371x1_4558x74_10_B_0" localSheetId="0">MAPPING!$X$264</definedName>
    <definedName name="SD_4270x1_4371x1_4558x74_11_B_0" localSheetId="0">MAPPING!$AA$264</definedName>
    <definedName name="SD_4270x1_4371x1_4558x74_12_B_0" localSheetId="0">MAPPING!$AG$264</definedName>
    <definedName name="SD_4270x1_4371x1_4558x74_25_B_0" localSheetId="0">MAPPING!$Y$264</definedName>
    <definedName name="SD_4270x1_4371x1_4558x74_38_B_0" localSheetId="0">MAPPING!$AD$264</definedName>
    <definedName name="SD_4270x1_4371x1_4558x74_43_B_0" localSheetId="0">MAPPING!$AK$264</definedName>
    <definedName name="SD_4270x1_4371x1_4558x74_6_B_1" localSheetId="0">MAPPING!$W$264</definedName>
    <definedName name="SD_4270x1_4371x1_4558x74_7_B_0" localSheetId="0">MAPPING!$U$264</definedName>
    <definedName name="SD_4270x1_4371x1_4558x74_9_B_0" localSheetId="0">MAPPING!$V$264</definedName>
    <definedName name="SD_4270x1_4371x1_4558x74_9005x1_100_B_0" localSheetId="0">MAPPING!$AE$264</definedName>
    <definedName name="SD_4270x1_4371x1_4558x74_9005x1_250_B_1" localSheetId="0">MAPPING!$AF$264</definedName>
    <definedName name="SD_4270x1_4371x1_4558x74_9005x1_251_B_0" localSheetId="0">MAPPING!$AH$264</definedName>
    <definedName name="SD_4270x1_4371x1_4558x74_9005x1_252_B_0" localSheetId="0">MAPPING!$AI$264</definedName>
    <definedName name="SD_4270x1_4371x1_4558x74_9005x1_253_B_0" localSheetId="0">MAPPING!$AJ$264</definedName>
    <definedName name="SD_4270x1_4371x1_4558x74_9005x1_254_B_0" localSheetId="0">MAPPING!$AB$264</definedName>
    <definedName name="SD_4270x1_4371x1_4558x74_9005x1_255_B_0" localSheetId="0">MAPPING!$AC$264</definedName>
    <definedName name="SD_4270x1_4371x1_4558x75_10_B_0" localSheetId="0">MAPPING!$X$265</definedName>
    <definedName name="SD_4270x1_4371x1_4558x75_11_B_0" localSheetId="0">MAPPING!$AA$265</definedName>
    <definedName name="SD_4270x1_4371x1_4558x75_12_B_0" localSheetId="0">MAPPING!$AG$265</definedName>
    <definedName name="SD_4270x1_4371x1_4558x75_25_B_0" localSheetId="0">MAPPING!$Y$265</definedName>
    <definedName name="SD_4270x1_4371x1_4558x75_38_B_0" localSheetId="0">MAPPING!$AD$265</definedName>
    <definedName name="SD_4270x1_4371x1_4558x75_43_B_0" localSheetId="0">MAPPING!$AK$265</definedName>
    <definedName name="SD_4270x1_4371x1_4558x75_6_B_1" localSheetId="0">MAPPING!$W$265</definedName>
    <definedName name="SD_4270x1_4371x1_4558x75_7_B_0" localSheetId="0">MAPPING!$U$265</definedName>
    <definedName name="SD_4270x1_4371x1_4558x75_9_B_0" localSheetId="0">MAPPING!$V$265</definedName>
    <definedName name="SD_4270x1_4371x1_4558x75_9005x1_100_B_0" localSheetId="0">MAPPING!$AE$265</definedName>
    <definedName name="SD_4270x1_4371x1_4558x75_9005x1_250_B_1" localSheetId="0">MAPPING!$AF$265</definedName>
    <definedName name="SD_4270x1_4371x1_4558x75_9005x1_251_B_0" localSheetId="0">MAPPING!$AH$265</definedName>
    <definedName name="SD_4270x1_4371x1_4558x75_9005x1_252_B_0" localSheetId="0">MAPPING!$AI$265</definedName>
    <definedName name="SD_4270x1_4371x1_4558x75_9005x1_253_B_0" localSheetId="0">MAPPING!$AJ$265</definedName>
    <definedName name="SD_4270x1_4371x1_4558x75_9005x1_254_B_0" localSheetId="0">MAPPING!$AB$265</definedName>
    <definedName name="SD_4270x1_4371x1_4558x75_9005x1_255_B_0" localSheetId="0">MAPPING!$AC$265</definedName>
    <definedName name="SD_4270x1_4371x1_4558x76_10_B_0" localSheetId="0">MAPPING!$X$266</definedName>
    <definedName name="SD_4270x1_4371x1_4558x76_11_B_0" localSheetId="0">MAPPING!$AA$266</definedName>
    <definedName name="SD_4270x1_4371x1_4558x76_12_B_0" localSheetId="0">MAPPING!$AG$266</definedName>
    <definedName name="SD_4270x1_4371x1_4558x76_25_B_0" localSheetId="0">MAPPING!$Y$266</definedName>
    <definedName name="SD_4270x1_4371x1_4558x76_38_B_0" localSheetId="0">MAPPING!$AD$266</definedName>
    <definedName name="SD_4270x1_4371x1_4558x76_43_B_0" localSheetId="0">MAPPING!$AK$266</definedName>
    <definedName name="SD_4270x1_4371x1_4558x76_6_B_1" localSheetId="0">MAPPING!$W$266</definedName>
    <definedName name="SD_4270x1_4371x1_4558x76_7_B_0" localSheetId="0">MAPPING!$U$266</definedName>
    <definedName name="SD_4270x1_4371x1_4558x76_9_B_0" localSheetId="0">MAPPING!$V$266</definedName>
    <definedName name="SD_4270x1_4371x1_4558x76_9005x1_100_B_0" localSheetId="0">MAPPING!$AE$266</definedName>
    <definedName name="SD_4270x1_4371x1_4558x76_9005x1_250_B_1" localSheetId="0">MAPPING!$AF$266</definedName>
    <definedName name="SD_4270x1_4371x1_4558x76_9005x1_251_B_0" localSheetId="0">MAPPING!$AH$266</definedName>
    <definedName name="SD_4270x1_4371x1_4558x76_9005x1_252_B_0" localSheetId="0">MAPPING!$AI$266</definedName>
    <definedName name="SD_4270x1_4371x1_4558x76_9005x1_253_B_0" localSheetId="0">MAPPING!$AJ$266</definedName>
    <definedName name="SD_4270x1_4371x1_4558x76_9005x1_254_B_0" localSheetId="0">MAPPING!$AB$266</definedName>
    <definedName name="SD_4270x1_4371x1_4558x76_9005x1_255_B_0" localSheetId="0">MAPPING!$AC$266</definedName>
    <definedName name="SD_4270x1_4371x1_4558x77_10_B_0" localSheetId="0">MAPPING!$X$267</definedName>
    <definedName name="SD_4270x1_4371x1_4558x77_11_B_0" localSheetId="0">MAPPING!$AA$267</definedName>
    <definedName name="SD_4270x1_4371x1_4558x77_12_B_0" localSheetId="0">MAPPING!$AG$267</definedName>
    <definedName name="SD_4270x1_4371x1_4558x77_25_B_0" localSheetId="0">MAPPING!$Y$267</definedName>
    <definedName name="SD_4270x1_4371x1_4558x77_38_B_0" localSheetId="0">MAPPING!$AD$267</definedName>
    <definedName name="SD_4270x1_4371x1_4558x77_43_B_0" localSheetId="0">MAPPING!$AK$267</definedName>
    <definedName name="SD_4270x1_4371x1_4558x77_6_B_1" localSheetId="0">MAPPING!$W$267</definedName>
    <definedName name="SD_4270x1_4371x1_4558x77_7_B_0" localSheetId="0">MAPPING!$U$267</definedName>
    <definedName name="SD_4270x1_4371x1_4558x77_9_B_0" localSheetId="0">MAPPING!$V$267</definedName>
    <definedName name="SD_4270x1_4371x1_4558x77_9005x1_100_B_0" localSheetId="0">MAPPING!$AE$267</definedName>
    <definedName name="SD_4270x1_4371x1_4558x77_9005x1_250_B_1" localSheetId="0">MAPPING!$AF$267</definedName>
    <definedName name="SD_4270x1_4371x1_4558x77_9005x1_251_B_0" localSheetId="0">MAPPING!$AH$267</definedName>
    <definedName name="SD_4270x1_4371x1_4558x77_9005x1_252_B_0" localSheetId="0">MAPPING!$AI$267</definedName>
    <definedName name="SD_4270x1_4371x1_4558x77_9005x1_253_B_0" localSheetId="0">MAPPING!$AJ$267</definedName>
    <definedName name="SD_4270x1_4371x1_4558x77_9005x1_254_B_0" localSheetId="0">MAPPING!$AB$267</definedName>
    <definedName name="SD_4270x1_4371x1_4558x77_9005x1_255_B_0" localSheetId="0">MAPPING!$AC$267</definedName>
    <definedName name="SD_4270x1_4371x1_4558x78_10_B_0" localSheetId="0">MAPPING!$X$268</definedName>
    <definedName name="SD_4270x1_4371x1_4558x78_11_B_0" localSheetId="0">MAPPING!$AA$268</definedName>
    <definedName name="SD_4270x1_4371x1_4558x78_12_B_0" localSheetId="0">MAPPING!$AG$268</definedName>
    <definedName name="SD_4270x1_4371x1_4558x78_25_B_0" localSheetId="0">MAPPING!$Y$268</definedName>
    <definedName name="SD_4270x1_4371x1_4558x78_38_B_0" localSheetId="0">MAPPING!$AD$268</definedName>
    <definedName name="SD_4270x1_4371x1_4558x78_43_B_0" localSheetId="0">MAPPING!$AK$268</definedName>
    <definedName name="SD_4270x1_4371x1_4558x78_6_B_1" localSheetId="0">MAPPING!$W$268</definedName>
    <definedName name="SD_4270x1_4371x1_4558x78_7_B_0" localSheetId="0">MAPPING!$U$268</definedName>
    <definedName name="SD_4270x1_4371x1_4558x78_9_B_0" localSheetId="0">MAPPING!$V$268</definedName>
    <definedName name="SD_4270x1_4371x1_4558x78_9005x1_100_B_0" localSheetId="0">MAPPING!$AE$268</definedName>
    <definedName name="SD_4270x1_4371x1_4558x78_9005x1_250_B_1" localSheetId="0">MAPPING!$AF$268</definedName>
    <definedName name="SD_4270x1_4371x1_4558x78_9005x1_251_B_0" localSheetId="0">MAPPING!$AH$268</definedName>
    <definedName name="SD_4270x1_4371x1_4558x78_9005x1_252_B_0" localSheetId="0">MAPPING!$AI$268</definedName>
    <definedName name="SD_4270x1_4371x1_4558x78_9005x1_253_B_0" localSheetId="0">MAPPING!$AJ$268</definedName>
    <definedName name="SD_4270x1_4371x1_4558x78_9005x1_254_B_0" localSheetId="0">MAPPING!$AB$268</definedName>
    <definedName name="SD_4270x1_4371x1_4558x78_9005x1_255_B_0" localSheetId="0">MAPPING!$AC$268</definedName>
    <definedName name="SD_4270x1_4371x1_4558x79_10_B_0" localSheetId="0">MAPPING!$X$269</definedName>
    <definedName name="SD_4270x1_4371x1_4558x79_11_B_0" localSheetId="0">MAPPING!$AA$269</definedName>
    <definedName name="SD_4270x1_4371x1_4558x79_12_B_0" localSheetId="0">MAPPING!$AG$269</definedName>
    <definedName name="SD_4270x1_4371x1_4558x79_25_B_0" localSheetId="0">MAPPING!$Y$269</definedName>
    <definedName name="SD_4270x1_4371x1_4558x79_38_B_0" localSheetId="0">MAPPING!$AD$269</definedName>
    <definedName name="SD_4270x1_4371x1_4558x79_43_B_0" localSheetId="0">MAPPING!$AK$269</definedName>
    <definedName name="SD_4270x1_4371x1_4558x79_6_B_1" localSheetId="0">MAPPING!$W$269</definedName>
    <definedName name="SD_4270x1_4371x1_4558x79_7_B_0" localSheetId="0">MAPPING!$U$269</definedName>
    <definedName name="SD_4270x1_4371x1_4558x79_9_B_0" localSheetId="0">MAPPING!$V$269</definedName>
    <definedName name="SD_4270x1_4371x1_4558x79_9005x1_100_B_0" localSheetId="0">MAPPING!$AE$269</definedName>
    <definedName name="SD_4270x1_4371x1_4558x79_9005x1_250_B_1" localSheetId="0">MAPPING!$AF$269</definedName>
    <definedName name="SD_4270x1_4371x1_4558x79_9005x1_251_B_0" localSheetId="0">MAPPING!$AH$269</definedName>
    <definedName name="SD_4270x1_4371x1_4558x79_9005x1_252_B_0" localSheetId="0">MAPPING!$AI$269</definedName>
    <definedName name="SD_4270x1_4371x1_4558x79_9005x1_253_B_0" localSheetId="0">MAPPING!$AJ$269</definedName>
    <definedName name="SD_4270x1_4371x1_4558x79_9005x1_254_B_0" localSheetId="0">MAPPING!$AB$269</definedName>
    <definedName name="SD_4270x1_4371x1_4558x79_9005x1_255_B_0" localSheetId="0">MAPPING!$AC$269</definedName>
    <definedName name="SD_4270x1_4371x1_4558x8_10_B_0" localSheetId="0">MAPPING!$X$198</definedName>
    <definedName name="SD_4270x1_4371x1_4558x8_11_B_0" localSheetId="0">MAPPING!$AA$198</definedName>
    <definedName name="SD_4270x1_4371x1_4558x8_12_B_0" localSheetId="0">MAPPING!$AG$198</definedName>
    <definedName name="SD_4270x1_4371x1_4558x8_25_B_0" localSheetId="0">MAPPING!$Y$198</definedName>
    <definedName name="SD_4270x1_4371x1_4558x8_38_B_0" localSheetId="0">MAPPING!$AD$198</definedName>
    <definedName name="SD_4270x1_4371x1_4558x8_43_B_0" localSheetId="0">MAPPING!$AK$198</definedName>
    <definedName name="SD_4270x1_4371x1_4558x8_6_B_1" localSheetId="0">MAPPING!$W$198</definedName>
    <definedName name="SD_4270x1_4371x1_4558x8_7_B_0" localSheetId="0">MAPPING!$U$198</definedName>
    <definedName name="SD_4270x1_4371x1_4558x8_9_B_0" localSheetId="0">MAPPING!$V$198</definedName>
    <definedName name="SD_4270x1_4371x1_4558x8_9005x1_100_B_0" localSheetId="0">MAPPING!$AE$198</definedName>
    <definedName name="SD_4270x1_4371x1_4558x8_9005x1_250_B_1" localSheetId="0">MAPPING!$AF$198</definedName>
    <definedName name="SD_4270x1_4371x1_4558x8_9005x1_251_B_0" localSheetId="0">MAPPING!$AH$198</definedName>
    <definedName name="SD_4270x1_4371x1_4558x8_9005x1_252_B_0" localSheetId="0">MAPPING!$AI$198</definedName>
    <definedName name="SD_4270x1_4371x1_4558x8_9005x1_253_B_0" localSheetId="0">MAPPING!$AJ$198</definedName>
    <definedName name="SD_4270x1_4371x1_4558x8_9005x1_254_B_0" localSheetId="0">MAPPING!$AB$198</definedName>
    <definedName name="SD_4270x1_4371x1_4558x8_9005x1_255_B_0" localSheetId="0">MAPPING!$AC$198</definedName>
    <definedName name="SD_4270x1_4371x1_4558x80_10_B_0" localSheetId="0">MAPPING!$X$270</definedName>
    <definedName name="SD_4270x1_4371x1_4558x80_11_B_0" localSheetId="0">MAPPING!$AA$270</definedName>
    <definedName name="SD_4270x1_4371x1_4558x80_12_B_0" localSheetId="0">MAPPING!$AG$270</definedName>
    <definedName name="SD_4270x1_4371x1_4558x80_25_B_0" localSheetId="0">MAPPING!$Y$270</definedName>
    <definedName name="SD_4270x1_4371x1_4558x80_38_B_0" localSheetId="0">MAPPING!$AD$270</definedName>
    <definedName name="SD_4270x1_4371x1_4558x80_43_B_0" localSheetId="0">MAPPING!$AK$270</definedName>
    <definedName name="SD_4270x1_4371x1_4558x80_6_B_1" localSheetId="0">MAPPING!$W$270</definedName>
    <definedName name="SD_4270x1_4371x1_4558x80_7_B_0" localSheetId="0">MAPPING!$U$270</definedName>
    <definedName name="SD_4270x1_4371x1_4558x80_9_B_0" localSheetId="0">MAPPING!$V$270</definedName>
    <definedName name="SD_4270x1_4371x1_4558x80_9005x1_100_B_0" localSheetId="0">MAPPING!$AE$270</definedName>
    <definedName name="SD_4270x1_4371x1_4558x80_9005x1_250_B_1" localSheetId="0">MAPPING!$AF$270</definedName>
    <definedName name="SD_4270x1_4371x1_4558x80_9005x1_251_B_0" localSheetId="0">MAPPING!$AH$270</definedName>
    <definedName name="SD_4270x1_4371x1_4558x80_9005x1_252_B_0" localSheetId="0">MAPPING!$AI$270</definedName>
    <definedName name="SD_4270x1_4371x1_4558x80_9005x1_253_B_0" localSheetId="0">MAPPING!$AJ$270</definedName>
    <definedName name="SD_4270x1_4371x1_4558x80_9005x1_254_B_0" localSheetId="0">MAPPING!$AB$270</definedName>
    <definedName name="SD_4270x1_4371x1_4558x80_9005x1_255_B_0" localSheetId="0">MAPPING!$AC$270</definedName>
    <definedName name="SD_4270x1_4371x1_4558x81_10_B_0" localSheetId="0">MAPPING!$X$271</definedName>
    <definedName name="SD_4270x1_4371x1_4558x81_11_B_0" localSheetId="0">MAPPING!$AA$271</definedName>
    <definedName name="SD_4270x1_4371x1_4558x81_12_B_0" localSheetId="0">MAPPING!$AG$271</definedName>
    <definedName name="SD_4270x1_4371x1_4558x81_25_B_0" localSheetId="0">MAPPING!$Y$271</definedName>
    <definedName name="SD_4270x1_4371x1_4558x81_38_B_0" localSheetId="0">MAPPING!$AD$271</definedName>
    <definedName name="SD_4270x1_4371x1_4558x81_43_B_0" localSheetId="0">MAPPING!$AK$271</definedName>
    <definedName name="SD_4270x1_4371x1_4558x81_6_B_1" localSheetId="0">MAPPING!$W$271</definedName>
    <definedName name="SD_4270x1_4371x1_4558x81_7_B_0" localSheetId="0">MAPPING!$U$271</definedName>
    <definedName name="SD_4270x1_4371x1_4558x81_9_B_0" localSheetId="0">MAPPING!$V$271</definedName>
    <definedName name="SD_4270x1_4371x1_4558x81_9005x1_100_B_0" localSheetId="0">MAPPING!$AE$271</definedName>
    <definedName name="SD_4270x1_4371x1_4558x81_9005x1_250_B_1" localSheetId="0">MAPPING!$AF$271</definedName>
    <definedName name="SD_4270x1_4371x1_4558x81_9005x1_251_B_0" localSheetId="0">MAPPING!$AH$271</definedName>
    <definedName name="SD_4270x1_4371x1_4558x81_9005x1_252_B_0" localSheetId="0">MAPPING!$AI$271</definedName>
    <definedName name="SD_4270x1_4371x1_4558x81_9005x1_253_B_0" localSheetId="0">MAPPING!$AJ$271</definedName>
    <definedName name="SD_4270x1_4371x1_4558x81_9005x1_254_B_0" localSheetId="0">MAPPING!$AB$271</definedName>
    <definedName name="SD_4270x1_4371x1_4558x81_9005x1_255_B_0" localSheetId="0">MAPPING!$AC$271</definedName>
    <definedName name="SD_4270x1_4371x1_4558x82_10_B_0" localSheetId="0">MAPPING!$X$272</definedName>
    <definedName name="SD_4270x1_4371x1_4558x82_11_B_0" localSheetId="0">MAPPING!$AA$272</definedName>
    <definedName name="SD_4270x1_4371x1_4558x82_12_B_0" localSheetId="0">MAPPING!$AG$272</definedName>
    <definedName name="SD_4270x1_4371x1_4558x82_25_B_0" localSheetId="0">MAPPING!$Y$272</definedName>
    <definedName name="SD_4270x1_4371x1_4558x82_38_B_0" localSheetId="0">MAPPING!$AD$272</definedName>
    <definedName name="SD_4270x1_4371x1_4558x82_43_B_0" localSheetId="0">MAPPING!$AK$272</definedName>
    <definedName name="SD_4270x1_4371x1_4558x82_6_B_1" localSheetId="0">MAPPING!$W$272</definedName>
    <definedName name="SD_4270x1_4371x1_4558x82_7_B_0" localSheetId="0">MAPPING!$U$272</definedName>
    <definedName name="SD_4270x1_4371x1_4558x82_9_B_0" localSheetId="0">MAPPING!$V$272</definedName>
    <definedName name="SD_4270x1_4371x1_4558x82_9005x1_100_B_0" localSheetId="0">MAPPING!$AE$272</definedName>
    <definedName name="SD_4270x1_4371x1_4558x82_9005x1_250_B_1" localSheetId="0">MAPPING!$AF$272</definedName>
    <definedName name="SD_4270x1_4371x1_4558x82_9005x1_251_B_0" localSheetId="0">MAPPING!$AH$272</definedName>
    <definedName name="SD_4270x1_4371x1_4558x82_9005x1_252_B_0" localSheetId="0">MAPPING!$AI$272</definedName>
    <definedName name="SD_4270x1_4371x1_4558x82_9005x1_253_B_0" localSheetId="0">MAPPING!$AJ$272</definedName>
    <definedName name="SD_4270x1_4371x1_4558x82_9005x1_254_B_0" localSheetId="0">MAPPING!$AB$272</definedName>
    <definedName name="SD_4270x1_4371x1_4558x82_9005x1_255_B_0" localSheetId="0">MAPPING!$AC$272</definedName>
    <definedName name="SD_4270x1_4371x1_4558x83_10_B_0" localSheetId="0">MAPPING!$X$273</definedName>
    <definedName name="SD_4270x1_4371x1_4558x83_11_B_0" localSheetId="0">MAPPING!$AA$273</definedName>
    <definedName name="SD_4270x1_4371x1_4558x83_12_B_0" localSheetId="0">MAPPING!$AG$273</definedName>
    <definedName name="SD_4270x1_4371x1_4558x83_25_B_0" localSheetId="0">MAPPING!$Y$273</definedName>
    <definedName name="SD_4270x1_4371x1_4558x83_38_B_0" localSheetId="0">MAPPING!$AD$273</definedName>
    <definedName name="SD_4270x1_4371x1_4558x83_43_B_0" localSheetId="0">MAPPING!$AK$273</definedName>
    <definedName name="SD_4270x1_4371x1_4558x83_6_B_1" localSheetId="0">MAPPING!$W$273</definedName>
    <definedName name="SD_4270x1_4371x1_4558x83_7_B_0" localSheetId="0">MAPPING!$U$273</definedName>
    <definedName name="SD_4270x1_4371x1_4558x83_9_B_0" localSheetId="0">MAPPING!$V$273</definedName>
    <definedName name="SD_4270x1_4371x1_4558x83_9005x1_100_B_0" localSheetId="0">MAPPING!$AE$273</definedName>
    <definedName name="SD_4270x1_4371x1_4558x83_9005x1_250_B_1" localSheetId="0">MAPPING!$AF$273</definedName>
    <definedName name="SD_4270x1_4371x1_4558x83_9005x1_251_B_0" localSheetId="0">MAPPING!$AH$273</definedName>
    <definedName name="SD_4270x1_4371x1_4558x83_9005x1_252_B_0" localSheetId="0">MAPPING!$AI$273</definedName>
    <definedName name="SD_4270x1_4371x1_4558x83_9005x1_253_B_0" localSheetId="0">MAPPING!$AJ$273</definedName>
    <definedName name="SD_4270x1_4371x1_4558x83_9005x1_254_B_0" localSheetId="0">MAPPING!$AB$273</definedName>
    <definedName name="SD_4270x1_4371x1_4558x83_9005x1_255_B_0" localSheetId="0">MAPPING!$AC$273</definedName>
    <definedName name="SD_4270x1_4371x1_4558x84_10_B_0" localSheetId="0">MAPPING!$X$274</definedName>
    <definedName name="SD_4270x1_4371x1_4558x84_11_B_0" localSheetId="0">MAPPING!$AA$274</definedName>
    <definedName name="SD_4270x1_4371x1_4558x84_12_B_0" localSheetId="0">MAPPING!$AG$274</definedName>
    <definedName name="SD_4270x1_4371x1_4558x84_25_B_0" localSheetId="0">MAPPING!$Y$274</definedName>
    <definedName name="SD_4270x1_4371x1_4558x84_38_B_0" localSheetId="0">MAPPING!$AD$274</definedName>
    <definedName name="SD_4270x1_4371x1_4558x84_43_B_0" localSheetId="0">MAPPING!$AK$274</definedName>
    <definedName name="SD_4270x1_4371x1_4558x84_6_B_1" localSheetId="0">MAPPING!$W$274</definedName>
    <definedName name="SD_4270x1_4371x1_4558x84_7_B_0" localSheetId="0">MAPPING!$U$274</definedName>
    <definedName name="SD_4270x1_4371x1_4558x84_9_B_0" localSheetId="0">MAPPING!$V$274</definedName>
    <definedName name="SD_4270x1_4371x1_4558x84_9005x1_100_B_0" localSheetId="0">MAPPING!$AE$274</definedName>
    <definedName name="SD_4270x1_4371x1_4558x84_9005x1_250_B_1" localSheetId="0">MAPPING!$AF$274</definedName>
    <definedName name="SD_4270x1_4371x1_4558x84_9005x1_251_B_0" localSheetId="0">MAPPING!$AH$274</definedName>
    <definedName name="SD_4270x1_4371x1_4558x84_9005x1_252_B_0" localSheetId="0">MAPPING!$AI$274</definedName>
    <definedName name="SD_4270x1_4371x1_4558x84_9005x1_253_B_0" localSheetId="0">MAPPING!$AJ$274</definedName>
    <definedName name="SD_4270x1_4371x1_4558x84_9005x1_254_B_0" localSheetId="0">MAPPING!$AB$274</definedName>
    <definedName name="SD_4270x1_4371x1_4558x84_9005x1_255_B_0" localSheetId="0">MAPPING!$AC$274</definedName>
    <definedName name="SD_4270x1_4371x1_4558x85_10_B_0" localSheetId="0">MAPPING!$X$275</definedName>
    <definedName name="SD_4270x1_4371x1_4558x85_11_B_0" localSheetId="0">MAPPING!$AA$275</definedName>
    <definedName name="SD_4270x1_4371x1_4558x85_12_B_0" localSheetId="0">MAPPING!$AG$275</definedName>
    <definedName name="SD_4270x1_4371x1_4558x85_25_B_0" localSheetId="0">MAPPING!$Y$275</definedName>
    <definedName name="SD_4270x1_4371x1_4558x85_38_B_0" localSheetId="0">MAPPING!$AD$275</definedName>
    <definedName name="SD_4270x1_4371x1_4558x85_43_B_0" localSheetId="0">MAPPING!$AK$275</definedName>
    <definedName name="SD_4270x1_4371x1_4558x85_6_B_1" localSheetId="0">MAPPING!$W$275</definedName>
    <definedName name="SD_4270x1_4371x1_4558x85_7_B_0" localSheetId="0">MAPPING!$U$275</definedName>
    <definedName name="SD_4270x1_4371x1_4558x85_9_B_0" localSheetId="0">MAPPING!$V$275</definedName>
    <definedName name="SD_4270x1_4371x1_4558x85_9005x1_100_B_0" localSheetId="0">MAPPING!$AE$275</definedName>
    <definedName name="SD_4270x1_4371x1_4558x85_9005x1_250_B_1" localSheetId="0">MAPPING!$AF$275</definedName>
    <definedName name="SD_4270x1_4371x1_4558x85_9005x1_251_B_0" localSheetId="0">MAPPING!$AH$275</definedName>
    <definedName name="SD_4270x1_4371x1_4558x85_9005x1_252_B_0" localSheetId="0">MAPPING!$AI$275</definedName>
    <definedName name="SD_4270x1_4371x1_4558x85_9005x1_253_B_0" localSheetId="0">MAPPING!$AJ$275</definedName>
    <definedName name="SD_4270x1_4371x1_4558x85_9005x1_254_B_0" localSheetId="0">MAPPING!$AB$275</definedName>
    <definedName name="SD_4270x1_4371x1_4558x85_9005x1_255_B_0" localSheetId="0">MAPPING!$AC$275</definedName>
    <definedName name="SD_4270x1_4371x1_4558x86_10_B_0" localSheetId="0">MAPPING!$X$276</definedName>
    <definedName name="SD_4270x1_4371x1_4558x86_11_B_0" localSheetId="0">MAPPING!$AA$276</definedName>
    <definedName name="SD_4270x1_4371x1_4558x86_12_B_0" localSheetId="0">MAPPING!$AG$276</definedName>
    <definedName name="SD_4270x1_4371x1_4558x86_25_B_0" localSheetId="0">MAPPING!$Y$276</definedName>
    <definedName name="SD_4270x1_4371x1_4558x86_38_B_0" localSheetId="0">MAPPING!$AD$276</definedName>
    <definedName name="SD_4270x1_4371x1_4558x86_43_B_0" localSheetId="0">MAPPING!$AK$276</definedName>
    <definedName name="SD_4270x1_4371x1_4558x86_6_B_1" localSheetId="0">MAPPING!$W$276</definedName>
    <definedName name="SD_4270x1_4371x1_4558x86_7_B_0" localSheetId="0">MAPPING!$U$276</definedName>
    <definedName name="SD_4270x1_4371x1_4558x86_9_B_0" localSheetId="0">MAPPING!$V$276</definedName>
    <definedName name="SD_4270x1_4371x1_4558x86_9005x1_100_B_0" localSheetId="0">MAPPING!$AE$276</definedName>
    <definedName name="SD_4270x1_4371x1_4558x86_9005x1_250_B_1" localSheetId="0">MAPPING!$AF$276</definedName>
    <definedName name="SD_4270x1_4371x1_4558x86_9005x1_251_B_0" localSheetId="0">MAPPING!$AH$276</definedName>
    <definedName name="SD_4270x1_4371x1_4558x86_9005x1_252_B_0" localSheetId="0">MAPPING!$AI$276</definedName>
    <definedName name="SD_4270x1_4371x1_4558x86_9005x1_253_B_0" localSheetId="0">MAPPING!$AJ$276</definedName>
    <definedName name="SD_4270x1_4371x1_4558x86_9005x1_254_B_0" localSheetId="0">MAPPING!$AB$276</definedName>
    <definedName name="SD_4270x1_4371x1_4558x86_9005x1_255_B_0" localSheetId="0">MAPPING!$AC$276</definedName>
    <definedName name="SD_4270x1_4371x1_4558x87_10_B_0" localSheetId="0">MAPPING!$X$277</definedName>
    <definedName name="SD_4270x1_4371x1_4558x87_11_B_0" localSheetId="0">MAPPING!$AA$277</definedName>
    <definedName name="SD_4270x1_4371x1_4558x87_12_B_0" localSheetId="0">MAPPING!$AG$277</definedName>
    <definedName name="SD_4270x1_4371x1_4558x87_25_B_0" localSheetId="0">MAPPING!$Y$277</definedName>
    <definedName name="SD_4270x1_4371x1_4558x87_38_B_0" localSheetId="0">MAPPING!$AD$277</definedName>
    <definedName name="SD_4270x1_4371x1_4558x87_43_B_0" localSheetId="0">MAPPING!$AK$277</definedName>
    <definedName name="SD_4270x1_4371x1_4558x87_6_B_1" localSheetId="0">MAPPING!$W$277</definedName>
    <definedName name="SD_4270x1_4371x1_4558x87_7_B_0" localSheetId="0">MAPPING!$U$277</definedName>
    <definedName name="SD_4270x1_4371x1_4558x87_9_B_0" localSheetId="0">MAPPING!$V$277</definedName>
    <definedName name="SD_4270x1_4371x1_4558x87_9005x1_100_B_0" localSheetId="0">MAPPING!$AE$277</definedName>
    <definedName name="SD_4270x1_4371x1_4558x87_9005x1_250_B_1" localSheetId="0">MAPPING!$AF$277</definedName>
    <definedName name="SD_4270x1_4371x1_4558x87_9005x1_251_B_0" localSheetId="0">MAPPING!$AH$277</definedName>
    <definedName name="SD_4270x1_4371x1_4558x87_9005x1_252_B_0" localSheetId="0">MAPPING!$AI$277</definedName>
    <definedName name="SD_4270x1_4371x1_4558x87_9005x1_253_B_0" localSheetId="0">MAPPING!$AJ$277</definedName>
    <definedName name="SD_4270x1_4371x1_4558x87_9005x1_254_B_0" localSheetId="0">MAPPING!$AB$277</definedName>
    <definedName name="SD_4270x1_4371x1_4558x87_9005x1_255_B_0" localSheetId="0">MAPPING!$AC$277</definedName>
    <definedName name="SD_4270x1_4371x1_4558x88_10_B_0" localSheetId="0">MAPPING!$X$278</definedName>
    <definedName name="SD_4270x1_4371x1_4558x88_11_B_0" localSheetId="0">MAPPING!$AA$278</definedName>
    <definedName name="SD_4270x1_4371x1_4558x88_12_B_0" localSheetId="0">MAPPING!$AG$278</definedName>
    <definedName name="SD_4270x1_4371x1_4558x88_25_B_0" localSheetId="0">MAPPING!$Y$278</definedName>
    <definedName name="SD_4270x1_4371x1_4558x88_38_B_0" localSheetId="0">MAPPING!$AD$278</definedName>
    <definedName name="SD_4270x1_4371x1_4558x88_43_B_0" localSheetId="0">MAPPING!$AK$278</definedName>
    <definedName name="SD_4270x1_4371x1_4558x88_6_B_1" localSheetId="0">MAPPING!$W$278</definedName>
    <definedName name="SD_4270x1_4371x1_4558x88_7_B_0" localSheetId="0">MAPPING!$U$278</definedName>
    <definedName name="SD_4270x1_4371x1_4558x88_9_B_0" localSheetId="0">MAPPING!$V$278</definedName>
    <definedName name="SD_4270x1_4371x1_4558x88_9005x1_100_B_0" localSheetId="0">MAPPING!$AE$278</definedName>
    <definedName name="SD_4270x1_4371x1_4558x88_9005x1_250_B_1" localSheetId="0">MAPPING!$AF$278</definedName>
    <definedName name="SD_4270x1_4371x1_4558x88_9005x1_251_B_0" localSheetId="0">MAPPING!$AH$278</definedName>
    <definedName name="SD_4270x1_4371x1_4558x88_9005x1_252_B_0" localSheetId="0">MAPPING!$AI$278</definedName>
    <definedName name="SD_4270x1_4371x1_4558x88_9005x1_253_B_0" localSheetId="0">MAPPING!$AJ$278</definedName>
    <definedName name="SD_4270x1_4371x1_4558x88_9005x1_254_B_0" localSheetId="0">MAPPING!$AB$278</definedName>
    <definedName name="SD_4270x1_4371x1_4558x88_9005x1_255_B_0" localSheetId="0">MAPPING!$AC$278</definedName>
    <definedName name="SD_4270x1_4371x1_4558x89_10_B_0" localSheetId="0">MAPPING!$X$279</definedName>
    <definedName name="SD_4270x1_4371x1_4558x89_11_B_0" localSheetId="0">MAPPING!$AA$279</definedName>
    <definedName name="SD_4270x1_4371x1_4558x89_12_B_0" localSheetId="0">MAPPING!$AG$279</definedName>
    <definedName name="SD_4270x1_4371x1_4558x89_25_B_0" localSheetId="0">MAPPING!$Y$279</definedName>
    <definedName name="SD_4270x1_4371x1_4558x89_38_B_0" localSheetId="0">MAPPING!$AD$279</definedName>
    <definedName name="SD_4270x1_4371x1_4558x89_43_B_0" localSheetId="0">MAPPING!$AK$279</definedName>
    <definedName name="SD_4270x1_4371x1_4558x89_6_B_1" localSheetId="0">MAPPING!$W$279</definedName>
    <definedName name="SD_4270x1_4371x1_4558x89_7_B_0" localSheetId="0">MAPPING!$U$279</definedName>
    <definedName name="SD_4270x1_4371x1_4558x89_9_B_0" localSheetId="0">MAPPING!$V$279</definedName>
    <definedName name="SD_4270x1_4371x1_4558x89_9005x1_100_B_0" localSheetId="0">MAPPING!$AE$279</definedName>
    <definedName name="SD_4270x1_4371x1_4558x89_9005x1_250_B_1" localSheetId="0">MAPPING!$AF$279</definedName>
    <definedName name="SD_4270x1_4371x1_4558x89_9005x1_251_B_0" localSheetId="0">MAPPING!$AH$279</definedName>
    <definedName name="SD_4270x1_4371x1_4558x89_9005x1_252_B_0" localSheetId="0">MAPPING!$AI$279</definedName>
    <definedName name="SD_4270x1_4371x1_4558x89_9005x1_253_B_0" localSheetId="0">MAPPING!$AJ$279</definedName>
    <definedName name="SD_4270x1_4371x1_4558x89_9005x1_254_B_0" localSheetId="0">MAPPING!$AB$279</definedName>
    <definedName name="SD_4270x1_4371x1_4558x89_9005x1_255_B_0" localSheetId="0">MAPPING!$AC$279</definedName>
    <definedName name="SD_4270x1_4371x1_4558x9_10_B_0" localSheetId="0">MAPPING!$X$199</definedName>
    <definedName name="SD_4270x1_4371x1_4558x9_11_B_0" localSheetId="0">MAPPING!$AA$199</definedName>
    <definedName name="SD_4270x1_4371x1_4558x9_12_B_0" localSheetId="0">MAPPING!$AG$199</definedName>
    <definedName name="SD_4270x1_4371x1_4558x9_25_B_0" localSheetId="0">MAPPING!$Y$199</definedName>
    <definedName name="SD_4270x1_4371x1_4558x9_38_B_0" localSheetId="0">MAPPING!$AD$199</definedName>
    <definedName name="SD_4270x1_4371x1_4558x9_43_B_0" localSheetId="0">MAPPING!$AK$199</definedName>
    <definedName name="SD_4270x1_4371x1_4558x9_6_B_1" localSheetId="0">MAPPING!$W$199</definedName>
    <definedName name="SD_4270x1_4371x1_4558x9_7_B_0" localSheetId="0">MAPPING!$U$199</definedName>
    <definedName name="SD_4270x1_4371x1_4558x9_9_B_0" localSheetId="0">MAPPING!$V$199</definedName>
    <definedName name="SD_4270x1_4371x1_4558x9_9005x1_100_B_0" localSheetId="0">MAPPING!$AE$199</definedName>
    <definedName name="SD_4270x1_4371x1_4558x9_9005x1_250_B_1" localSheetId="0">MAPPING!$AF$199</definedName>
    <definedName name="SD_4270x1_4371x1_4558x9_9005x1_251_B_0" localSheetId="0">MAPPING!$AH$199</definedName>
    <definedName name="SD_4270x1_4371x1_4558x9_9005x1_252_B_0" localSheetId="0">MAPPING!$AI$199</definedName>
    <definedName name="SD_4270x1_4371x1_4558x9_9005x1_253_B_0" localSheetId="0">MAPPING!$AJ$199</definedName>
    <definedName name="SD_4270x1_4371x1_4558x9_9005x1_254_B_0" localSheetId="0">MAPPING!$AB$199</definedName>
    <definedName name="SD_4270x1_4371x1_4558x9_9005x1_255_B_0" localSheetId="0">MAPPING!$AC$199</definedName>
    <definedName name="SD_4270x1_4371x1_4558x90_10_B_0" localSheetId="0">MAPPING!$X$280</definedName>
    <definedName name="SD_4270x1_4371x1_4558x90_11_B_0" localSheetId="0">MAPPING!$AA$280</definedName>
    <definedName name="SD_4270x1_4371x1_4558x90_12_B_0" localSheetId="0">MAPPING!$AG$280</definedName>
    <definedName name="SD_4270x1_4371x1_4558x90_25_B_0" localSheetId="0">MAPPING!$Y$280</definedName>
    <definedName name="SD_4270x1_4371x1_4558x90_38_B_0" localSheetId="0">MAPPING!$AD$280</definedName>
    <definedName name="SD_4270x1_4371x1_4558x90_43_B_0" localSheetId="0">MAPPING!$AK$280</definedName>
    <definedName name="SD_4270x1_4371x1_4558x90_6_B_1" localSheetId="0">MAPPING!$W$280</definedName>
    <definedName name="SD_4270x1_4371x1_4558x90_7_B_0" localSheetId="0">MAPPING!$U$280</definedName>
    <definedName name="SD_4270x1_4371x1_4558x90_9_B_0" localSheetId="0">MAPPING!$V$280</definedName>
    <definedName name="SD_4270x1_4371x1_4558x90_9005x1_100_B_0" localSheetId="0">MAPPING!$AE$280</definedName>
    <definedName name="SD_4270x1_4371x1_4558x90_9005x1_250_B_1" localSheetId="0">MAPPING!$AF$280</definedName>
    <definedName name="SD_4270x1_4371x1_4558x90_9005x1_251_B_0" localSheetId="0">MAPPING!$AH$280</definedName>
    <definedName name="SD_4270x1_4371x1_4558x90_9005x1_252_B_0" localSheetId="0">MAPPING!$AI$280</definedName>
    <definedName name="SD_4270x1_4371x1_4558x90_9005x1_253_B_0" localSheetId="0">MAPPING!$AJ$280</definedName>
    <definedName name="SD_4270x1_4371x1_4558x90_9005x1_254_B_0" localSheetId="0">MAPPING!$AB$280</definedName>
    <definedName name="SD_4270x1_4371x1_4558x90_9005x1_255_B_0" localSheetId="0">MAPPING!$AC$280</definedName>
    <definedName name="SD_4270x1_4371x1_4558x91_10_B_0" localSheetId="0">MAPPING!$X$281</definedName>
    <definedName name="SD_4270x1_4371x1_4558x91_11_B_0" localSheetId="0">MAPPING!$AA$281</definedName>
    <definedName name="SD_4270x1_4371x1_4558x91_12_B_0" localSheetId="0">MAPPING!$AG$281</definedName>
    <definedName name="SD_4270x1_4371x1_4558x91_25_B_0" localSheetId="0">MAPPING!$Y$281</definedName>
    <definedName name="SD_4270x1_4371x1_4558x91_38_B_0" localSheetId="0">MAPPING!$AD$281</definedName>
    <definedName name="SD_4270x1_4371x1_4558x91_43_B_0" localSheetId="0">MAPPING!$AK$281</definedName>
    <definedName name="SD_4270x1_4371x1_4558x91_6_B_1" localSheetId="0">MAPPING!$W$281</definedName>
    <definedName name="SD_4270x1_4371x1_4558x91_7_B_0" localSheetId="0">MAPPING!$U$281</definedName>
    <definedName name="SD_4270x1_4371x1_4558x91_9_B_0" localSheetId="0">MAPPING!$V$281</definedName>
    <definedName name="SD_4270x1_4371x1_4558x91_9005x1_100_B_0" localSheetId="0">MAPPING!$AE$281</definedName>
    <definedName name="SD_4270x1_4371x1_4558x91_9005x1_250_B_1" localSheetId="0">MAPPING!$AF$281</definedName>
    <definedName name="SD_4270x1_4371x1_4558x91_9005x1_251_B_0" localSheetId="0">MAPPING!$AH$281</definedName>
    <definedName name="SD_4270x1_4371x1_4558x91_9005x1_252_B_0" localSheetId="0">MAPPING!$AI$281</definedName>
    <definedName name="SD_4270x1_4371x1_4558x91_9005x1_253_B_0" localSheetId="0">MAPPING!$AJ$281</definedName>
    <definedName name="SD_4270x1_4371x1_4558x91_9005x1_254_B_0" localSheetId="0">MAPPING!$AB$281</definedName>
    <definedName name="SD_4270x1_4371x1_4558x91_9005x1_255_B_0" localSheetId="0">MAPPING!$AC$281</definedName>
    <definedName name="SD_4270x1_4371x1_4558x92_10_B_0" localSheetId="0">MAPPING!$X$282</definedName>
    <definedName name="SD_4270x1_4371x1_4558x92_11_B_0" localSheetId="0">MAPPING!$AA$282</definedName>
    <definedName name="SD_4270x1_4371x1_4558x92_12_B_0" localSheetId="0">MAPPING!$AG$282</definedName>
    <definedName name="SD_4270x1_4371x1_4558x92_25_B_0" localSheetId="0">MAPPING!$Y$282</definedName>
    <definedName name="SD_4270x1_4371x1_4558x92_38_B_0" localSheetId="0">MAPPING!$AD$282</definedName>
    <definedName name="SD_4270x1_4371x1_4558x92_43_B_0" localSheetId="0">MAPPING!$AK$282</definedName>
    <definedName name="SD_4270x1_4371x1_4558x92_6_B_1" localSheetId="0">MAPPING!$W$282</definedName>
    <definedName name="SD_4270x1_4371x1_4558x92_7_B_0" localSheetId="0">MAPPING!$U$282</definedName>
    <definedName name="SD_4270x1_4371x1_4558x92_9_B_0" localSheetId="0">MAPPING!$V$282</definedName>
    <definedName name="SD_4270x1_4371x1_4558x92_9005x1_100_B_0" localSheetId="0">MAPPING!$AE$282</definedName>
    <definedName name="SD_4270x1_4371x1_4558x92_9005x1_250_B_1" localSheetId="0">MAPPING!$AF$282</definedName>
    <definedName name="SD_4270x1_4371x1_4558x92_9005x1_251_B_0" localSheetId="0">MAPPING!$AH$282</definedName>
    <definedName name="SD_4270x1_4371x1_4558x92_9005x1_252_B_0" localSheetId="0">MAPPING!$AI$282</definedName>
    <definedName name="SD_4270x1_4371x1_4558x92_9005x1_253_B_0" localSheetId="0">MAPPING!$AJ$282</definedName>
    <definedName name="SD_4270x1_4371x1_4558x92_9005x1_254_B_0" localSheetId="0">MAPPING!$AB$282</definedName>
    <definedName name="SD_4270x1_4371x1_4558x92_9005x1_255_B_0" localSheetId="0">MAPPING!$AC$282</definedName>
    <definedName name="SD_4270x1_4371x1_4558x93_10_B_0" localSheetId="0">MAPPING!$X$283</definedName>
    <definedName name="SD_4270x1_4371x1_4558x93_11_B_0" localSheetId="0">MAPPING!$AA$283</definedName>
    <definedName name="SD_4270x1_4371x1_4558x93_12_B_0" localSheetId="0">MAPPING!$AG$283</definedName>
    <definedName name="SD_4270x1_4371x1_4558x93_25_B_0" localSheetId="0">MAPPING!$Y$283</definedName>
    <definedName name="SD_4270x1_4371x1_4558x93_38_B_0" localSheetId="0">MAPPING!$AD$283</definedName>
    <definedName name="SD_4270x1_4371x1_4558x93_43_B_0" localSheetId="0">MAPPING!$AK$283</definedName>
    <definedName name="SD_4270x1_4371x1_4558x93_6_B_1" localSheetId="0">MAPPING!$W$283</definedName>
    <definedName name="SD_4270x1_4371x1_4558x93_7_B_0" localSheetId="0">MAPPING!$U$283</definedName>
    <definedName name="SD_4270x1_4371x1_4558x93_9_B_0" localSheetId="0">MAPPING!$V$283</definedName>
    <definedName name="SD_4270x1_4371x1_4558x93_9005x1_100_B_0" localSheetId="0">MAPPING!$AE$283</definedName>
    <definedName name="SD_4270x1_4371x1_4558x93_9005x1_250_B_1" localSheetId="0">MAPPING!$AF$283</definedName>
    <definedName name="SD_4270x1_4371x1_4558x93_9005x1_251_B_0" localSheetId="0">MAPPING!$AH$283</definedName>
    <definedName name="SD_4270x1_4371x1_4558x93_9005x1_252_B_0" localSheetId="0">MAPPING!$AI$283</definedName>
    <definedName name="SD_4270x1_4371x1_4558x93_9005x1_253_B_0" localSheetId="0">MAPPING!$AJ$283</definedName>
    <definedName name="SD_4270x1_4371x1_4558x93_9005x1_254_B_0" localSheetId="0">MAPPING!$AB$283</definedName>
    <definedName name="SD_4270x1_4371x1_4558x93_9005x1_255_B_0" localSheetId="0">MAPPING!$AC$283</definedName>
    <definedName name="SD_4270x1_4371x1_4558x94_10_B_0" localSheetId="0">MAPPING!$X$284</definedName>
    <definedName name="SD_4270x1_4371x1_4558x94_11_B_0" localSheetId="0">MAPPING!$AA$284</definedName>
    <definedName name="SD_4270x1_4371x1_4558x94_12_B_0" localSheetId="0">MAPPING!$AG$284</definedName>
    <definedName name="SD_4270x1_4371x1_4558x94_25_B_0" localSheetId="0">MAPPING!$Y$284</definedName>
    <definedName name="SD_4270x1_4371x1_4558x94_38_B_0" localSheetId="0">MAPPING!$AD$284</definedName>
    <definedName name="SD_4270x1_4371x1_4558x94_43_B_0" localSheetId="0">MAPPING!$AK$284</definedName>
    <definedName name="SD_4270x1_4371x1_4558x94_6_B_1" localSheetId="0">MAPPING!$W$284</definedName>
    <definedName name="SD_4270x1_4371x1_4558x94_7_B_0" localSheetId="0">MAPPING!$U$284</definedName>
    <definedName name="SD_4270x1_4371x1_4558x94_9_B_0" localSheetId="0">MAPPING!$V$284</definedName>
    <definedName name="SD_4270x1_4371x1_4558x94_9005x1_100_B_0" localSheetId="0">MAPPING!$AE$284</definedName>
    <definedName name="SD_4270x1_4371x1_4558x94_9005x1_250_B_1" localSheetId="0">MAPPING!$AF$284</definedName>
    <definedName name="SD_4270x1_4371x1_4558x94_9005x1_251_B_0" localSheetId="0">MAPPING!$AH$284</definedName>
    <definedName name="SD_4270x1_4371x1_4558x94_9005x1_252_B_0" localSheetId="0">MAPPING!$AI$284</definedName>
    <definedName name="SD_4270x1_4371x1_4558x94_9005x1_253_B_0" localSheetId="0">MAPPING!$AJ$284</definedName>
    <definedName name="SD_4270x1_4371x1_4558x94_9005x1_254_B_0" localSheetId="0">MAPPING!$AB$284</definedName>
    <definedName name="SD_4270x1_4371x1_4558x94_9005x1_255_B_0" localSheetId="0">MAPPING!$AC$284</definedName>
    <definedName name="SD_4270x1_4371x1_4558x95_10_B_0" localSheetId="0">MAPPING!$X$285</definedName>
    <definedName name="SD_4270x1_4371x1_4558x95_11_B_0" localSheetId="0">MAPPING!$AA$285</definedName>
    <definedName name="SD_4270x1_4371x1_4558x95_12_B_0" localSheetId="0">MAPPING!$AG$285</definedName>
    <definedName name="SD_4270x1_4371x1_4558x95_25_B_0" localSheetId="0">MAPPING!$Y$285</definedName>
    <definedName name="SD_4270x1_4371x1_4558x95_38_B_0" localSheetId="0">MAPPING!$AD$285</definedName>
    <definedName name="SD_4270x1_4371x1_4558x95_43_B_0" localSheetId="0">MAPPING!$AK$285</definedName>
    <definedName name="SD_4270x1_4371x1_4558x95_6_B_1" localSheetId="0">MAPPING!$W$285</definedName>
    <definedName name="SD_4270x1_4371x1_4558x95_7_B_0" localSheetId="0">MAPPING!$U$285</definedName>
    <definedName name="SD_4270x1_4371x1_4558x95_9_B_0" localSheetId="0">MAPPING!$V$285</definedName>
    <definedName name="SD_4270x1_4371x1_4558x95_9005x1_100_B_0" localSheetId="0">MAPPING!$AE$285</definedName>
    <definedName name="SD_4270x1_4371x1_4558x95_9005x1_250_B_1" localSheetId="0">MAPPING!$AF$285</definedName>
    <definedName name="SD_4270x1_4371x1_4558x95_9005x1_251_B_0" localSheetId="0">MAPPING!$AH$285</definedName>
    <definedName name="SD_4270x1_4371x1_4558x95_9005x1_252_B_0" localSheetId="0">MAPPING!$AI$285</definedName>
    <definedName name="SD_4270x1_4371x1_4558x95_9005x1_253_B_0" localSheetId="0">MAPPING!$AJ$285</definedName>
    <definedName name="SD_4270x1_4371x1_4558x95_9005x1_254_B_0" localSheetId="0">MAPPING!$AB$285</definedName>
    <definedName name="SD_4270x1_4371x1_4558x95_9005x1_255_B_0" localSheetId="0">MAPPING!$AC$285</definedName>
    <definedName name="SD_4270x1_4371x1_4558x96_10_B_0" localSheetId="0">MAPPING!$X$286</definedName>
    <definedName name="SD_4270x1_4371x1_4558x96_11_B_0" localSheetId="0">MAPPING!$AA$286</definedName>
    <definedName name="SD_4270x1_4371x1_4558x96_12_B_0" localSheetId="0">MAPPING!$AG$286</definedName>
    <definedName name="SD_4270x1_4371x1_4558x96_25_B_0" localSheetId="0">MAPPING!$Y$286</definedName>
    <definedName name="SD_4270x1_4371x1_4558x96_38_B_0" localSheetId="0">MAPPING!$AD$286</definedName>
    <definedName name="SD_4270x1_4371x1_4558x96_43_B_0" localSheetId="0">MAPPING!$AK$286</definedName>
    <definedName name="SD_4270x1_4371x1_4558x96_6_B_1" localSheetId="0">MAPPING!$W$286</definedName>
    <definedName name="SD_4270x1_4371x1_4558x96_7_B_0" localSheetId="0">MAPPING!$U$286</definedName>
    <definedName name="SD_4270x1_4371x1_4558x96_9_B_0" localSheetId="0">MAPPING!$V$286</definedName>
    <definedName name="SD_4270x1_4371x1_4558x96_9005x1_100_B_0" localSheetId="0">MAPPING!$AE$286</definedName>
    <definedName name="SD_4270x1_4371x1_4558x96_9005x1_250_B_1" localSheetId="0">MAPPING!$AF$286</definedName>
    <definedName name="SD_4270x1_4371x1_4558x96_9005x1_251_B_0" localSheetId="0">MAPPING!$AH$286</definedName>
    <definedName name="SD_4270x1_4371x1_4558x96_9005x1_252_B_0" localSheetId="0">MAPPING!$AI$286</definedName>
    <definedName name="SD_4270x1_4371x1_4558x96_9005x1_253_B_0" localSheetId="0">MAPPING!$AJ$286</definedName>
    <definedName name="SD_4270x1_4371x1_4558x96_9005x1_254_B_0" localSheetId="0">MAPPING!$AB$286</definedName>
    <definedName name="SD_4270x1_4371x1_4558x96_9005x1_255_B_0" localSheetId="0">MAPPING!$AC$286</definedName>
    <definedName name="SD_4270x1_4371x1_4558x97_10_B_0" localSheetId="0">MAPPING!$X$287</definedName>
    <definedName name="SD_4270x1_4371x1_4558x97_11_B_0" localSheetId="0">MAPPING!$AA$287</definedName>
    <definedName name="SD_4270x1_4371x1_4558x97_12_B_0" localSheetId="0">MAPPING!$AG$287</definedName>
    <definedName name="SD_4270x1_4371x1_4558x97_25_B_0" localSheetId="0">MAPPING!$Y$287</definedName>
    <definedName name="SD_4270x1_4371x1_4558x97_38_B_0" localSheetId="0">MAPPING!$AD$287</definedName>
    <definedName name="SD_4270x1_4371x1_4558x97_43_B_0" localSheetId="0">MAPPING!$AK$287</definedName>
    <definedName name="SD_4270x1_4371x1_4558x97_6_B_1" localSheetId="0">MAPPING!$W$287</definedName>
    <definedName name="SD_4270x1_4371x1_4558x97_7_B_0" localSheetId="0">MAPPING!$U$287</definedName>
    <definedName name="SD_4270x1_4371x1_4558x97_9_B_0" localSheetId="0">MAPPING!$V$287</definedName>
    <definedName name="SD_4270x1_4371x1_4558x97_9005x1_100_B_0" localSheetId="0">MAPPING!$AE$287</definedName>
    <definedName name="SD_4270x1_4371x1_4558x97_9005x1_250_B_1" localSheetId="0">MAPPING!$AF$287</definedName>
    <definedName name="SD_4270x1_4371x1_4558x97_9005x1_251_B_0" localSheetId="0">MAPPING!$AH$287</definedName>
    <definedName name="SD_4270x1_4371x1_4558x97_9005x1_252_B_0" localSheetId="0">MAPPING!$AI$287</definedName>
    <definedName name="SD_4270x1_4371x1_4558x97_9005x1_253_B_0" localSheetId="0">MAPPING!$AJ$287</definedName>
    <definedName name="SD_4270x1_4371x1_4558x97_9005x1_254_B_0" localSheetId="0">MAPPING!$AB$287</definedName>
    <definedName name="SD_4270x1_4371x1_4558x97_9005x1_255_B_0" localSheetId="0">MAPPING!$AC$287</definedName>
    <definedName name="SD_4270x1_4371x1_4558x98_10_B_0" localSheetId="0">MAPPING!$X$288</definedName>
    <definedName name="SD_4270x1_4371x1_4558x98_11_B_0" localSheetId="0">MAPPING!$AA$288</definedName>
    <definedName name="SD_4270x1_4371x1_4558x98_12_B_0" localSheetId="0">MAPPING!$AG$288</definedName>
    <definedName name="SD_4270x1_4371x1_4558x98_25_B_0" localSheetId="0">MAPPING!$Y$288</definedName>
    <definedName name="SD_4270x1_4371x1_4558x98_38_B_0" localSheetId="0">MAPPING!$AD$288</definedName>
    <definedName name="SD_4270x1_4371x1_4558x98_43_B_0" localSheetId="0">MAPPING!$AK$288</definedName>
    <definedName name="SD_4270x1_4371x1_4558x98_6_B_1" localSheetId="0">MAPPING!$W$288</definedName>
    <definedName name="SD_4270x1_4371x1_4558x98_7_B_0" localSheetId="0">MAPPING!$U$288</definedName>
    <definedName name="SD_4270x1_4371x1_4558x98_9_B_0" localSheetId="0">MAPPING!$V$288</definedName>
    <definedName name="SD_4270x1_4371x1_4558x98_9005x1_100_B_0" localSheetId="0">MAPPING!$AE$288</definedName>
    <definedName name="SD_4270x1_4371x1_4558x98_9005x1_250_B_1" localSheetId="0">MAPPING!$AF$288</definedName>
    <definedName name="SD_4270x1_4371x1_4558x98_9005x1_251_B_0" localSheetId="0">MAPPING!$AH$288</definedName>
    <definedName name="SD_4270x1_4371x1_4558x98_9005x1_252_B_0" localSheetId="0">MAPPING!$AI$288</definedName>
    <definedName name="SD_4270x1_4371x1_4558x98_9005x1_253_B_0" localSheetId="0">MAPPING!$AJ$288</definedName>
    <definedName name="SD_4270x1_4371x1_4558x98_9005x1_254_B_0" localSheetId="0">MAPPING!$AB$288</definedName>
    <definedName name="SD_4270x1_4371x1_4558x98_9005x1_255_B_0" localSheetId="0">MAPPING!$AC$288</definedName>
    <definedName name="SD_4270x1_4371x1_4558x99_10_B_0" localSheetId="0">MAPPING!$X$289</definedName>
    <definedName name="SD_4270x1_4371x1_4558x99_11_B_0" localSheetId="0">MAPPING!$AA$289</definedName>
    <definedName name="SD_4270x1_4371x1_4558x99_12_B_0" localSheetId="0">MAPPING!$AG$289</definedName>
    <definedName name="SD_4270x1_4371x1_4558x99_25_B_0" localSheetId="0">MAPPING!$Y$289</definedName>
    <definedName name="SD_4270x1_4371x1_4558x99_38_B_0" localSheetId="0">MAPPING!$AD$289</definedName>
    <definedName name="SD_4270x1_4371x1_4558x99_43_B_0" localSheetId="0">MAPPING!$AK$289</definedName>
    <definedName name="SD_4270x1_4371x1_4558x99_6_B_1" localSheetId="0">MAPPING!$W$289</definedName>
    <definedName name="SD_4270x1_4371x1_4558x99_7_B_0" localSheetId="0">MAPPING!$U$289</definedName>
    <definedName name="SD_4270x1_4371x1_4558x99_9_B_0" localSheetId="0">MAPPING!$V$289</definedName>
    <definedName name="SD_4270x1_4371x1_4558x99_9005x1_100_B_0" localSheetId="0">MAPPING!$AE$289</definedName>
    <definedName name="SD_4270x1_4371x1_4558x99_9005x1_250_B_1" localSheetId="0">MAPPING!$AF$289</definedName>
    <definedName name="SD_4270x1_4371x1_4558x99_9005x1_251_B_0" localSheetId="0">MAPPING!$AH$289</definedName>
    <definedName name="SD_4270x1_4371x1_4558x99_9005x1_252_B_0" localSheetId="0">MAPPING!$AI$289</definedName>
    <definedName name="SD_4270x1_4371x1_4558x99_9005x1_253_B_0" localSheetId="0">MAPPING!$AJ$289</definedName>
    <definedName name="SD_4270x1_4371x1_4558x99_9005x1_254_B_0" localSheetId="0">MAPPING!$AB$289</definedName>
    <definedName name="SD_4270x1_4371x1_4558x99_9005x1_255_B_0" localSheetId="0">MAPPING!$AC$289</definedName>
    <definedName name="SD_4270x1_4371x1_4594x1_10_B_0" localSheetId="0">MAPPING!$U$504</definedName>
    <definedName name="SD_4270x1_4371x1_4594x1_16_B_0" localSheetId="0">MAPPING!$U$505</definedName>
    <definedName name="SD_4270x1_4371x1_4594x1_17_B_0" localSheetId="0">MAPPING!$U$507</definedName>
    <definedName name="SD_4270x1_4371x1_4594x1_18_B_0" localSheetId="0">MAPPING!$U$506</definedName>
    <definedName name="SD_4270x1_4371x1_4594x1_19_B_0" localSheetId="0">MAPPING!$U$508</definedName>
    <definedName name="SD_4270x1_4371x1_4594x1_22_B_0" localSheetId="0">MAPPING!$U$538</definedName>
    <definedName name="SD_4270x1_4371x1_4594x1_23_B_0" localSheetId="0">MAPPING!$U$524</definedName>
    <definedName name="SD_4270x1_4371x1_4594x1_24_B_0" localSheetId="0">MAPPING!$U$525</definedName>
    <definedName name="SD_4270x1_4371x1_4594x1_25_B_0" localSheetId="0">MAPPING!$U$539</definedName>
    <definedName name="SD_4270x1_4371x1_4594x1_26_B_0" localSheetId="0">MAPPING!$U$533</definedName>
    <definedName name="SD_4270x1_4371x1_4594x1_28_B_0" localSheetId="0">MAPPING!$U$568</definedName>
    <definedName name="SD_4270x1_4371x1_4594x1_29_B_0" localSheetId="0">MAPPING!$U$571</definedName>
    <definedName name="SD_4270x1_4371x1_4594x1_30_B_0" localSheetId="0">MAPPING!$U$572</definedName>
    <definedName name="SD_4270x1_4371x1_4594x1_32_B_0" localSheetId="0">MAPPING!$U$574</definedName>
    <definedName name="SD_4270x1_4371x1_4594x1_33_B_0" localSheetId="0">MAPPING!$U$527</definedName>
    <definedName name="SD_4270x1_4371x1_4594x1_38_B_0" localSheetId="0">MAPPING!$U$536</definedName>
    <definedName name="SD_4270x1_4371x1_4594x1_40_B_0" localSheetId="0">MAPPING!$U$534</definedName>
    <definedName name="SD_4270x1_4371x1_4594x1_41_B_0" localSheetId="0">MAPPING!$U$535</definedName>
    <definedName name="SD_4270x1_4371x1_4594x1_43_B_0" localSheetId="0">MAPPING!$U$637</definedName>
    <definedName name="SD_4270x1_4371x1_4594x1_44_B_0" localSheetId="0">MAPPING!$U$577</definedName>
    <definedName name="SD_4270x1_4371x1_4594x1_45_B_0" localSheetId="0">MAPPING!$U$630</definedName>
    <definedName name="SD_4270x1_4371x1_4594x1_61_B_0" localSheetId="0">MAPPING!$U$531</definedName>
    <definedName name="SD_4270x1_4371x1_4594x1_62_B_0" localSheetId="0">MAPPING!$U$578</definedName>
    <definedName name="SD_4270x1_4371x1_4594x1_63_B_0" localSheetId="0">MAPPING!$U$593</definedName>
    <definedName name="SD_4270x1_4371x1_4594x1_64_B_0" localSheetId="0">MAPPING!$U$597</definedName>
    <definedName name="SD_4270x1_4371x1_4594x1_65_B_0" localSheetId="0">MAPPING!$U$603</definedName>
    <definedName name="SD_4270x1_4371x1_4594x1_67_B_0" localSheetId="0">MAPPING!$U$634</definedName>
    <definedName name="SD_4270x1_4371x1_4594x1_68_B_0" localSheetId="0">MAPPING!$U$632</definedName>
    <definedName name="SD_4270x1_4371x1_4594x1_69_B_0" localSheetId="0">MAPPING!$U$645</definedName>
    <definedName name="SD_4270x1_4371x1_4594x1_70_B_0" localSheetId="0">MAPPING!$U$530</definedName>
    <definedName name="SD_4270x1_4371x1_4594x1_71_B_0" localSheetId="0">MAPPING!$U$541</definedName>
    <definedName name="SD_4270x1_4371x1_4594x1_73_B_0" localSheetId="0">MAPPING!$U$636</definedName>
    <definedName name="SD_4270x1_4371x1_4594x1_74_B_0" localSheetId="0">MAPPING!$U$640</definedName>
    <definedName name="SD_4270x1_4371x1_4594x1_87_B_0" localSheetId="0">MAPPING!$U$528</definedName>
    <definedName name="SD_4270x1_4371x1_4594x1_9_B_0" localSheetId="0">MAPPING!$U$503</definedName>
    <definedName name="SD_4270x1_4371x1_4594x1_90_B_0" localSheetId="0">MAPPING!$U$540</definedName>
    <definedName name="SD_4270x1_4371x1_4594x1_91_B_0" localSheetId="0">MAPPING!$U$509</definedName>
    <definedName name="SD_4270x1_4371x1_4594x1_92_B_0" localSheetId="0">MAPPING!$U$510</definedName>
    <definedName name="SD_4270x1_4371x1_4594x1_93_B_0" localSheetId="0">MAPPING!$U$516</definedName>
    <definedName name="SD_4270x1_4371x1_4600x1_10_B_0" localSheetId="0">MAPPING!$T$504</definedName>
    <definedName name="SD_4270x1_4371x1_4600x1_16_B_0" localSheetId="0">MAPPING!$T$505</definedName>
    <definedName name="SD_4270x1_4371x1_4600x1_17_B_0" localSheetId="0">MAPPING!$T$507</definedName>
    <definedName name="SD_4270x1_4371x1_4600x1_18_B_0" localSheetId="0">MAPPING!$T$506</definedName>
    <definedName name="SD_4270x1_4371x1_4600x1_19_B_0" localSheetId="0">MAPPING!$T$508</definedName>
    <definedName name="SD_4270x1_4371x1_4600x1_22_B_0" localSheetId="0">MAPPING!$T$538</definedName>
    <definedName name="SD_4270x1_4371x1_4600x1_23_B_0" localSheetId="0">MAPPING!$T$524</definedName>
    <definedName name="SD_4270x1_4371x1_4600x1_24_B_0" localSheetId="0">MAPPING!$T$525</definedName>
    <definedName name="SD_4270x1_4371x1_4600x1_25_B_0" localSheetId="0">MAPPING!$T$539</definedName>
    <definedName name="SD_4270x1_4371x1_4600x1_26_B_0" localSheetId="0">MAPPING!$T$533</definedName>
    <definedName name="SD_4270x1_4371x1_4600x1_28_B_0" localSheetId="0">MAPPING!$T$568</definedName>
    <definedName name="SD_4270x1_4371x1_4600x1_29_B_0" localSheetId="0">MAPPING!$T$571</definedName>
    <definedName name="SD_4270x1_4371x1_4600x1_30_B_0" localSheetId="0">MAPPING!$T$572</definedName>
    <definedName name="SD_4270x1_4371x1_4600x1_32_B_0" localSheetId="0">MAPPING!$T$574</definedName>
    <definedName name="SD_4270x1_4371x1_4600x1_33_B_0" localSheetId="0">MAPPING!$T$527</definedName>
    <definedName name="SD_4270x1_4371x1_4600x1_38_B_0" localSheetId="0">MAPPING!$T$536</definedName>
    <definedName name="SD_4270x1_4371x1_4600x1_40_B_0" localSheetId="0">MAPPING!$T$534</definedName>
    <definedName name="SD_4270x1_4371x1_4600x1_41_B_0" localSheetId="0">MAPPING!$T$535</definedName>
    <definedName name="SD_4270x1_4371x1_4600x1_43_B_0" localSheetId="0">MAPPING!$T$637</definedName>
    <definedName name="SD_4270x1_4371x1_4600x1_44_B_0" localSheetId="0">MAPPING!$T$577</definedName>
    <definedName name="SD_4270x1_4371x1_4600x1_45_B_0" localSheetId="0">MAPPING!$T$630</definedName>
    <definedName name="SD_4270x1_4371x1_4600x1_61_B_0" localSheetId="0">MAPPING!$T$531</definedName>
    <definedName name="SD_4270x1_4371x1_4600x1_62_B_0" localSheetId="0">MAPPING!$T$578</definedName>
    <definedName name="SD_4270x1_4371x1_4600x1_63_B_0" localSheetId="0">MAPPING!$T$593</definedName>
    <definedName name="SD_4270x1_4371x1_4600x1_64_B_0" localSheetId="0">MAPPING!$T$597</definedName>
    <definedName name="SD_4270x1_4371x1_4600x1_65_B_0" localSheetId="0">MAPPING!$T$603</definedName>
    <definedName name="SD_4270x1_4371x1_4600x1_67_B_0" localSheetId="0">MAPPING!$T$634</definedName>
    <definedName name="SD_4270x1_4371x1_4600x1_68_B_0" localSheetId="0">MAPPING!$T$632</definedName>
    <definedName name="SD_4270x1_4371x1_4600x1_69_B_0" localSheetId="0">MAPPING!$T$645</definedName>
    <definedName name="SD_4270x1_4371x1_4600x1_70_B_0" localSheetId="0">MAPPING!$T$530</definedName>
    <definedName name="SD_4270x1_4371x1_4600x1_71_B_0" localSheetId="0">MAPPING!$T$541</definedName>
    <definedName name="SD_4270x1_4371x1_4600x1_73_B_0" localSheetId="0">MAPPING!$T$636</definedName>
    <definedName name="SD_4270x1_4371x1_4600x1_74_B_0" localSheetId="0">MAPPING!$T$640</definedName>
    <definedName name="SD_4270x1_4371x1_4600x1_87_B_0" localSheetId="0">MAPPING!$T$528</definedName>
    <definedName name="SD_4270x1_4371x1_4600x1_9_B_0" localSheetId="0">MAPPING!$T$503</definedName>
    <definedName name="SD_4270x1_4371x1_4600x1_90_B_0" localSheetId="0">MAPPING!$T$540</definedName>
    <definedName name="SD_4270x1_4371x1_4600x1_91_B_0" localSheetId="0">MAPPING!$T$509</definedName>
    <definedName name="SD_4270x1_4371x1_4600x1_92_B_0" localSheetId="0">MAPPING!$T$510</definedName>
    <definedName name="SD_4270x1_4371x1_4600x1_93_B_0" localSheetId="0">MAPPING!$T$516</definedName>
    <definedName name="SD_4270x1_4371x1_4606x1_5_B_1" localSheetId="0">MAPPING!$AF$295</definedName>
    <definedName name="SD_4270x1_4371x1_4606x1_6_B_1" localSheetId="0">MAPPING!$AE$295</definedName>
    <definedName name="SD_4270x1_4371x1_4606x1_7_B_0" localSheetId="0">MAPPING!$AH$295</definedName>
    <definedName name="SD_4270x1_4371x1_4606x1_8_B_0" localSheetId="0">MAPPING!$AG$295</definedName>
    <definedName name="SD_4270x1_4371x1_4606x1_9_B_0" localSheetId="0">MAPPING!$AI$295</definedName>
    <definedName name="SD_4270x1_4371x1_4606x10_5_B_1" localSheetId="0">MAPPING!$AF$304</definedName>
    <definedName name="SD_4270x1_4371x1_4606x10_6_B_1" localSheetId="0">MAPPING!$AE$304</definedName>
    <definedName name="SD_4270x1_4371x1_4606x10_7_B_0" localSheetId="0">MAPPING!$AH$304</definedName>
    <definedName name="SD_4270x1_4371x1_4606x10_8_B_0" localSheetId="0">MAPPING!$AG$304</definedName>
    <definedName name="SD_4270x1_4371x1_4606x10_9_B_0" localSheetId="0">MAPPING!$AI$304</definedName>
    <definedName name="SD_4270x1_4371x1_4606x11_5_B_1" localSheetId="0">MAPPING!$AF$305</definedName>
    <definedName name="SD_4270x1_4371x1_4606x11_6_B_1" localSheetId="0">MAPPING!$AE$305</definedName>
    <definedName name="SD_4270x1_4371x1_4606x11_7_B_0" localSheetId="0">MAPPING!$AH$305</definedName>
    <definedName name="SD_4270x1_4371x1_4606x11_8_B_0" localSheetId="0">MAPPING!$AG$305</definedName>
    <definedName name="SD_4270x1_4371x1_4606x11_9_B_0" localSheetId="0">MAPPING!$AI$305</definedName>
    <definedName name="SD_4270x1_4371x1_4606x12_5_B_1" localSheetId="0">MAPPING!$AF$306</definedName>
    <definedName name="SD_4270x1_4371x1_4606x12_6_B_1" localSheetId="0">MAPPING!$AE$306</definedName>
    <definedName name="SD_4270x1_4371x1_4606x12_7_B_0" localSheetId="0">MAPPING!$AH$306</definedName>
    <definedName name="SD_4270x1_4371x1_4606x12_8_B_0" localSheetId="0">MAPPING!$AG$306</definedName>
    <definedName name="SD_4270x1_4371x1_4606x12_9_B_0" localSheetId="0">MAPPING!$AI$306</definedName>
    <definedName name="SD_4270x1_4371x1_4606x13_5_B_1" localSheetId="0">MAPPING!$AF$307</definedName>
    <definedName name="SD_4270x1_4371x1_4606x13_6_B_1" localSheetId="0">MAPPING!$AE$307</definedName>
    <definedName name="SD_4270x1_4371x1_4606x13_7_B_0" localSheetId="0">MAPPING!$AH$307</definedName>
    <definedName name="SD_4270x1_4371x1_4606x13_8_B_0" localSheetId="0">MAPPING!$AG$307</definedName>
    <definedName name="SD_4270x1_4371x1_4606x13_9_B_0" localSheetId="0">MAPPING!$AI$307</definedName>
    <definedName name="SD_4270x1_4371x1_4606x14_5_B_1" localSheetId="0">MAPPING!$AF$308</definedName>
    <definedName name="SD_4270x1_4371x1_4606x14_6_B_1" localSheetId="0">MAPPING!$AE$308</definedName>
    <definedName name="SD_4270x1_4371x1_4606x14_7_B_0" localSheetId="0">MAPPING!$AH$308</definedName>
    <definedName name="SD_4270x1_4371x1_4606x14_8_B_0" localSheetId="0">MAPPING!$AG$308</definedName>
    <definedName name="SD_4270x1_4371x1_4606x14_9_B_0" localSheetId="0">MAPPING!$AI$308</definedName>
    <definedName name="SD_4270x1_4371x1_4606x15_5_B_1" localSheetId="0">MAPPING!$AF$309</definedName>
    <definedName name="SD_4270x1_4371x1_4606x15_6_B_1" localSheetId="0">MAPPING!$AE$309</definedName>
    <definedName name="SD_4270x1_4371x1_4606x15_7_B_0" localSheetId="0">MAPPING!$AH$309</definedName>
    <definedName name="SD_4270x1_4371x1_4606x15_8_B_0" localSheetId="0">MAPPING!$AG$309</definedName>
    <definedName name="SD_4270x1_4371x1_4606x15_9_B_0" localSheetId="0">MAPPING!$AI$309</definedName>
    <definedName name="SD_4270x1_4371x1_4606x16_5_B_1" localSheetId="0">MAPPING!$AF$310</definedName>
    <definedName name="SD_4270x1_4371x1_4606x16_6_B_1" localSheetId="0">MAPPING!$AE$310</definedName>
    <definedName name="SD_4270x1_4371x1_4606x16_7_B_0" localSheetId="0">MAPPING!$AH$310</definedName>
    <definedName name="SD_4270x1_4371x1_4606x16_8_B_0" localSheetId="0">MAPPING!$AG$310</definedName>
    <definedName name="SD_4270x1_4371x1_4606x16_9_B_0" localSheetId="0">MAPPING!$AI$310</definedName>
    <definedName name="SD_4270x1_4371x1_4606x17_5_B_1" localSheetId="0">MAPPING!$AF$311</definedName>
    <definedName name="SD_4270x1_4371x1_4606x17_6_B_1" localSheetId="0">MAPPING!$AE$311</definedName>
    <definedName name="SD_4270x1_4371x1_4606x17_7_B_0" localSheetId="0">MAPPING!$AH$311</definedName>
    <definedName name="SD_4270x1_4371x1_4606x17_8_B_0" localSheetId="0">MAPPING!$AG$311</definedName>
    <definedName name="SD_4270x1_4371x1_4606x17_9_B_0" localSheetId="0">MAPPING!$AI$311</definedName>
    <definedName name="SD_4270x1_4371x1_4606x18_5_B_1" localSheetId="0">MAPPING!$AF$312</definedName>
    <definedName name="SD_4270x1_4371x1_4606x18_6_B_1" localSheetId="0">MAPPING!$AE$312</definedName>
    <definedName name="SD_4270x1_4371x1_4606x18_7_B_0" localSheetId="0">MAPPING!$AH$312</definedName>
    <definedName name="SD_4270x1_4371x1_4606x18_8_B_0" localSheetId="0">MAPPING!$AG$312</definedName>
    <definedName name="SD_4270x1_4371x1_4606x18_9_B_0" localSheetId="0">MAPPING!$AI$312</definedName>
    <definedName name="SD_4270x1_4371x1_4606x19_5_B_1" localSheetId="0">MAPPING!$AF$313</definedName>
    <definedName name="SD_4270x1_4371x1_4606x19_6_B_1" localSheetId="0">MAPPING!$AE$313</definedName>
    <definedName name="SD_4270x1_4371x1_4606x19_7_B_0" localSheetId="0">MAPPING!$AH$313</definedName>
    <definedName name="SD_4270x1_4371x1_4606x19_8_B_0" localSheetId="0">MAPPING!$AG$313</definedName>
    <definedName name="SD_4270x1_4371x1_4606x19_9_B_0" localSheetId="0">MAPPING!$AI$313</definedName>
    <definedName name="SD_4270x1_4371x1_4606x2_5_B_1" localSheetId="0">MAPPING!$AF$296</definedName>
    <definedName name="SD_4270x1_4371x1_4606x2_6_B_1" localSheetId="0">MAPPING!$AE$296</definedName>
    <definedName name="SD_4270x1_4371x1_4606x2_7_B_0" localSheetId="0">MAPPING!$AH$296</definedName>
    <definedName name="SD_4270x1_4371x1_4606x2_8_B_0" localSheetId="0">MAPPING!$AG$296</definedName>
    <definedName name="SD_4270x1_4371x1_4606x2_9_B_0" localSheetId="0">MAPPING!$AI$296</definedName>
    <definedName name="SD_4270x1_4371x1_4606x20_5_B_1" localSheetId="0">MAPPING!$AF$314</definedName>
    <definedName name="SD_4270x1_4371x1_4606x20_6_B_1" localSheetId="0">MAPPING!$AE$314</definedName>
    <definedName name="SD_4270x1_4371x1_4606x20_7_B_0" localSheetId="0">MAPPING!$AH$314</definedName>
    <definedName name="SD_4270x1_4371x1_4606x20_8_B_0" localSheetId="0">MAPPING!$AG$314</definedName>
    <definedName name="SD_4270x1_4371x1_4606x20_9_B_0" localSheetId="0">MAPPING!$AI$314</definedName>
    <definedName name="SD_4270x1_4371x1_4606x21_5_B_1" localSheetId="0">MAPPING!$AF$315</definedName>
    <definedName name="SD_4270x1_4371x1_4606x21_6_B_1" localSheetId="0">MAPPING!$AE$315</definedName>
    <definedName name="SD_4270x1_4371x1_4606x21_7_B_0" localSheetId="0">MAPPING!$AH$315</definedName>
    <definedName name="SD_4270x1_4371x1_4606x21_8_B_0" localSheetId="0">MAPPING!$AG$315</definedName>
    <definedName name="SD_4270x1_4371x1_4606x21_9_B_0" localSheetId="0">MAPPING!$AI$315</definedName>
    <definedName name="SD_4270x1_4371x1_4606x22_5_B_1" localSheetId="0">MAPPING!$AF$316</definedName>
    <definedName name="SD_4270x1_4371x1_4606x22_6_B_1" localSheetId="0">MAPPING!$AE$316</definedName>
    <definedName name="SD_4270x1_4371x1_4606x22_7_B_0" localSheetId="0">MAPPING!$AH$316</definedName>
    <definedName name="SD_4270x1_4371x1_4606x22_8_B_0" localSheetId="0">MAPPING!$AG$316</definedName>
    <definedName name="SD_4270x1_4371x1_4606x22_9_B_0" localSheetId="0">MAPPING!$AI$316</definedName>
    <definedName name="SD_4270x1_4371x1_4606x23_5_B_1" localSheetId="0">MAPPING!$AF$317</definedName>
    <definedName name="SD_4270x1_4371x1_4606x23_6_B_1" localSheetId="0">MAPPING!$AE$317</definedName>
    <definedName name="SD_4270x1_4371x1_4606x23_7_B_0" localSheetId="0">MAPPING!$AH$317</definedName>
    <definedName name="SD_4270x1_4371x1_4606x23_8_B_0" localSheetId="0">MAPPING!$AG$317</definedName>
    <definedName name="SD_4270x1_4371x1_4606x23_9_B_0" localSheetId="0">MAPPING!$AI$317</definedName>
    <definedName name="SD_4270x1_4371x1_4606x24_5_B_1" localSheetId="0">MAPPING!$AF$318</definedName>
    <definedName name="SD_4270x1_4371x1_4606x24_6_B_1" localSheetId="0">MAPPING!$AE$318</definedName>
    <definedName name="SD_4270x1_4371x1_4606x24_7_B_0" localSheetId="0">MAPPING!$AH$318</definedName>
    <definedName name="SD_4270x1_4371x1_4606x24_8_B_0" localSheetId="0">MAPPING!$AG$318</definedName>
    <definedName name="SD_4270x1_4371x1_4606x24_9_B_0" localSheetId="0">MAPPING!$AI$318</definedName>
    <definedName name="SD_4270x1_4371x1_4606x25_5_B_1" localSheetId="0">MAPPING!$AF$319</definedName>
    <definedName name="SD_4270x1_4371x1_4606x25_6_B_1" localSheetId="0">MAPPING!$AE$319</definedName>
    <definedName name="SD_4270x1_4371x1_4606x25_7_B_0" localSheetId="0">MAPPING!$AH$319</definedName>
    <definedName name="SD_4270x1_4371x1_4606x25_8_B_0" localSheetId="0">MAPPING!$AG$319</definedName>
    <definedName name="SD_4270x1_4371x1_4606x25_9_B_0" localSheetId="0">MAPPING!$AI$319</definedName>
    <definedName name="SD_4270x1_4371x1_4606x26_5_B_1" localSheetId="0">MAPPING!$AF$320</definedName>
    <definedName name="SD_4270x1_4371x1_4606x26_6_B_1" localSheetId="0">MAPPING!$AE$320</definedName>
    <definedName name="SD_4270x1_4371x1_4606x26_7_B_0" localSheetId="0">MAPPING!$AH$320</definedName>
    <definedName name="SD_4270x1_4371x1_4606x26_8_B_0" localSheetId="0">MAPPING!$AG$320</definedName>
    <definedName name="SD_4270x1_4371x1_4606x26_9_B_0" localSheetId="0">MAPPING!$AI$320</definedName>
    <definedName name="SD_4270x1_4371x1_4606x27_5_B_1" localSheetId="0">MAPPING!$AF$321</definedName>
    <definedName name="SD_4270x1_4371x1_4606x27_6_B_1" localSheetId="0">MAPPING!$AE$321</definedName>
    <definedName name="SD_4270x1_4371x1_4606x27_7_B_0" localSheetId="0">MAPPING!$AH$321</definedName>
    <definedName name="SD_4270x1_4371x1_4606x27_8_B_0" localSheetId="0">MAPPING!$AG$321</definedName>
    <definedName name="SD_4270x1_4371x1_4606x27_9_B_0" localSheetId="0">MAPPING!$AI$321</definedName>
    <definedName name="SD_4270x1_4371x1_4606x28_5_B_1" localSheetId="0">MAPPING!$AF$322</definedName>
    <definedName name="SD_4270x1_4371x1_4606x28_6_B_1" localSheetId="0">MAPPING!$AE$322</definedName>
    <definedName name="SD_4270x1_4371x1_4606x28_7_B_0" localSheetId="0">MAPPING!$AH$322</definedName>
    <definedName name="SD_4270x1_4371x1_4606x28_8_B_0" localSheetId="0">MAPPING!$AG$322</definedName>
    <definedName name="SD_4270x1_4371x1_4606x28_9_B_0" localSheetId="0">MAPPING!$AI$322</definedName>
    <definedName name="SD_4270x1_4371x1_4606x29_5_B_1" localSheetId="0">MAPPING!$AF$323</definedName>
    <definedName name="SD_4270x1_4371x1_4606x29_6_B_1" localSheetId="0">MAPPING!$AE$323</definedName>
    <definedName name="SD_4270x1_4371x1_4606x29_7_B_0" localSheetId="0">MAPPING!$AH$323</definedName>
    <definedName name="SD_4270x1_4371x1_4606x29_8_B_0" localSheetId="0">MAPPING!$AG$323</definedName>
    <definedName name="SD_4270x1_4371x1_4606x29_9_B_0" localSheetId="0">MAPPING!$AI$323</definedName>
    <definedName name="SD_4270x1_4371x1_4606x3_5_B_1" localSheetId="0">MAPPING!$AF$297</definedName>
    <definedName name="SD_4270x1_4371x1_4606x3_6_B_1" localSheetId="0">MAPPING!$AE$297</definedName>
    <definedName name="SD_4270x1_4371x1_4606x3_7_B_0" localSheetId="0">MAPPING!$AH$297</definedName>
    <definedName name="SD_4270x1_4371x1_4606x3_8_B_0" localSheetId="0">MAPPING!$AG$297</definedName>
    <definedName name="SD_4270x1_4371x1_4606x3_9_B_0" localSheetId="0">MAPPING!$AI$297</definedName>
    <definedName name="SD_4270x1_4371x1_4606x30_5_B_1" localSheetId="0">MAPPING!$AF$324</definedName>
    <definedName name="SD_4270x1_4371x1_4606x30_6_B_1" localSheetId="0">MAPPING!$AE$324</definedName>
    <definedName name="SD_4270x1_4371x1_4606x30_7_B_0" localSheetId="0">MAPPING!$AH$324</definedName>
    <definedName name="SD_4270x1_4371x1_4606x30_8_B_0" localSheetId="0">MAPPING!$AG$324</definedName>
    <definedName name="SD_4270x1_4371x1_4606x30_9_B_0" localSheetId="0">MAPPING!$AI$324</definedName>
    <definedName name="SD_4270x1_4371x1_4606x31_5_B_1" localSheetId="0">MAPPING!$AF$325</definedName>
    <definedName name="SD_4270x1_4371x1_4606x31_6_B_1" localSheetId="0">MAPPING!$AE$325</definedName>
    <definedName name="SD_4270x1_4371x1_4606x31_7_B_0" localSheetId="0">MAPPING!$AH$325</definedName>
    <definedName name="SD_4270x1_4371x1_4606x31_8_B_0" localSheetId="0">MAPPING!$AG$325</definedName>
    <definedName name="SD_4270x1_4371x1_4606x31_9_B_0" localSheetId="0">MAPPING!$AI$325</definedName>
    <definedName name="SD_4270x1_4371x1_4606x32_5_B_1" localSheetId="0">MAPPING!$AF$326</definedName>
    <definedName name="SD_4270x1_4371x1_4606x32_6_B_1" localSheetId="0">MAPPING!$AE$326</definedName>
    <definedName name="SD_4270x1_4371x1_4606x32_7_B_0" localSheetId="0">MAPPING!$AH$326</definedName>
    <definedName name="SD_4270x1_4371x1_4606x32_8_B_0" localSheetId="0">MAPPING!$AG$326</definedName>
    <definedName name="SD_4270x1_4371x1_4606x32_9_B_0" localSheetId="0">MAPPING!$AI$326</definedName>
    <definedName name="SD_4270x1_4371x1_4606x33_5_B_1" localSheetId="0">MAPPING!$AF$327</definedName>
    <definedName name="SD_4270x1_4371x1_4606x33_6_B_1" localSheetId="0">MAPPING!$AE$327</definedName>
    <definedName name="SD_4270x1_4371x1_4606x33_7_B_0" localSheetId="0">MAPPING!$AH$327</definedName>
    <definedName name="SD_4270x1_4371x1_4606x33_8_B_0" localSheetId="0">MAPPING!$AG$327</definedName>
    <definedName name="SD_4270x1_4371x1_4606x33_9_B_0" localSheetId="0">MAPPING!$AI$327</definedName>
    <definedName name="SD_4270x1_4371x1_4606x34_5_B_1" localSheetId="0">MAPPING!$AF$328</definedName>
    <definedName name="SD_4270x1_4371x1_4606x34_6_B_1" localSheetId="0">MAPPING!$AE$328</definedName>
    <definedName name="SD_4270x1_4371x1_4606x34_7_B_0" localSheetId="0">MAPPING!$AH$328</definedName>
    <definedName name="SD_4270x1_4371x1_4606x34_8_B_0" localSheetId="0">MAPPING!$AG$328</definedName>
    <definedName name="SD_4270x1_4371x1_4606x34_9_B_0" localSheetId="0">MAPPING!$AI$328</definedName>
    <definedName name="SD_4270x1_4371x1_4606x35_5_B_1" localSheetId="0">MAPPING!$AF$329</definedName>
    <definedName name="SD_4270x1_4371x1_4606x35_6_B_1" localSheetId="0">MAPPING!$AE$329</definedName>
    <definedName name="SD_4270x1_4371x1_4606x35_7_B_0" localSheetId="0">MAPPING!$AH$329</definedName>
    <definedName name="SD_4270x1_4371x1_4606x35_8_B_0" localSheetId="0">MAPPING!$AG$329</definedName>
    <definedName name="SD_4270x1_4371x1_4606x35_9_B_0" localSheetId="0">MAPPING!$AI$329</definedName>
    <definedName name="SD_4270x1_4371x1_4606x36_5_B_1" localSheetId="0">MAPPING!$AF$330</definedName>
    <definedName name="SD_4270x1_4371x1_4606x36_6_B_1" localSheetId="0">MAPPING!$AE$330</definedName>
    <definedName name="SD_4270x1_4371x1_4606x36_7_B_0" localSheetId="0">MAPPING!$AH$330</definedName>
    <definedName name="SD_4270x1_4371x1_4606x36_8_B_0" localSheetId="0">MAPPING!$AG$330</definedName>
    <definedName name="SD_4270x1_4371x1_4606x36_9_B_0" localSheetId="0">MAPPING!$AI$330</definedName>
    <definedName name="SD_4270x1_4371x1_4606x37_5_B_1" localSheetId="0">MAPPING!$AF$331</definedName>
    <definedName name="SD_4270x1_4371x1_4606x37_6_B_1" localSheetId="0">MAPPING!$AE$331</definedName>
    <definedName name="SD_4270x1_4371x1_4606x37_7_B_0" localSheetId="0">MAPPING!$AH$331</definedName>
    <definedName name="SD_4270x1_4371x1_4606x37_8_B_0" localSheetId="0">MAPPING!$AG$331</definedName>
    <definedName name="SD_4270x1_4371x1_4606x37_9_B_0" localSheetId="0">MAPPING!$AI$331</definedName>
    <definedName name="SD_4270x1_4371x1_4606x38_5_B_1" localSheetId="0">MAPPING!$AF$332</definedName>
    <definedName name="SD_4270x1_4371x1_4606x38_6_B_1" localSheetId="0">MAPPING!$AE$332</definedName>
    <definedName name="SD_4270x1_4371x1_4606x38_7_B_0" localSheetId="0">MAPPING!$AH$332</definedName>
    <definedName name="SD_4270x1_4371x1_4606x38_8_B_0" localSheetId="0">MAPPING!$AG$332</definedName>
    <definedName name="SD_4270x1_4371x1_4606x38_9_B_0" localSheetId="0">MAPPING!$AI$332</definedName>
    <definedName name="SD_4270x1_4371x1_4606x39_5_B_1" localSheetId="0">MAPPING!$AF$333</definedName>
    <definedName name="SD_4270x1_4371x1_4606x39_6_B_1" localSheetId="0">MAPPING!$AE$333</definedName>
    <definedName name="SD_4270x1_4371x1_4606x39_7_B_0" localSheetId="0">MAPPING!$AH$333</definedName>
    <definedName name="SD_4270x1_4371x1_4606x39_8_B_0" localSheetId="0">MAPPING!$AG$333</definedName>
    <definedName name="SD_4270x1_4371x1_4606x39_9_B_0" localSheetId="0">MAPPING!$AI$333</definedName>
    <definedName name="SD_4270x1_4371x1_4606x4_5_B_1" localSheetId="0">MAPPING!$AF$298</definedName>
    <definedName name="SD_4270x1_4371x1_4606x4_6_B_1" localSheetId="0">MAPPING!$AE$298</definedName>
    <definedName name="SD_4270x1_4371x1_4606x4_7_B_0" localSheetId="0">MAPPING!$AH$298</definedName>
    <definedName name="SD_4270x1_4371x1_4606x4_8_B_0" localSheetId="0">MAPPING!$AG$298</definedName>
    <definedName name="SD_4270x1_4371x1_4606x4_9_B_0" localSheetId="0">MAPPING!$AI$298</definedName>
    <definedName name="SD_4270x1_4371x1_4606x40_5_B_1" localSheetId="0">MAPPING!$AF$334</definedName>
    <definedName name="SD_4270x1_4371x1_4606x40_6_B_1" localSheetId="0">MAPPING!$AE$334</definedName>
    <definedName name="SD_4270x1_4371x1_4606x40_7_B_0" localSheetId="0">MAPPING!$AH$334</definedName>
    <definedName name="SD_4270x1_4371x1_4606x40_8_B_0" localSheetId="0">MAPPING!$AG$334</definedName>
    <definedName name="SD_4270x1_4371x1_4606x40_9_B_0" localSheetId="0">MAPPING!$AI$334</definedName>
    <definedName name="SD_4270x1_4371x1_4606x41_5_B_1" localSheetId="0">MAPPING!$AF$335</definedName>
    <definedName name="SD_4270x1_4371x1_4606x41_6_B_1" localSheetId="0">MAPPING!$AE$335</definedName>
    <definedName name="SD_4270x1_4371x1_4606x41_7_B_0" localSheetId="0">MAPPING!$AH$335</definedName>
    <definedName name="SD_4270x1_4371x1_4606x41_8_B_0" localSheetId="0">MAPPING!$AG$335</definedName>
    <definedName name="SD_4270x1_4371x1_4606x41_9_B_0" localSheetId="0">MAPPING!$AI$335</definedName>
    <definedName name="SD_4270x1_4371x1_4606x5_5_B_1" localSheetId="0">MAPPING!$AF$299</definedName>
    <definedName name="SD_4270x1_4371x1_4606x5_6_B_1" localSheetId="0">MAPPING!$AE$299</definedName>
    <definedName name="SD_4270x1_4371x1_4606x5_7_B_0" localSheetId="0">MAPPING!$AH$299</definedName>
    <definedName name="SD_4270x1_4371x1_4606x5_8_B_0" localSheetId="0">MAPPING!$AG$299</definedName>
    <definedName name="SD_4270x1_4371x1_4606x5_9_B_0" localSheetId="0">MAPPING!$AI$299</definedName>
    <definedName name="SD_4270x1_4371x1_4606x6_5_B_1" localSheetId="0">MAPPING!$AF$300</definedName>
    <definedName name="SD_4270x1_4371x1_4606x6_6_B_1" localSheetId="0">MAPPING!$AE$300</definedName>
    <definedName name="SD_4270x1_4371x1_4606x6_7_B_0" localSheetId="0">MAPPING!$AH$300</definedName>
    <definedName name="SD_4270x1_4371x1_4606x6_8_B_0" localSheetId="0">MAPPING!$AG$300</definedName>
    <definedName name="SD_4270x1_4371x1_4606x6_9_B_0" localSheetId="0">MAPPING!$AI$300</definedName>
    <definedName name="SD_4270x1_4371x1_4606x7_5_B_1" localSheetId="0">MAPPING!$AF$301</definedName>
    <definedName name="SD_4270x1_4371x1_4606x7_6_B_1" localSheetId="0">MAPPING!$AE$301</definedName>
    <definedName name="SD_4270x1_4371x1_4606x7_7_B_0" localSheetId="0">MAPPING!$AH$301</definedName>
    <definedName name="SD_4270x1_4371x1_4606x7_8_B_0" localSheetId="0">MAPPING!$AG$301</definedName>
    <definedName name="SD_4270x1_4371x1_4606x7_9_B_0" localSheetId="0">MAPPING!$AI$301</definedName>
    <definedName name="SD_4270x1_4371x1_4606x8_5_B_1" localSheetId="0">MAPPING!$AF$302</definedName>
    <definedName name="SD_4270x1_4371x1_4606x8_6_B_1" localSheetId="0">MAPPING!$AE$302</definedName>
    <definedName name="SD_4270x1_4371x1_4606x8_7_B_0" localSheetId="0">MAPPING!$AH$302</definedName>
    <definedName name="SD_4270x1_4371x1_4606x8_8_B_0" localSheetId="0">MAPPING!$AG$302</definedName>
    <definedName name="SD_4270x1_4371x1_4606x8_9_B_0" localSheetId="0">MAPPING!$AI$302</definedName>
    <definedName name="SD_4270x1_4371x1_4606x9_5_B_1" localSheetId="0">MAPPING!$AF$303</definedName>
    <definedName name="SD_4270x1_4371x1_4606x9_6_B_1" localSheetId="0">MAPPING!$AE$303</definedName>
    <definedName name="SD_4270x1_4371x1_4606x9_7_B_0" localSheetId="0">MAPPING!$AH$303</definedName>
    <definedName name="SD_4270x1_4371x1_4606x9_8_B_0" localSheetId="0">MAPPING!$AG$303</definedName>
    <definedName name="SD_4270x1_4371x1_4606x9_9_B_0" localSheetId="0">MAPPING!$AI$303</definedName>
    <definedName name="SD_4270x1_4371x1_5315x1_1006_B_0" localSheetId="0" hidden="1">MAPPING!$N$59</definedName>
    <definedName name="SD_4270x1_4371x1_5315x1_1007_B_0" localSheetId="0">MAPPING!$N$60</definedName>
    <definedName name="SD_4270x1_4371x1_5315x1_1008_B_0" localSheetId="0" hidden="1">MAPPING!$Z$528</definedName>
    <definedName name="SD_4270x1_4371x1_5315x1_1009_B_0" localSheetId="0" hidden="1">MAPPING!$Z$529</definedName>
    <definedName name="SD_4270x1_4371x1_5315x1_1010_B_0" localSheetId="0" hidden="1">MAPPING!$Z$542</definedName>
    <definedName name="SD_4270x1_4371x1_5315x1_1011_B_0" localSheetId="0" hidden="1">MAPPING!$Z$544</definedName>
    <definedName name="SD_4270x1_4371x1_5315x1_1012_B_0" localSheetId="0" hidden="1">MAPPING!$Z$569</definedName>
    <definedName name="SD_4270x1_4371x1_5315x1_1013_B_0" localSheetId="0" hidden="1">MAPPING!$Z$581</definedName>
    <definedName name="SD_4270x1_4371x1_5315x1_1014_B_0" localSheetId="0" hidden="1">MAPPING!$Z$582</definedName>
    <definedName name="SD_4270x1_4371x1_5315x1_1015_B_0" localSheetId="0" hidden="1">MAPPING!$Z$585</definedName>
    <definedName name="SD_4270x1_4371x1_5315x1_1016_B_0" localSheetId="0" hidden="1">MAPPING!$Z$591</definedName>
    <definedName name="SD_4270x1_4371x1_5315x1_1017_B_0" localSheetId="0" hidden="1">MAPPING!$Z$605</definedName>
    <definedName name="SD_4270x1_4371x1_5315x1_1018_B_0" localSheetId="0" hidden="1">MAPPING!$Z$590</definedName>
    <definedName name="SD_4270x1_4371x1_5315x1_1019_B_0" localSheetId="0" hidden="1">MAPPING!$Z$596</definedName>
    <definedName name="SD_4270x1_4371x1_5315x1_1020_B_0" localSheetId="0" hidden="1">MAPPING!$Z$598</definedName>
    <definedName name="SD_4270x1_4371x1_5315x1_1021_B_0" localSheetId="0" hidden="1">MAPPING!$Z$599</definedName>
    <definedName name="SD_4270x1_4371x1_5315x1_1022_B_0" localSheetId="0" hidden="1">MAPPING!$Z$600</definedName>
    <definedName name="SD_4270x1_4371x1_5315x1_1024_B_0" localSheetId="0" hidden="1">MAPPING!$Z$602</definedName>
    <definedName name="SD_4270x1_4371x1_5315x1_1025_B_0" localSheetId="0" hidden="1">MAPPING!$Z$573</definedName>
    <definedName name="SD_4270x1_4371x1_5315x1_1026_B_0" localSheetId="0" hidden="1">MAPPING!$Z$575</definedName>
    <definedName name="SD_4270x1_4371x1_5315x1_1027_B_0" localSheetId="0" hidden="1">MAPPING!$Z$576</definedName>
    <definedName name="SD_4270x1_4371x1_5315x1_195_B_1" localSheetId="0">MAPPING!$N$100</definedName>
    <definedName name="SD_4270x1_4371x1_5315x1_196_B_1" localSheetId="0">MAPPING!$N$101</definedName>
    <definedName name="SD_4270x1_4371x1_5315x1_197_B_1" localSheetId="0">MAPPING!$N$103</definedName>
    <definedName name="SD_4270x1_4371x1_5315x1_198_B_0" localSheetId="0">MAPPING!$N$107</definedName>
    <definedName name="SD_4270x1_4371x1_5315x1_199_B_0" localSheetId="0">MAPPING!$N$110</definedName>
    <definedName name="SD_4270x1_4371x1_5315x1_200_B_0" localSheetId="0">MAPPING!$N$111</definedName>
    <definedName name="SD_4270x1_4371x1_5315x1_201_B_0" localSheetId="0">MAPPING!$N$112</definedName>
    <definedName name="SD_4270x1_4371x1_5315x1_203_B_1" localSheetId="0">MAPPING!$N$114</definedName>
    <definedName name="SD_4270x1_4371x1_5315x1_204_B_0" localSheetId="0">MAPPING!$N$115</definedName>
    <definedName name="SD_4270x1_4371x1_5315x1_205_B_0" localSheetId="0">MAPPING!$N$116</definedName>
    <definedName name="SD_4270x1_4371x1_5315x1_206_B_0" localSheetId="0">MAPPING!$N$117</definedName>
    <definedName name="SD_4270x1_4371x1_5315x1_207_B_0" localSheetId="0">MAPPING!$N$94</definedName>
    <definedName name="SD_4270x1_4371x1_5315x1_208_B_0" localSheetId="0">MAPPING!$N$95</definedName>
    <definedName name="SD_4270x1_4371x1_5315x1_209_B_0" localSheetId="0">MAPPING!$N$96</definedName>
    <definedName name="SD_4270x1_4371x1_5315x1_211_B_1" localSheetId="0">MAPPING!$N$97</definedName>
    <definedName name="SD_4270x1_4371x1_5315x1_212_B_1" localSheetId="0">MAPPING!$N$98</definedName>
    <definedName name="SD_4270x1_4371x1_5315x1_215_B_0" localSheetId="0">MAPPING!$N$53</definedName>
    <definedName name="SD_4270x1_4371x1_5315x1_216_B_0" localSheetId="0">MAPPING!$N$54</definedName>
    <definedName name="SD_4270x1_4371x1_5315x1_217_B_0" localSheetId="0">MAPPING!$N$55</definedName>
    <definedName name="SD_4270x1_4371x1_5315x1_218_B_0" localSheetId="0">MAPPING!$N$56</definedName>
    <definedName name="SD_4270x1_4371x1_5315x1_219_B_0" localSheetId="0">MAPPING!$N$57</definedName>
    <definedName name="SD_4270x1_4371x1_5315x1_220_B_0" localSheetId="0">MAPPING!$N$58</definedName>
    <definedName name="SD_4270x1_4371x1_5315x1_221_B_1" localSheetId="0">MAPPING!$N$65</definedName>
    <definedName name="SD_4270x1_4371x1_5315x1_251_B_0" localSheetId="0">MAPPING!$M$398</definedName>
    <definedName name="SD_4270x1_4371x1_5315x1_252_B_0" localSheetId="0">MAPPING!$M$397</definedName>
    <definedName name="SD_4270x1_4371x1_5315x1_253_B_0" localSheetId="0">MAPPING!$M$390</definedName>
    <definedName name="SD_4270x1_4371x1_5315x1_254_B_0" localSheetId="0">MAPPING!$M$396</definedName>
    <definedName name="SD_4270x1_4371x1_5315x1_255_B_0" localSheetId="0">MAPPING!$M$400</definedName>
    <definedName name="SD_4270x1_4371x1_5315x1_256_B_0" localSheetId="0">MAPPING!$M$413</definedName>
    <definedName name="SD_4270x1_4371x1_5315x1_257_B_0" localSheetId="0">MAPPING!$M$429</definedName>
    <definedName name="SD_4270x1_4371x1_5315x1_258_B_0" localSheetId="0">MAPPING!$M$428</definedName>
    <definedName name="SD_4270x1_4371x1_5315x1_259_B_0" localSheetId="0">MAPPING!$M$433</definedName>
    <definedName name="SD_4270x1_4371x1_5315x1_260_B_0" localSheetId="0">MAPPING!$M$434</definedName>
    <definedName name="SD_4270x1_4371x1_5315x1_261_B_0" localSheetId="0">MAPPING!$M$435</definedName>
    <definedName name="SD_4270x1_4371x1_5315x1_262_B_0" localSheetId="0">MAPPING!$M$444</definedName>
    <definedName name="SD_4270x1_4371x1_5315x1_263_B_0" localSheetId="0">MAPPING!$N$104</definedName>
    <definedName name="SD_4270x1_4371x1_5315x1_264_B_0" localSheetId="0">MAPPING!$N$105</definedName>
    <definedName name="SD_4270x1_4371x1_5315x1_265_B_0" localSheetId="0">MAPPING!$N$106</definedName>
    <definedName name="SD_4270x1_4371x1_5315x1_266_B_0" localSheetId="0">MAPPING!$N$108</definedName>
    <definedName name="SD_4270x1_4371x1_5315x1_267_B_0" localSheetId="0">MAPPING!$N$109</definedName>
    <definedName name="SD_4270x1_4371x1_5315x1_268_B_0" localSheetId="0">MAPPING!$N$113</definedName>
    <definedName name="SD_4270x1_4371x1_5315x1_270_B_0" localSheetId="0">MAPPING!$N$90</definedName>
    <definedName name="SD_4270x1_4371x1_5315x1_271_B_0" localSheetId="0">MAPPING!$N$91</definedName>
    <definedName name="SD_4270x1_4371x1_5315x1_272_B_0" localSheetId="0">MAPPING!$N$92</definedName>
    <definedName name="SD_4270x1_4371x1_5315x1_273_B_0" localSheetId="0">MAPPING!$N$93</definedName>
    <definedName name="SD_4270x1_4371x1_5315x1_274_B_1" localSheetId="0">MAPPING!$I$667</definedName>
    <definedName name="SD_4270x1_4371x1_5315x1_275_B_0" localSheetId="0">MAPPING!$I$668</definedName>
    <definedName name="SD_4270x1_4371x1_5315x1_276_B_1" localSheetId="0">MAPPING!$M$669</definedName>
    <definedName name="SD_4270x1_4371x1_5315x1_279_B_1" localSheetId="0">MAPPING!$M$681</definedName>
    <definedName name="SD_4270x1_4371x1_5315x1_280_B_1" localSheetId="0">MAPPING!$M$683</definedName>
    <definedName name="SD_4270x1_4371x1_5315x1_286_B_0" localSheetId="0">MAPPING!$I$686</definedName>
    <definedName name="SD_4270x1_4371x1_5315x1_287_B_0" localSheetId="0">MAPPING!$I$687</definedName>
    <definedName name="SD_4270x1_4371x1_5315x1_288_B_0" localSheetId="0">MAPPING!$I$688</definedName>
    <definedName name="SD_4270x1_4371x1_5315x1_289_B_0" localSheetId="0">MAPPING!$I$689</definedName>
    <definedName name="SD_4270x1_4371x1_5315x1_290_B_0" localSheetId="0">MAPPING!$I$690</definedName>
    <definedName name="SD_4270x1_4371x1_5315x1_291_B_0" localSheetId="0">MAPPING!$I$691</definedName>
    <definedName name="SD_4270x1_4371x1_5315x1_292_B_0" localSheetId="0">MAPPING!$I$696</definedName>
    <definedName name="SD_4270x1_4371x1_5315x1_293_B_0" localSheetId="0">MAPPING!$I$697</definedName>
    <definedName name="SD_4270x1_4371x1_5315x1_294_B_0" localSheetId="0">MAPPING!$I$698</definedName>
    <definedName name="SD_4270x1_4371x1_5315x1_295_B_0" localSheetId="0">MAPPING!$I$699</definedName>
    <definedName name="SD_4270x1_4371x1_5315x1_296_B_0" localSheetId="0">MAPPING!$I$700</definedName>
    <definedName name="SD_4270x1_4371x1_5315x1_297_B_0" localSheetId="0">MAPPING!$I$701</definedName>
    <definedName name="SD_4270x1_4371x1_5315x1_304_B_0" localSheetId="0">MAPPING!$I$716</definedName>
    <definedName name="SD_4270x1_4371x1_5315x1_305_B_0" localSheetId="0">MAPPING!$I$717</definedName>
    <definedName name="SD_4270x1_4371x1_5315x1_306_B_0" localSheetId="0">MAPPING!$I$718</definedName>
    <definedName name="SD_4270x1_4371x1_5315x1_307_B_0" localSheetId="0">MAPPING!$I$719</definedName>
    <definedName name="SD_4270x1_4371x1_5315x1_308_B_0" localSheetId="0">MAPPING!$I$720</definedName>
    <definedName name="SD_4270x1_4371x1_5315x1_309_B_0" localSheetId="0">MAPPING!$I$721</definedName>
    <definedName name="SD_4270x1_4371x1_5315x1_310_B_0" localSheetId="0">MAPPING!$I$722</definedName>
    <definedName name="SD_4270x1_4371x1_5315x1_311_B_0" localSheetId="0">MAPPING!$I$723</definedName>
    <definedName name="SD_4270x1_4371x1_5315x1_312_B_0" localSheetId="0">MAPPING!$I$724</definedName>
    <definedName name="SD_4270x1_4371x1_5315x1_314_B_0" localSheetId="0">MAPPING!$I$726</definedName>
    <definedName name="SD_4270x1_4371x1_5315x1_315_B_0" localSheetId="0">MAPPING!$I$727</definedName>
    <definedName name="SD_4270x1_4371x1_5315x1_316_B_0" localSheetId="0">MAPPING!$I$728</definedName>
    <definedName name="SD_4270x1_4371x1_5315x1_317_B_0" localSheetId="0">MAPPING!$I$729</definedName>
    <definedName name="SD_4270x1_4371x1_5315x1_318_B_0" localSheetId="0">MAPPING!$I$730</definedName>
    <definedName name="SD_4270x1_4371x1_5315x1_319_B_0" localSheetId="0">MAPPING!$I$731</definedName>
    <definedName name="SD_4270x1_4371x1_5315x1_320_B_0" localSheetId="0">MAPPING!$I$732</definedName>
    <definedName name="SD_4270x1_4371x1_5315x1_321_B_0" localSheetId="0">MAPPING!$I$733</definedName>
    <definedName name="SD_4270x1_4371x1_5315x1_322_B_0" localSheetId="0">MAPPING!$I$734</definedName>
    <definedName name="SD_4270x1_4371x1_5315x1_323_B_0" localSheetId="0">MAPPING!$I$735</definedName>
    <definedName name="SD_4270x1_4371x1_5315x1_324_B_0" localSheetId="0">MAPPING!$I$736</definedName>
    <definedName name="SD_4270x1_4371x1_5315x1_325_B_0" localSheetId="0">MAPPING!$Z$517</definedName>
    <definedName name="SD_4270x1_4371x1_5315x1_326_B_0" localSheetId="0">MAPPING!$Z$518</definedName>
    <definedName name="SD_4270x1_4371x1_5315x1_327_B_0" localSheetId="0">MAPPING!$Z$519</definedName>
    <definedName name="SD_4270x1_4371x1_5315x1_328_B_0" localSheetId="0">MAPPING!$Z$524</definedName>
    <definedName name="SD_4270x1_4371x1_5315x1_329_B_0" localSheetId="0">MAPPING!$Z$526</definedName>
    <definedName name="SD_4270x1_4371x1_5315x1_330_B_0" localSheetId="0">MAPPING!$Z$557</definedName>
    <definedName name="SD_4270x1_4371x1_5315x1_331_B_0" localSheetId="0">MAPPING!$Z$531</definedName>
    <definedName name="SD_4270x1_4371x1_5315x1_332_B_0" localSheetId="0">MAPPING!$Z$532</definedName>
    <definedName name="SD_4270x1_4371x1_5315x1_333_B_0" localSheetId="0">MAPPING!$Z$536</definedName>
    <definedName name="SD_4270x1_4371x1_5315x1_334_B_0" localSheetId="0">MAPPING!$Z$537</definedName>
    <definedName name="SD_4270x1_4371x1_5315x1_335_B_0" localSheetId="0">MAPPING!$Z$541</definedName>
    <definedName name="SD_4270x1_4371x1_5315x1_336_B_0" localSheetId="0">MAPPING!$Z$543</definedName>
    <definedName name="SD_4270x1_4371x1_5315x1_337_B_0" localSheetId="0">MAPPING!$Z$545</definedName>
    <definedName name="SD_4270x1_4371x1_5315x1_338_B_0" localSheetId="0">MAPPING!$Z$546</definedName>
    <definedName name="SD_4270x1_4371x1_5315x1_339_B_0" localSheetId="0">MAPPING!$Z$558</definedName>
    <definedName name="SD_4270x1_4371x1_5315x1_340_B_0" localSheetId="0">MAPPING!$Z$547</definedName>
    <definedName name="SD_4270x1_4371x1_5315x1_341_B_0" localSheetId="0">MAPPING!$Z$559</definedName>
    <definedName name="SD_4270x1_4371x1_5315x1_342_B_0" localSheetId="0">MAPPING!$Z$548</definedName>
    <definedName name="SD_4270x1_4371x1_5315x1_343_B_0" localSheetId="0">MAPPING!$Z$560</definedName>
    <definedName name="SD_4270x1_4371x1_5315x1_344_B_0" localSheetId="0">MAPPING!$Z$549</definedName>
    <definedName name="SD_4270x1_4371x1_5315x1_345_B_0" localSheetId="0">MAPPING!$Z$561</definedName>
    <definedName name="SD_4270x1_4371x1_5315x1_346_B_0" localSheetId="0">MAPPING!$Z$550</definedName>
    <definedName name="SD_4270x1_4371x1_5315x1_347_B_0" localSheetId="0">MAPPING!$Z$562</definedName>
    <definedName name="SD_4270x1_4371x1_5315x1_348_B_0" localSheetId="0">MAPPING!$Z$551</definedName>
    <definedName name="SD_4270x1_4371x1_5315x1_349_B_0" localSheetId="0">MAPPING!$Z$568</definedName>
    <definedName name="SD_4270x1_4371x1_5315x1_350_B_0" localSheetId="0">MAPPING!$Z$570</definedName>
    <definedName name="SD_4270x1_4371x1_5315x1_351_B_0" localSheetId="0">MAPPING!$Z$578</definedName>
    <definedName name="SD_4270x1_4371x1_5315x1_352_B_0" localSheetId="0">MAPPING!$Z$579</definedName>
    <definedName name="SD_4270x1_4371x1_5315x1_355_B_0" localSheetId="0">MAPPING!$Z$580</definedName>
    <definedName name="SD_4270x1_4371x1_5315x1_356_B_0" localSheetId="0" hidden="1">MAPPING!$Z$583</definedName>
    <definedName name="SD_4270x1_4371x1_5315x1_357_B_0" localSheetId="0" hidden="1">MAPPING!$Z$584</definedName>
    <definedName name="SD_4270x1_4371x1_5315x1_358_B_0" localSheetId="0">MAPPING!$Z$616</definedName>
    <definedName name="SD_4270x1_4371x1_5315x1_359_B_0" localSheetId="0" hidden="1">MAPPING!$Z$612</definedName>
    <definedName name="SD_4270x1_4371x1_5315x1_361_B_0" localSheetId="0" hidden="1">MAPPING!$Z$586</definedName>
    <definedName name="SD_4270x1_4371x1_5315x1_362_B_0" localSheetId="0" hidden="1">MAPPING!$Z$587</definedName>
    <definedName name="SD_4270x1_4371x1_5315x1_363_B_0" localSheetId="0" hidden="1">MAPPING!$Z$589</definedName>
    <definedName name="SD_4270x1_4371x1_5315x1_364_B_0" localSheetId="0" hidden="1">MAPPING!$Z$597</definedName>
    <definedName name="SD_4270x1_4371x1_5315x1_365_B_0" localSheetId="0" hidden="1">MAPPING!$Z$592</definedName>
    <definedName name="SD_4270x1_4371x1_5315x1_366_B_0" localSheetId="0" hidden="1">MAPPING!$Z$593</definedName>
    <definedName name="SD_4270x1_4371x1_5315x1_367_B_0" localSheetId="0" hidden="1">MAPPING!$Z$594</definedName>
    <definedName name="SD_4270x1_4371x1_5315x1_368_B_0" localSheetId="0" hidden="1">MAPPING!$Z$595</definedName>
    <definedName name="SD_4270x1_4371x1_5315x1_369_B_0" localSheetId="0">MAPPING!$Z$617</definedName>
    <definedName name="SD_4270x1_4371x1_5315x1_370_B_0" localSheetId="0" hidden="1">MAPPING!$Z$613</definedName>
    <definedName name="SD_4270x1_4371x1_5315x1_371_B_0" localSheetId="0">MAPPING!$Z$603</definedName>
    <definedName name="SD_4270x1_4371x1_5315x1_372_B_0" localSheetId="0">MAPPING!$Z$604</definedName>
    <definedName name="SD_4270x1_4371x1_5315x1_373_B_0" localSheetId="0" hidden="1">MAPPING!$Z$606</definedName>
    <definedName name="SD_4270x1_4371x1_5315x1_374_B_0" localSheetId="0" hidden="1">MAPPING!$Z$607</definedName>
    <definedName name="SD_4270x1_4371x1_5315x1_375_B_0" localSheetId="0" hidden="1">MAPPING!$Z$608</definedName>
    <definedName name="SD_4270x1_4371x1_5315x1_376_B_0" localSheetId="0" hidden="1">MAPPING!$Z$609</definedName>
    <definedName name="SD_4270x1_4371x1_5315x1_377_B_0" localSheetId="0" hidden="1">MAPPING!$Z$610</definedName>
    <definedName name="SD_4270x1_4371x1_5315x1_378_B_0" localSheetId="0" hidden="1">MAPPING!$Z$611</definedName>
    <definedName name="SD_4270x1_4371x1_5315x1_379_B_0" localSheetId="0">MAPPING!$Z$618</definedName>
    <definedName name="SD_4270x1_4371x1_5315x1_380_B_0" localSheetId="0" hidden="1">MAPPING!$Z$614</definedName>
    <definedName name="SD_4270x1_4371x1_5315x1_381_B_0" localSheetId="0">MAPPING!$Z$619</definedName>
    <definedName name="SD_4270x1_4371x1_5315x1_382_B_0" localSheetId="0">MAPPING!$Z$615</definedName>
    <definedName name="SD_4270x1_4371x1_5315x1_383_B_0" localSheetId="0" hidden="1">MAPPING!$Z$588</definedName>
    <definedName name="SD_4270x1_4371x1_5315x1_385_B_0" localSheetId="0">MAPPING!$Z$622</definedName>
    <definedName name="SD_4270x1_4371x1_5315x1_386_B_0" localSheetId="0">MAPPING!$Z$623</definedName>
    <definedName name="SD_4270x1_4371x1_5315x1_387_B_0" localSheetId="0">MAPPING!$Z$628</definedName>
    <definedName name="SD_4270x1_4371x1_5315x1_388_B_0" localSheetId="0">MAPPING!$Z$626</definedName>
    <definedName name="SD_4270x1_4371x1_5315x1_389_B_0" localSheetId="0">MAPPING!$Z$629</definedName>
    <definedName name="SD_4270x1_4371x1_5315x1_390_B_0" localSheetId="0">MAPPING!$Z$627</definedName>
    <definedName name="SD_4270x1_4371x1_5315x1_391_B_0" localSheetId="0">MAPPING!$Z$630</definedName>
    <definedName name="SD_4270x1_4371x1_5315x1_392_B_0" localSheetId="0">MAPPING!$Z$631</definedName>
    <definedName name="SD_4270x1_4371x1_5315x1_393_B_0" localSheetId="0">MAPPING!$Z$632</definedName>
    <definedName name="SD_4270x1_4371x1_5315x1_394_B_0" localSheetId="0">MAPPING!$Z$633</definedName>
    <definedName name="SD_4270x1_4371x1_5315x1_395_B_0" localSheetId="0">MAPPING!$Z$634</definedName>
    <definedName name="SD_4270x1_4371x1_5315x1_396_B_0" localSheetId="0">MAPPING!$Z$635</definedName>
    <definedName name="SD_4270x1_4371x1_5315x1_397_B_0" localSheetId="0">MAPPING!$Z$637</definedName>
    <definedName name="SD_4270x1_4371x1_5315x1_398_B_0" localSheetId="0">MAPPING!$Z$638</definedName>
    <definedName name="SD_4270x1_4371x1_5315x1_399_B_0" localSheetId="0">MAPPING!$Z$639</definedName>
    <definedName name="SD_4270x1_4371x1_5315x1_400_B_0" localSheetId="0">MAPPING!$Z$643</definedName>
    <definedName name="SD_4270x1_4371x1_5315x1_401_B_0" localSheetId="0">MAPPING!$Z$641</definedName>
    <definedName name="SD_4270x1_4371x1_5315x1_402_B_0" localSheetId="0">MAPPING!$Z$644</definedName>
    <definedName name="SD_4270x1_4371x1_5315x1_403_B_0" localSheetId="0">MAPPING!$Z$642</definedName>
    <definedName name="SD_4270x1_4371x1_5315x1_404_B_0" localSheetId="0">MAPPING!$Z$645</definedName>
    <definedName name="SD_4270x1_4371x1_5315x1_405_B_0" localSheetId="0">MAPPING!$Z$647</definedName>
    <definedName name="SD_4270x1_4371x1_5315x1_406_B_0" localSheetId="0">MAPPING!$Z$648</definedName>
    <definedName name="SD_4270x1_4371x1_5315x1_407_B_0" localSheetId="0">MAPPING!$Z$649</definedName>
    <definedName name="SD_4270x1_4371x1_5315x1_408_B_0" localSheetId="0">MAPPING!$Z$650</definedName>
    <definedName name="SD_4270x1_4371x1_5315x1_409_B_0" localSheetId="0">MAPPING!$Z$654</definedName>
    <definedName name="SD_4270x1_4371x1_5315x1_410_B_0" localSheetId="0">MAPPING!$Z$652</definedName>
    <definedName name="SD_4270x1_4371x1_5315x1_411_B_0" localSheetId="0">MAPPING!$Z$655</definedName>
    <definedName name="SD_4270x1_4371x1_5315x1_412_B_0" localSheetId="0">MAPPING!$Z$653</definedName>
    <definedName name="SD_4270x1_4371x1_5315x1_413_B_0" localSheetId="0">MAPPING!$I$725</definedName>
    <definedName name="SD_4270x1_4371x1_5315x1_414_B_0" localSheetId="0">MAPPING!$M$430</definedName>
    <definedName name="SD_4270x1_4371x1_5315x1_415_B_0" localSheetId="0">MAPPING!$N$13</definedName>
    <definedName name="SD_4270x1_4371x1_5315x1_416_B_1" localSheetId="0">MAPPING!$M$676</definedName>
    <definedName name="SD_4270x1_4371x1_5315x1_417_B_0" localSheetId="0">MAPPING!$M$399</definedName>
    <definedName name="SD_4270x1_4371x1_5315x1_418_B_0" localSheetId="0">MAPPING!$M$438</definedName>
    <definedName name="SD_4270x1_4371x1_5315x1_419_B_0" localSheetId="0">MAPPING!$M$439</definedName>
    <definedName name="SD_4270x1_4371x1_5315x1_420_B_0" localSheetId="0">MAPPING!$M$431</definedName>
    <definedName name="SD_4270x1_4371x1_5315x1_421_B_0" localSheetId="0">MAPPING!$M$412</definedName>
    <definedName name="SD_4270x1_4371x1_5315x1_422_B_0" localSheetId="0">MAPPING!$M$401</definedName>
    <definedName name="SD_4270x1_4371x1_5315x1_423_B_0" localSheetId="0">MAPPING!$M$402</definedName>
    <definedName name="SD_4270x1_4371x1_5315x1_424_B_0" localSheetId="0">MAPPING!$M$432</definedName>
    <definedName name="SD_4270x1_4371x1_5315x1_430_B_0" localSheetId="0">MAPPING!$I$706</definedName>
    <definedName name="SD_4270x1_4371x1_5315x1_431_B_0" localSheetId="0">MAPPING!$I$707</definedName>
    <definedName name="SD_4270x1_4371x1_5315x1_432_B_0" localSheetId="0">MAPPING!$I$708</definedName>
    <definedName name="SD_4270x1_4371x1_5315x1_433_B_0" localSheetId="0">MAPPING!$I$709</definedName>
    <definedName name="SD_4270x1_4371x1_5315x1_434_B_0" localSheetId="0">MAPPING!$I$710</definedName>
    <definedName name="SD_4270x1_4371x1_5315x1_435_B_0" localSheetId="0">MAPPING!$I$711</definedName>
    <definedName name="SD_4270x1_4371x1_5315x1_439_B_0" localSheetId="0">MAPPING!$I$692</definedName>
    <definedName name="SD_4270x1_4371x1_5315x1_440_B_0" localSheetId="0">MAPPING!$I$693</definedName>
    <definedName name="SD_4270x1_4371x1_5315x1_441_B_0" localSheetId="0">MAPPING!$I$694</definedName>
    <definedName name="SD_4270x1_4371x1_5315x1_442_B_0" localSheetId="0">MAPPING!$I$695</definedName>
    <definedName name="SD_4270x1_4371x1_5315x1_443_B_0" localSheetId="0">MAPPING!$I$702</definedName>
    <definedName name="SD_4270x1_4371x1_5315x1_444_B_0" localSheetId="0">MAPPING!$I$703</definedName>
    <definedName name="SD_4270x1_4371x1_5315x1_445_B_0" localSheetId="0">MAPPING!$I$704</definedName>
    <definedName name="SD_4270x1_4371x1_5315x1_446_B_0" localSheetId="0">MAPPING!$I$705</definedName>
    <definedName name="SD_4270x1_4371x1_5315x1_447_B_0" localSheetId="0">MAPPING!$I$712</definedName>
    <definedName name="SD_4270x1_4371x1_5315x1_448_B_0" localSheetId="0">MAPPING!$I$713</definedName>
    <definedName name="SD_4270x1_4371x1_5315x1_449_B_0" localSheetId="0">MAPPING!$I$714</definedName>
    <definedName name="SD_4270x1_4371x1_5315x1_450_B_0" localSheetId="0">MAPPING!$I$715</definedName>
    <definedName name="SD_4270x1_4371x1_5315x1_451_B_0" localSheetId="0">MAPPING!$Z$651</definedName>
    <definedName name="SD_4270x1_4371x1_5315x1_452_B_0" localSheetId="0">MAPPING!$Z$510</definedName>
    <definedName name="SD_4270x1_4371x1_5315x1_453_B_0" localSheetId="0">MAPPING!$Z$511</definedName>
    <definedName name="SD_4270x1_4371x1_5315x1_454_B_0" localSheetId="0">MAPPING!$Z$520</definedName>
    <definedName name="SD_4270x1_4371x1_5315x1_455_B_0" localSheetId="0">MAPPING!$Z$512</definedName>
    <definedName name="SD_4270x1_4371x1_5315x1_456_B_0" localSheetId="0">MAPPING!$Z$521</definedName>
    <definedName name="SD_4270x1_4371x1_5315x1_457_B_0" localSheetId="0">MAPPING!$Z$513</definedName>
    <definedName name="SD_4270x1_4371x1_5315x1_458_B_0" localSheetId="0">MAPPING!$Z$522</definedName>
    <definedName name="SD_4270x1_4371x1_5315x1_459_B_0" localSheetId="0">MAPPING!$Z$514</definedName>
    <definedName name="SD_4270x1_4371x1_5315x1_460_B_0" localSheetId="0">MAPPING!$Z$523</definedName>
    <definedName name="SD_4270x1_4371x1_5315x1_461_B_0" localSheetId="0">MAPPING!$Z$515</definedName>
    <definedName name="SD_4270x1_4371x1_5315x1_462_B_0" localSheetId="0">MAPPING!$Z$563</definedName>
    <definedName name="SD_4270x1_4371x1_5315x1_463_B_0" localSheetId="0">MAPPING!$Z$552</definedName>
    <definedName name="SD_4270x1_4371x1_5315x1_464_B_0" localSheetId="0">MAPPING!$Z$564</definedName>
    <definedName name="SD_4270x1_4371x1_5315x1_465_B_0" localSheetId="0">MAPPING!$Z$553</definedName>
    <definedName name="SD_4270x1_4371x1_5315x1_466_B_0" localSheetId="0">MAPPING!$Z$565</definedName>
    <definedName name="SD_4270x1_4371x1_5315x1_467_B_0" localSheetId="0">MAPPING!$Z$554</definedName>
    <definedName name="SD_4270x1_4371x1_5315x1_468_B_0" localSheetId="0">MAPPING!$Z$566</definedName>
    <definedName name="SD_4270x1_4371x1_5315x1_469_B_0" localSheetId="0">MAPPING!$Z$555</definedName>
    <definedName name="SD_4270x1_4371x1_5315x1_470_B_0" localSheetId="0">MAPPING!$Z$567</definedName>
    <definedName name="SD_4270x1_4371x1_5315x1_471_B_0" localSheetId="0">MAPPING!$Z$556</definedName>
    <definedName name="SD_4270x1_4371x1_542_B_0" localSheetId="0">MAPPING!$T$10</definedName>
    <definedName name="SD_8055x1_10_B_0" localSheetId="0">MAPPING!$I$136</definedName>
    <definedName name="SD_8055x1_12_B_1" localSheetId="0">MAPPING!$H$136</definedName>
    <definedName name="SD_8055x1_13_B_1" localSheetId="0">MAPPING!$M$136</definedName>
    <definedName name="SD_8055x1_14_B_0" localSheetId="0">MAPPING!$K$136</definedName>
    <definedName name="SD_8055x1_15_B_0" localSheetId="0">MAPPING!$E$136</definedName>
    <definedName name="SD_8055x1_19_B_0" localSheetId="0">MAPPING!$J$136</definedName>
    <definedName name="SD_8055x1_21_B_0" localSheetId="0">MAPPING!$G$136</definedName>
    <definedName name="SD_8055x1_23_B_0" localSheetId="0">MAPPING!$F$136</definedName>
    <definedName name="SD_8055x1_24_B_1" localSheetId="0">MAPPING!$D$136</definedName>
    <definedName name="SD_8055x10_10_B_0" localSheetId="0">MAPPING!$I$145</definedName>
    <definedName name="SD_8055x10_12_B_1" localSheetId="0">MAPPING!$H$145</definedName>
    <definedName name="SD_8055x10_13_B_1" localSheetId="0">MAPPING!$M$145</definedName>
    <definedName name="SD_8055x10_14_B_0" localSheetId="0">MAPPING!$K$145</definedName>
    <definedName name="SD_8055x10_15_B_0" localSheetId="0">MAPPING!$E$145</definedName>
    <definedName name="SD_8055x10_19_B_0" localSheetId="0">MAPPING!$J$145</definedName>
    <definedName name="SD_8055x10_21_B_0" localSheetId="0">MAPPING!$G$145</definedName>
    <definedName name="SD_8055x10_23_B_0" localSheetId="0">MAPPING!$F$145</definedName>
    <definedName name="SD_8055x10_24_B_1" localSheetId="0">MAPPING!$D$145</definedName>
    <definedName name="SD_8055x11_10_B_0" localSheetId="0">MAPPING!$I$146</definedName>
    <definedName name="SD_8055x11_12_B_1" localSheetId="0">MAPPING!$H$146</definedName>
    <definedName name="SD_8055x11_13_B_1" localSheetId="0">MAPPING!$M$146</definedName>
    <definedName name="SD_8055x11_14_B_0" localSheetId="0">MAPPING!$K$146</definedName>
    <definedName name="SD_8055x11_15_B_0" localSheetId="0">MAPPING!$E$146</definedName>
    <definedName name="SD_8055x11_19_B_0" localSheetId="0">MAPPING!$J$146</definedName>
    <definedName name="SD_8055x11_21_B_0" localSheetId="0">MAPPING!$G$146</definedName>
    <definedName name="SD_8055x11_23_B_0" localSheetId="0">MAPPING!$F$146</definedName>
    <definedName name="SD_8055x11_24_B_1" localSheetId="0">MAPPING!$D$146</definedName>
    <definedName name="SD_8055x12_10_B_0" localSheetId="0">MAPPING!$I$147</definedName>
    <definedName name="SD_8055x12_12_B_1" localSheetId="0">MAPPING!$H$147</definedName>
    <definedName name="SD_8055x12_13_B_1" localSheetId="0">MAPPING!$M$147</definedName>
    <definedName name="SD_8055x12_14_B_0" localSheetId="0">MAPPING!$K$147</definedName>
    <definedName name="SD_8055x12_15_B_0" localSheetId="0">MAPPING!$E$147</definedName>
    <definedName name="SD_8055x12_19_B_0" localSheetId="0">MAPPING!$J$147</definedName>
    <definedName name="SD_8055x12_21_B_0" localSheetId="0">MAPPING!$G$147</definedName>
    <definedName name="SD_8055x12_23_B_0" localSheetId="0">MAPPING!$F$147</definedName>
    <definedName name="SD_8055x12_24_B_1" localSheetId="0">MAPPING!$D$147</definedName>
    <definedName name="SD_8055x13_10_B_0" localSheetId="0">MAPPING!$I$148</definedName>
    <definedName name="SD_8055x13_12_B_1" localSheetId="0">MAPPING!$H$148</definedName>
    <definedName name="SD_8055x13_13_B_1" localSheetId="0">MAPPING!$M$148</definedName>
    <definedName name="SD_8055x13_14_B_0" localSheetId="0">MAPPING!$K$148</definedName>
    <definedName name="SD_8055x13_15_B_0" localSheetId="0">MAPPING!$E$148</definedName>
    <definedName name="SD_8055x13_19_B_0" localSheetId="0">MAPPING!$J$148</definedName>
    <definedName name="SD_8055x13_21_B_0" localSheetId="0">MAPPING!$G$148</definedName>
    <definedName name="SD_8055x13_23_B_0" localSheetId="0">MAPPING!$F$148</definedName>
    <definedName name="SD_8055x13_24_B_1" localSheetId="0">MAPPING!$D$148</definedName>
    <definedName name="SD_8055x14_10_B_0" localSheetId="0">MAPPING!$I$149</definedName>
    <definedName name="SD_8055x14_12_B_1" localSheetId="0">MAPPING!$H$149</definedName>
    <definedName name="SD_8055x14_13_B_1" localSheetId="0">MAPPING!$M$149</definedName>
    <definedName name="SD_8055x14_14_B_0" localSheetId="0">MAPPING!$K$149</definedName>
    <definedName name="SD_8055x14_15_B_0" localSheetId="0">MAPPING!$E$149</definedName>
    <definedName name="SD_8055x14_19_B_0" localSheetId="0">MAPPING!$J$149</definedName>
    <definedName name="SD_8055x14_21_B_0" localSheetId="0">MAPPING!$G$149</definedName>
    <definedName name="SD_8055x14_23_B_0" localSheetId="0">MAPPING!$F$149</definedName>
    <definedName name="SD_8055x14_24_B_1" localSheetId="0">MAPPING!$D$149</definedName>
    <definedName name="SD_8055x15_10_B_0" localSheetId="0">MAPPING!$I$150</definedName>
    <definedName name="SD_8055x15_12_B_1" localSheetId="0">MAPPING!$H$150</definedName>
    <definedName name="SD_8055x15_13_B_1" localSheetId="0">MAPPING!$M$150</definedName>
    <definedName name="SD_8055x15_14_B_0" localSheetId="0">MAPPING!$K$150</definedName>
    <definedName name="SD_8055x15_15_B_0" localSheetId="0">MAPPING!$E$150</definedName>
    <definedName name="SD_8055x15_19_B_0" localSheetId="0">MAPPING!$J$150</definedName>
    <definedName name="SD_8055x15_21_B_0" localSheetId="0">MAPPING!$G$150</definedName>
    <definedName name="SD_8055x15_23_B_0" localSheetId="0">MAPPING!$F$150</definedName>
    <definedName name="SD_8055x15_24_B_1" localSheetId="0">MAPPING!$D$150</definedName>
    <definedName name="SD_8055x16_10_B_0" localSheetId="0">MAPPING!$I$151</definedName>
    <definedName name="SD_8055x16_12_B_1" localSheetId="0">MAPPING!$H$151</definedName>
    <definedName name="SD_8055x16_13_B_1" localSheetId="0">MAPPING!$M$151</definedName>
    <definedName name="SD_8055x16_14_B_0" localSheetId="0">MAPPING!$K$151</definedName>
    <definedName name="SD_8055x16_15_B_0" localSheetId="0">MAPPING!$E$151</definedName>
    <definedName name="SD_8055x16_19_B_0" localSheetId="0">MAPPING!$J$151</definedName>
    <definedName name="SD_8055x16_21_B_0" localSheetId="0">MAPPING!$G$151</definedName>
    <definedName name="SD_8055x16_23_B_0" localSheetId="0">MAPPING!$F$151</definedName>
    <definedName name="SD_8055x16_24_B_1" localSheetId="0">MAPPING!$D$151</definedName>
    <definedName name="SD_8055x17_10_B_0" localSheetId="0">MAPPING!$I$152</definedName>
    <definedName name="SD_8055x17_12_B_1" localSheetId="0">MAPPING!$H$152</definedName>
    <definedName name="SD_8055x17_13_B_1" localSheetId="0">MAPPING!$M$152</definedName>
    <definedName name="SD_8055x17_14_B_0" localSheetId="0">MAPPING!$K$152</definedName>
    <definedName name="SD_8055x17_15_B_0" localSheetId="0">MAPPING!$E$152</definedName>
    <definedName name="SD_8055x17_19_B_0" localSheetId="0">MAPPING!$J$152</definedName>
    <definedName name="SD_8055x17_21_B_0" localSheetId="0">MAPPING!$G$152</definedName>
    <definedName name="SD_8055x17_23_B_0" localSheetId="0">MAPPING!$F$152</definedName>
    <definedName name="SD_8055x17_24_B_1" localSheetId="0">MAPPING!$D$152</definedName>
    <definedName name="SD_8055x18_10_B_0" localSheetId="0">MAPPING!$I$153</definedName>
    <definedName name="SD_8055x18_12_B_1" localSheetId="0">MAPPING!$H$153</definedName>
    <definedName name="SD_8055x18_13_B_1" localSheetId="0">MAPPING!$M$153</definedName>
    <definedName name="SD_8055x18_14_B_0" localSheetId="0">MAPPING!$K$153</definedName>
    <definedName name="SD_8055x18_15_B_0" localSheetId="0">MAPPING!$E$153</definedName>
    <definedName name="SD_8055x18_19_B_0" localSheetId="0">MAPPING!$J$153</definedName>
    <definedName name="SD_8055x18_21_B_0" localSheetId="0">MAPPING!$G$153</definedName>
    <definedName name="SD_8055x18_23_B_0" localSheetId="0">MAPPING!$F$153</definedName>
    <definedName name="SD_8055x18_24_B_1" localSheetId="0">MAPPING!$D$153</definedName>
    <definedName name="SD_8055x19_10_B_0" localSheetId="0">MAPPING!$I$154</definedName>
    <definedName name="SD_8055x19_12_B_1" localSheetId="0">MAPPING!$H$154</definedName>
    <definedName name="SD_8055x19_13_B_1" localSheetId="0">MAPPING!$M$154</definedName>
    <definedName name="SD_8055x19_14_B_0" localSheetId="0">MAPPING!$K$154</definedName>
    <definedName name="SD_8055x19_15_B_0" localSheetId="0">MAPPING!$E$154</definedName>
    <definedName name="SD_8055x19_19_B_0" localSheetId="0">MAPPING!$J$154</definedName>
    <definedName name="SD_8055x19_21_B_0" localSheetId="0">MAPPING!$G$154</definedName>
    <definedName name="SD_8055x19_23_B_0" localSheetId="0">MAPPING!$F$154</definedName>
    <definedName name="SD_8055x19_24_B_1" localSheetId="0">MAPPING!$D$154</definedName>
    <definedName name="SD_8055x2_11_B_0" localSheetId="0">MAPPING!$L$137</definedName>
    <definedName name="SD_8055x2_13_B_1" localSheetId="0">MAPPING!$M$137</definedName>
    <definedName name="SD_8055x2_15_B_0" localSheetId="0">MAPPING!$E$137</definedName>
    <definedName name="SD_8055x2_24_B_1" localSheetId="0">MAPPING!$D$137</definedName>
    <definedName name="SD_8055x20_10_B_0" localSheetId="0">MAPPING!$I$155</definedName>
    <definedName name="SD_8055x20_12_B_1" localSheetId="0">MAPPING!$H$155</definedName>
    <definedName name="SD_8055x20_13_B_1" localSheetId="0">MAPPING!$M$155</definedName>
    <definedName name="SD_8055x20_14_B_0" localSheetId="0">MAPPING!$K$155</definedName>
    <definedName name="SD_8055x20_15_B_0" localSheetId="0">MAPPING!$E$155</definedName>
    <definedName name="SD_8055x20_19_B_0" localSheetId="0">MAPPING!$J$155</definedName>
    <definedName name="SD_8055x20_21_B_0" localSheetId="0">MAPPING!$G$155</definedName>
    <definedName name="SD_8055x20_23_B_0" localSheetId="0">MAPPING!$F$155</definedName>
    <definedName name="SD_8055x20_24_B_1" localSheetId="0">MAPPING!$D$155</definedName>
    <definedName name="SD_8055x21_10_B_0" localSheetId="0">MAPPING!$I$156</definedName>
    <definedName name="SD_8055x21_12_B_1" localSheetId="0">MAPPING!$H$156</definedName>
    <definedName name="SD_8055x21_13_B_1" localSheetId="0">MAPPING!$M$156</definedName>
    <definedName name="SD_8055x21_14_B_0" localSheetId="0">MAPPING!$K$156</definedName>
    <definedName name="SD_8055x21_15_B_0" localSheetId="0">MAPPING!$E$156</definedName>
    <definedName name="SD_8055x21_19_B_0" localSheetId="0">MAPPING!$J$156</definedName>
    <definedName name="SD_8055x21_21_B_0" localSheetId="0">MAPPING!$G$156</definedName>
    <definedName name="SD_8055x21_23_B_0" localSheetId="0">MAPPING!$F$156</definedName>
    <definedName name="SD_8055x21_24_B_1" localSheetId="0">MAPPING!$D$156</definedName>
    <definedName name="SD_8055x22_10_B_0" localSheetId="0">MAPPING!$I$157</definedName>
    <definedName name="SD_8055x22_12_B_1" localSheetId="0">MAPPING!$H$157</definedName>
    <definedName name="SD_8055x22_13_B_1" localSheetId="0">MAPPING!$M$157</definedName>
    <definedName name="SD_8055x22_14_B_0" localSheetId="0">MAPPING!$K$157</definedName>
    <definedName name="SD_8055x22_15_B_0" localSheetId="0">MAPPING!$E$157</definedName>
    <definedName name="SD_8055x22_19_B_0" localSheetId="0">MAPPING!$J$157</definedName>
    <definedName name="SD_8055x22_21_B_0" localSheetId="0">MAPPING!$G$157</definedName>
    <definedName name="SD_8055x22_23_B_0" localSheetId="0">MAPPING!$F$157</definedName>
    <definedName name="SD_8055x22_24_B_1" localSheetId="0">MAPPING!$D$157</definedName>
    <definedName name="SD_8055x23_10_B_0" localSheetId="0">MAPPING!$I$158</definedName>
    <definedName name="SD_8055x23_12_B_1" localSheetId="0">MAPPING!$H$158</definedName>
    <definedName name="SD_8055x23_13_B_1" localSheetId="0">MAPPING!$M$158</definedName>
    <definedName name="SD_8055x23_14_B_0" localSheetId="0">MAPPING!$K$158</definedName>
    <definedName name="SD_8055x23_15_B_0" localSheetId="0">MAPPING!$E$158</definedName>
    <definedName name="SD_8055x23_19_B_0" localSheetId="0">MAPPING!$J$158</definedName>
    <definedName name="SD_8055x23_21_B_0" localSheetId="0">MAPPING!$G$158</definedName>
    <definedName name="SD_8055x23_23_B_0" localSheetId="0">MAPPING!$F$158</definedName>
    <definedName name="SD_8055x23_24_B_1" localSheetId="0">MAPPING!$D$158</definedName>
    <definedName name="SD_8055x24_10_B_0" localSheetId="0">MAPPING!$I$159</definedName>
    <definedName name="SD_8055x24_12_B_1" localSheetId="0">MAPPING!$H$159</definedName>
    <definedName name="SD_8055x24_13_B_1" localSheetId="0">MAPPING!$M$159</definedName>
    <definedName name="SD_8055x24_14_B_0" localSheetId="0">MAPPING!$K$159</definedName>
    <definedName name="SD_8055x24_15_B_0" localSheetId="0">MAPPING!$E$159</definedName>
    <definedName name="SD_8055x24_19_B_0" localSheetId="0">MAPPING!$J$159</definedName>
    <definedName name="SD_8055x24_21_B_0" localSheetId="0">MAPPING!$G$159</definedName>
    <definedName name="SD_8055x24_23_B_0" localSheetId="0">MAPPING!$F$159</definedName>
    <definedName name="SD_8055x24_24_B_1" localSheetId="0">MAPPING!$D$159</definedName>
    <definedName name="SD_8055x25_10_B_0" localSheetId="0">MAPPING!$I$160</definedName>
    <definedName name="SD_8055x25_12_B_1" localSheetId="0">MAPPING!$H$160</definedName>
    <definedName name="SD_8055x25_13_B_1" localSheetId="0">MAPPING!$M$160</definedName>
    <definedName name="SD_8055x25_14_B_0" localSheetId="0">MAPPING!$K$160</definedName>
    <definedName name="SD_8055x25_15_B_0" localSheetId="0">MAPPING!$E$160</definedName>
    <definedName name="SD_8055x25_19_B_0" localSheetId="0">MAPPING!$J$160</definedName>
    <definedName name="SD_8055x25_21_B_0" localSheetId="0">MAPPING!$G$160</definedName>
    <definedName name="SD_8055x25_23_B_0" localSheetId="0">MAPPING!$F$160</definedName>
    <definedName name="SD_8055x25_24_B_1" localSheetId="0">MAPPING!$D$160</definedName>
    <definedName name="SD_8055x26_10_B_0" localSheetId="0">MAPPING!$I$161</definedName>
    <definedName name="SD_8055x26_12_B_1" localSheetId="0">MAPPING!$H$161</definedName>
    <definedName name="SD_8055x26_13_B_1" localSheetId="0">MAPPING!$M$161</definedName>
    <definedName name="SD_8055x26_14_B_0" localSheetId="0">MAPPING!$K$161</definedName>
    <definedName name="SD_8055x26_15_B_0" localSheetId="0">MAPPING!$E$161</definedName>
    <definedName name="SD_8055x26_19_B_0" localSheetId="0">MAPPING!$J$161</definedName>
    <definedName name="SD_8055x26_21_B_0" localSheetId="0">MAPPING!$G$161</definedName>
    <definedName name="SD_8055x26_23_B_0" localSheetId="0">MAPPING!$F$161</definedName>
    <definedName name="SD_8055x26_24_B_1" localSheetId="0">MAPPING!$D$161</definedName>
    <definedName name="SD_8055x27_10_B_0" localSheetId="0">MAPPING!$I$162</definedName>
    <definedName name="SD_8055x27_12_B_1" localSheetId="0">MAPPING!$H$162</definedName>
    <definedName name="SD_8055x27_13_B_1" localSheetId="0">MAPPING!$M$162</definedName>
    <definedName name="SD_8055x27_14_B_0" localSheetId="0">MAPPING!$K$162</definedName>
    <definedName name="SD_8055x27_15_B_0" localSheetId="0">MAPPING!$E$162</definedName>
    <definedName name="SD_8055x27_19_B_0" localSheetId="0">MAPPING!$J$162</definedName>
    <definedName name="SD_8055x27_21_B_0" localSheetId="0">MAPPING!$G$162</definedName>
    <definedName name="SD_8055x27_23_B_0" localSheetId="0">MAPPING!$F$162</definedName>
    <definedName name="SD_8055x27_24_B_1" localSheetId="0">MAPPING!$D$162</definedName>
    <definedName name="SD_8055x28_10_B_0" localSheetId="0">MAPPING!$I$163</definedName>
    <definedName name="SD_8055x28_12_B_1" localSheetId="0">MAPPING!$H$163</definedName>
    <definedName name="SD_8055x28_13_B_1" localSheetId="0">MAPPING!$M$163</definedName>
    <definedName name="SD_8055x28_14_B_0" localSheetId="0">MAPPING!$K$163</definedName>
    <definedName name="SD_8055x28_15_B_0" localSheetId="0">MAPPING!$E$163</definedName>
    <definedName name="SD_8055x28_19_B_0" localSheetId="0">MAPPING!$J$163</definedName>
    <definedName name="SD_8055x28_21_B_0" localSheetId="0">MAPPING!$G$163</definedName>
    <definedName name="SD_8055x28_23_B_0" localSheetId="0">MAPPING!$F$163</definedName>
    <definedName name="SD_8055x28_24_B_1" localSheetId="0">MAPPING!$D$163</definedName>
    <definedName name="SD_8055x29_10_B_0" localSheetId="0">MAPPING!$I$164</definedName>
    <definedName name="SD_8055x29_12_B_1" localSheetId="0">MAPPING!$H$164</definedName>
    <definedName name="SD_8055x29_13_B_1" localSheetId="0">MAPPING!$M$164</definedName>
    <definedName name="SD_8055x29_14_B_0" localSheetId="0">MAPPING!$K$164</definedName>
    <definedName name="SD_8055x29_15_B_0" localSheetId="0">MAPPING!$E$164</definedName>
    <definedName name="SD_8055x29_19_B_0" localSheetId="0">MAPPING!$J$164</definedName>
    <definedName name="SD_8055x29_21_B_0" localSheetId="0">MAPPING!$G$164</definedName>
    <definedName name="SD_8055x29_23_B_0" localSheetId="0">MAPPING!$F$164</definedName>
    <definedName name="SD_8055x29_24_B_1" localSheetId="0">MAPPING!$D$164</definedName>
    <definedName name="SD_8055x3_11_B_0" localSheetId="0">MAPPING!$L$138</definedName>
    <definedName name="SD_8055x3_13_B_1" localSheetId="0">MAPPING!$M$138</definedName>
    <definedName name="SD_8055x3_15_B_0" localSheetId="0">MAPPING!$E$138</definedName>
    <definedName name="SD_8055x3_24_B_1" localSheetId="0">MAPPING!$D$138</definedName>
    <definedName name="SD_8055x30_10_B_0" localSheetId="0">MAPPING!$I$165</definedName>
    <definedName name="SD_8055x30_12_B_1" localSheetId="0">MAPPING!$H$165</definedName>
    <definedName name="SD_8055x30_13_B_1" localSheetId="0">MAPPING!$M$165</definedName>
    <definedName name="SD_8055x30_14_B_0" localSheetId="0">MAPPING!$K$165</definedName>
    <definedName name="SD_8055x30_15_B_0" localSheetId="0">MAPPING!$E$165</definedName>
    <definedName name="SD_8055x30_19_B_0" localSheetId="0">MAPPING!$J$165</definedName>
    <definedName name="SD_8055x30_21_B_0" localSheetId="0">MAPPING!$G$165</definedName>
    <definedName name="SD_8055x30_23_B_0" localSheetId="0">MAPPING!$F$165</definedName>
    <definedName name="SD_8055x30_24_B_1" localSheetId="0">MAPPING!$D$165</definedName>
    <definedName name="SD_8055x31_10_B_0" localSheetId="0">MAPPING!$I$166</definedName>
    <definedName name="SD_8055x31_12_B_1" localSheetId="0">MAPPING!$H$166</definedName>
    <definedName name="SD_8055x31_13_B_1" localSheetId="0">MAPPING!$M$166</definedName>
    <definedName name="SD_8055x31_14_B_0" localSheetId="0">MAPPING!$K$166</definedName>
    <definedName name="SD_8055x31_15_B_0" localSheetId="0">MAPPING!$E$166</definedName>
    <definedName name="SD_8055x31_19_B_0" localSheetId="0">MAPPING!$J$166</definedName>
    <definedName name="SD_8055x31_21_B_0" localSheetId="0">MAPPING!$G$166</definedName>
    <definedName name="SD_8055x31_23_B_0" localSheetId="0">MAPPING!$F$166</definedName>
    <definedName name="SD_8055x31_24_B_1" localSheetId="0">MAPPING!$D$166</definedName>
    <definedName name="SD_8055x4_11_B_0" localSheetId="0">MAPPING!$L$139</definedName>
    <definedName name="SD_8055x4_13_B_1" localSheetId="0">MAPPING!$M$139</definedName>
    <definedName name="SD_8055x4_15_B_0" localSheetId="0">MAPPING!$E$139</definedName>
    <definedName name="SD_8055x4_24_B_1" localSheetId="0">MAPPING!$D$139</definedName>
    <definedName name="SD_8055x5_11_B_0" localSheetId="0">MAPPING!$L$140</definedName>
    <definedName name="SD_8055x5_13_B_1" localSheetId="0">MAPPING!$M$140</definedName>
    <definedName name="SD_8055x5_15_B_0" localSheetId="0">MAPPING!$E$140</definedName>
    <definedName name="SD_8055x5_24_B_1" localSheetId="0">MAPPING!$D$140</definedName>
    <definedName name="SD_8055x6_10_B_0" localSheetId="0">MAPPING!$I$141</definedName>
    <definedName name="SD_8055x6_12_B_1" localSheetId="0">MAPPING!$H$141</definedName>
    <definedName name="SD_8055x6_13_B_1" localSheetId="0">MAPPING!$M$141</definedName>
    <definedName name="SD_8055x6_14_B_0" localSheetId="0">MAPPING!$K$141</definedName>
    <definedName name="SD_8055x6_15_B_0" localSheetId="0">MAPPING!$E$141</definedName>
    <definedName name="SD_8055x6_19_B_0" localSheetId="0">MAPPING!$J$141</definedName>
    <definedName name="SD_8055x6_21_B_0" localSheetId="0">MAPPING!$G$141</definedName>
    <definedName name="SD_8055x6_23_B_0" localSheetId="0">MAPPING!$F$141</definedName>
    <definedName name="SD_8055x6_24_B_1" localSheetId="0">MAPPING!$D$141</definedName>
    <definedName name="SD_8055x7_10_B_0" localSheetId="0">MAPPING!$I$142</definedName>
    <definedName name="SD_8055x7_12_B_1" localSheetId="0">MAPPING!$H$142</definedName>
    <definedName name="SD_8055x7_13_B_1" localSheetId="0">MAPPING!$M$142</definedName>
    <definedName name="SD_8055x7_14_B_0" localSheetId="0">MAPPING!$K$142</definedName>
    <definedName name="SD_8055x7_15_B_0" localSheetId="0">MAPPING!$E$142</definedName>
    <definedName name="SD_8055x7_19_B_0" localSheetId="0">MAPPING!$J$142</definedName>
    <definedName name="SD_8055x7_21_B_0" localSheetId="0">MAPPING!$G$142</definedName>
    <definedName name="SD_8055x7_23_B_0" localSheetId="0">MAPPING!$F$142</definedName>
    <definedName name="SD_8055x7_24_B_1" localSheetId="0">MAPPING!$D$142</definedName>
    <definedName name="SD_8055x8_10_B_0" localSheetId="0">MAPPING!$I$143</definedName>
    <definedName name="SD_8055x8_12_B_1" localSheetId="0">MAPPING!$H$143</definedName>
    <definedName name="SD_8055x8_13_B_1" localSheetId="0">MAPPING!$M$143</definedName>
    <definedName name="SD_8055x8_14_B_0" localSheetId="0">MAPPING!$K$143</definedName>
    <definedName name="SD_8055x8_15_B_0" localSheetId="0">MAPPING!$E$143</definedName>
    <definedName name="SD_8055x8_19_B_0" localSheetId="0">MAPPING!$J$143</definedName>
    <definedName name="SD_8055x8_21_B_0" localSheetId="0">MAPPING!$G$143</definedName>
    <definedName name="SD_8055x8_23_B_0" localSheetId="0">MAPPING!$F$143</definedName>
    <definedName name="SD_8055x8_24_B_1" localSheetId="0">MAPPING!$D$143</definedName>
    <definedName name="SD_8055x9_10_B_0" localSheetId="0">MAPPING!$I$144</definedName>
    <definedName name="SD_8055x9_12_B_1" localSheetId="0">MAPPING!$H$144</definedName>
    <definedName name="SD_8055x9_13_B_1" localSheetId="0">MAPPING!$M$144</definedName>
    <definedName name="SD_8055x9_14_B_0" localSheetId="0">MAPPING!$K$144</definedName>
    <definedName name="SD_8055x9_15_B_0" localSheetId="0">MAPPING!$E$144</definedName>
    <definedName name="SD_8055x9_19_B_0" localSheetId="0">MAPPING!$J$144</definedName>
    <definedName name="SD_8055x9_21_B_0" localSheetId="0">MAPPING!$G$144</definedName>
    <definedName name="SD_8055x9_23_B_0" localSheetId="0">MAPPING!$F$144</definedName>
    <definedName name="SD_8055x9_24_B_1" localSheetId="0">MAPPING!$D$144</definedName>
    <definedName name="SD_81x1_100_B_0" localSheetId="0">MAPPING!$J$531</definedName>
    <definedName name="SD_81x1_101_B_0" localSheetId="0">MAPPING!$J$557</definedName>
    <definedName name="SD_81x1_102_B_0" localSheetId="0">MAPPING!$J$573</definedName>
    <definedName name="SD_81x1_103_B_0" localSheetId="0">MAPPING!$J$616</definedName>
    <definedName name="SD_81x1_104_B_0" localSheetId="0" hidden="1">MAPPING!$J$578</definedName>
    <definedName name="SD_81x1_105_B_0" localSheetId="0">MAPPING!$J$617</definedName>
    <definedName name="SD_81x1_106_B_0" localSheetId="0" hidden="1">MAPPING!$J$586</definedName>
    <definedName name="SD_81x1_107_B_0" localSheetId="0">MAPPING!$J$618</definedName>
    <definedName name="SD_81x1_108_B_0" localSheetId="0" hidden="1">MAPPING!$J$606</definedName>
    <definedName name="SD_81x1_109_B_0" localSheetId="0">MAPPING!$J$619</definedName>
    <definedName name="SD_81x1_110_B_0" localSheetId="0">MAPPING!$J$622</definedName>
    <definedName name="SD_81x1_111_B_0" localSheetId="0">MAPPING!$J$628</definedName>
    <definedName name="SD_81x1_112_B_0" localSheetId="0">MAPPING!$J$630</definedName>
    <definedName name="SD_81x1_113_B_0" localSheetId="0">MAPPING!$J$631</definedName>
    <definedName name="SD_81x1_114_B_0" localSheetId="0">MAPPING!$J$632</definedName>
    <definedName name="SD_81x1_115_B_0" localSheetId="0">MAPPING!$J$633</definedName>
    <definedName name="SD_81x1_116_B_0" localSheetId="0">MAPPING!$J$645</definedName>
    <definedName name="SD_81x1_117_B_0" localSheetId="0">MAPPING!$J$654</definedName>
    <definedName name="SD_81x1_118_B_0" localSheetId="0">MAPPING!$J$634</definedName>
    <definedName name="SD_81x1_119_B_0" localSheetId="0">MAPPING!$J$635</definedName>
    <definedName name="SD_81x1_12_B_0" localSheetId="0">MAPPING!$J$508</definedName>
    <definedName name="SD_81x1_120_B_0" localSheetId="0">MAPPING!$J$576</definedName>
    <definedName name="SD_81x1_123_B_0" localSheetId="0">MAPPING!$J$646</definedName>
    <definedName name="SD_81x1_127_B_0" localSheetId="0">MAPPING!$J$533</definedName>
    <definedName name="SD_81x1_128_B_0" localSheetId="0">MAPPING!$J$532</definedName>
    <definedName name="SD_81x1_129_B_0" localSheetId="0">MAPPING!$J$539</definedName>
    <definedName name="SD_81x1_130_B_0" localSheetId="0">MAPPING!$J$637</definedName>
    <definedName name="SD_81x1_132_B_0" localSheetId="0">MAPPING!$J$571</definedName>
    <definedName name="SD_81x1_133_B_0" localSheetId="0">MAPPING!$J$624</definedName>
    <definedName name="SD_81x1_134_B_0" localSheetId="0">MAPPING!$J$574</definedName>
    <definedName name="SD_81x1_175_B_0" localSheetId="0">MAPPING!$J$538</definedName>
    <definedName name="SD_81x1_208_B_0" localSheetId="0">MAPPING!$J$516</definedName>
    <definedName name="SD_81x1_26_B_0" localSheetId="0">MAPPING!$J$505</definedName>
    <definedName name="SD_81x1_31_B_0" localSheetId="0">MAPPING!$J$625</definedName>
    <definedName name="SD_81x1_33_B_0" localSheetId="0">MAPPING!$J$509</definedName>
    <definedName name="SD_81x1_34_B_0" localSheetId="0">MAPPING!$J$517</definedName>
    <definedName name="SD_81x1_43_B_0" localSheetId="0">MAPPING!$J$507</definedName>
    <definedName name="SD_81x1_47_B_0" localSheetId="0">MAPPING!$J$506</definedName>
    <definedName name="SD_81x1_5325x1_136_B_1" localSheetId="0">MAPPING!$I$70</definedName>
    <definedName name="SD_81x1_5325x1_137_B_0" localSheetId="0">MAPPING!$N$517</definedName>
    <definedName name="SD_81x1_5325x1_138_B_0" localSheetId="0">MAPPING!$N$509</definedName>
    <definedName name="SD_81x1_5325x1_139_B_0" localSheetId="0">MAPPING!$N$518</definedName>
    <definedName name="SD_81x1_5325x1_140_B_0" localSheetId="0">MAPPING!$N$510</definedName>
    <definedName name="SD_81x1_5325x1_141_B_0" localSheetId="0">MAPPING!$N$524</definedName>
    <definedName name="SD_81x1_5325x1_142_B_0" localSheetId="0">MAPPING!$N$526</definedName>
    <definedName name="SD_81x1_5325x1_143_B_0" localSheetId="0">MAPPING!$N$557</definedName>
    <definedName name="SD_81x1_5325x1_144_B_0" localSheetId="0">MAPPING!$N$531</definedName>
    <definedName name="SD_81x1_5325x1_145_B_0" localSheetId="0">MAPPING!$N$536</definedName>
    <definedName name="SD_81x1_5325x1_146_B_0" localSheetId="0">MAPPING!$N$537</definedName>
    <definedName name="SD_81x1_5325x1_147_B_0" localSheetId="0">MAPPING!$N$541</definedName>
    <definedName name="SD_81x1_5325x1_148_B_0" localSheetId="0">MAPPING!$N$543</definedName>
    <definedName name="SD_81x1_5325x1_149_B_0" localSheetId="0">MAPPING!$N$545</definedName>
    <definedName name="SD_81x1_5325x1_150_B_0" localSheetId="0">MAPPING!$N$546</definedName>
    <definedName name="SD_81x1_5325x1_151_B_0" localSheetId="0">MAPPING!$N$558</definedName>
    <definedName name="SD_81x1_5325x1_152_B_0" localSheetId="0">MAPPING!$N$547</definedName>
    <definedName name="SD_81x1_5325x1_153_B_0" localSheetId="0">MAPPING!$N$559</definedName>
    <definedName name="SD_81x1_5325x1_154_B_0" localSheetId="0">MAPPING!$N$548</definedName>
    <definedName name="SD_81x1_5325x1_155_B_0" localSheetId="0">MAPPING!$N$560</definedName>
    <definedName name="SD_81x1_5325x1_156_B_0" localSheetId="0">MAPPING!$N$549</definedName>
    <definedName name="SD_81x1_5325x1_157_B_0" localSheetId="0">MAPPING!$N$561</definedName>
    <definedName name="SD_81x1_5325x1_158_B_0" localSheetId="0">MAPPING!$N$550</definedName>
    <definedName name="SD_81x1_5325x1_159_B_0" localSheetId="0">MAPPING!$N$562</definedName>
    <definedName name="SD_81x1_5325x1_160_B_0" localSheetId="0">MAPPING!$N$551</definedName>
    <definedName name="SD_81x1_5325x1_161_B_0" localSheetId="0">MAPPING!$N$568</definedName>
    <definedName name="SD_81x1_5325x1_162_B_0" localSheetId="0">MAPPING!$N$570</definedName>
    <definedName name="SD_81x1_5325x1_163_B_0" localSheetId="0">MAPPING!$N$573</definedName>
    <definedName name="SD_81x1_5325x1_164_B_0" localSheetId="0">MAPPING!$N$578</definedName>
    <definedName name="SD_81x1_5325x1_165_B_0" localSheetId="0">MAPPING!$N$579</definedName>
    <definedName name="SD_81x1_5325x1_168_B_0" localSheetId="0">MAPPING!$N$580</definedName>
    <definedName name="SD_81x1_5325x1_169_B_0" localSheetId="0" hidden="1">MAPPING!$N$583</definedName>
    <definedName name="SD_81x1_5325x1_170_B_0" localSheetId="0" hidden="1">MAPPING!$N$584</definedName>
    <definedName name="SD_81x1_5325x1_171_B_0" localSheetId="0">MAPPING!$N$616</definedName>
    <definedName name="SD_81x1_5325x1_172_B_0" localSheetId="0" hidden="1">MAPPING!$N$612</definedName>
    <definedName name="SD_81x1_5325x1_174_B_0" localSheetId="0" hidden="1">MAPPING!$N$586</definedName>
    <definedName name="SD_81x1_5325x1_175_B_0" localSheetId="0" hidden="1">MAPPING!$N$587</definedName>
    <definedName name="SD_81x1_5325x1_176_B_0" localSheetId="0" hidden="1">MAPPING!$N$591</definedName>
    <definedName name="SD_81x1_5325x1_177_B_0" localSheetId="0" hidden="1">MAPPING!$N$592</definedName>
    <definedName name="SD_81x1_5325x1_178_B_0" localSheetId="0" hidden="1">MAPPING!$N$593</definedName>
    <definedName name="SD_81x1_5325x1_179_B_0" localSheetId="0" hidden="1">MAPPING!$N$594</definedName>
    <definedName name="SD_81x1_5325x1_180_B_0" localSheetId="0" hidden="1">MAPPING!$N$595</definedName>
    <definedName name="SD_81x1_5325x1_182_B_0" localSheetId="0" hidden="1">MAPPING!$N$613</definedName>
    <definedName name="SD_81x1_5325x1_183_B_0" localSheetId="0">MAPPING!$N$603</definedName>
    <definedName name="SD_81x1_5325x1_184_B_0" localSheetId="0">MAPPING!$N$604</definedName>
    <definedName name="SD_81x1_5325x1_185_B_0" localSheetId="0" hidden="1">MAPPING!$N$606</definedName>
    <definedName name="SD_81x1_5325x1_186_B_0" localSheetId="0" hidden="1">MAPPING!$N$607</definedName>
    <definedName name="SD_81x1_5325x1_187_B_0" localSheetId="0" hidden="1">MAPPING!$N$608</definedName>
    <definedName name="SD_81x1_5325x1_188_B_0" localSheetId="0" hidden="1">MAPPING!$N$609</definedName>
    <definedName name="SD_81x1_5325x1_189_B_0" localSheetId="0" hidden="1">MAPPING!$N$610</definedName>
    <definedName name="SD_81x1_5325x1_190_B_0" localSheetId="0" hidden="1">MAPPING!$N$611</definedName>
    <definedName name="SD_81x1_5325x1_191_B_0" localSheetId="0">MAPPING!$N$618</definedName>
    <definedName name="SD_81x1_5325x1_192_B_0" localSheetId="0" hidden="1">MAPPING!$N$614</definedName>
    <definedName name="SD_81x1_5325x1_193_B_0" localSheetId="0">MAPPING!$N$619</definedName>
    <definedName name="SD_81x1_5325x1_194_B_0" localSheetId="0">MAPPING!$N$615</definedName>
    <definedName name="SD_81x1_5325x1_195_B_0" localSheetId="0" hidden="1">MAPPING!$N$588</definedName>
    <definedName name="SD_81x1_5325x1_197_B_0" localSheetId="0">MAPPING!$N$622</definedName>
    <definedName name="SD_81x1_5325x1_198_B_0" localSheetId="0">MAPPING!$N$623</definedName>
    <definedName name="SD_81x1_5325x1_199_B_0" localSheetId="0">MAPPING!$N$628</definedName>
    <definedName name="SD_81x1_5325x1_200_B_0" localSheetId="0">MAPPING!$N$626</definedName>
    <definedName name="SD_81x1_5325x1_201_B_0" localSheetId="0">MAPPING!$N$629</definedName>
    <definedName name="SD_81x1_5325x1_202_B_0" localSheetId="0">MAPPING!$N$627</definedName>
    <definedName name="SD_81x1_5325x1_203_B_0" localSheetId="0">MAPPING!$N$630</definedName>
    <definedName name="SD_81x1_5325x1_204_B_0" localSheetId="0">MAPPING!$N$631</definedName>
    <definedName name="SD_81x1_5325x1_205_B_0" localSheetId="0">MAPPING!$N$632</definedName>
    <definedName name="SD_81x1_5325x1_206_B_0" localSheetId="0">MAPPING!$N$633</definedName>
    <definedName name="SD_81x1_5325x1_207_B_0" localSheetId="0">MAPPING!$N$634</definedName>
    <definedName name="SD_81x1_5325x1_208_B_0" localSheetId="0">MAPPING!$N$635</definedName>
    <definedName name="SD_81x1_5325x1_209_B_0" localSheetId="0">MAPPING!$N$637</definedName>
    <definedName name="SD_81x1_5325x1_210_B_0" localSheetId="0">MAPPING!$N$638</definedName>
    <definedName name="SD_81x1_5325x1_211_B_0" localSheetId="0">MAPPING!$N$639</definedName>
    <definedName name="SD_81x1_5325x1_212_B_0" localSheetId="0">MAPPING!$N$643</definedName>
    <definedName name="SD_81x1_5325x1_213_B_0" localSheetId="0">MAPPING!$N$641</definedName>
    <definedName name="SD_81x1_5325x1_214_B_0" localSheetId="0">MAPPING!$N$644</definedName>
    <definedName name="SD_81x1_5325x1_215_B_0" localSheetId="0">MAPPING!$N$642</definedName>
    <definedName name="SD_81x1_5325x1_216_B_0" localSheetId="0">MAPPING!$N$645</definedName>
    <definedName name="SD_81x1_5325x1_217_B_0" localSheetId="0">MAPPING!$N$647</definedName>
    <definedName name="SD_81x1_5325x1_218_B_0" localSheetId="0">MAPPING!$N$648</definedName>
    <definedName name="SD_81x1_5325x1_219_B_0" localSheetId="0">MAPPING!$N$649</definedName>
    <definedName name="SD_81x1_5325x1_220_B_0" localSheetId="0">MAPPING!$N$650</definedName>
    <definedName name="SD_81x1_5325x1_221_B_0" localSheetId="0">MAPPING!$N$654</definedName>
    <definedName name="SD_81x1_5325x1_222_B_0" localSheetId="0">MAPPING!$N$652</definedName>
    <definedName name="SD_81x1_5325x1_223_B_0" localSheetId="0">MAPPING!$N$655</definedName>
    <definedName name="SD_81x1_5325x1_224_B_0" localSheetId="0">MAPPING!$N$653</definedName>
    <definedName name="SD_81x1_5325x1_225_B_0" localSheetId="0">MAPPING!$N$656</definedName>
    <definedName name="SD_81x1_5325x1_226_B_0" localSheetId="0">MAPPING!$N$657</definedName>
    <definedName name="SD_81x1_5325x1_227_B_0" localSheetId="0">MAPPING!$N$658</definedName>
    <definedName name="SD_81x1_5325x1_228_B_0" localSheetId="0">MAPPING!$N$659</definedName>
    <definedName name="SD_81x1_5325x1_229_B_0" localSheetId="0" hidden="1">MAPPING!$N$589</definedName>
    <definedName name="SD_81x1_5325x1_230_B_0" localSheetId="0">MAPPING!$N$651</definedName>
    <definedName name="SD_81x1_5325x1_231_B_0" localSheetId="0">MAPPING!$N$617</definedName>
    <definedName name="SD_81x1_5325x1_232_B_0" localSheetId="0">MAPPING!$N$519</definedName>
    <definedName name="SD_81x1_5325x1_233_B_0" localSheetId="0">MAPPING!$N$511</definedName>
    <definedName name="SD_81x1_5325x1_234_B_0" localSheetId="0">MAPPING!$N$520</definedName>
    <definedName name="SD_81x1_5325x1_235_B_0" localSheetId="0">MAPPING!$N$512</definedName>
    <definedName name="SD_81x1_5325x1_236_B_0" localSheetId="0">MAPPING!$N$521</definedName>
    <definedName name="SD_81x1_5325x1_237_B_0" localSheetId="0">MAPPING!$N$513</definedName>
    <definedName name="SD_81x1_5325x1_238_B_0" localSheetId="0">MAPPING!$N$522</definedName>
    <definedName name="SD_81x1_5325x1_239_B_0" localSheetId="0">MAPPING!$N$514</definedName>
    <definedName name="SD_81x1_5325x1_240_B_0" localSheetId="0">MAPPING!$N$523</definedName>
    <definedName name="SD_81x1_5325x1_241_B_0" localSheetId="0">MAPPING!$N$515</definedName>
    <definedName name="SD_81x1_5325x1_242_B_0" localSheetId="0">MAPPING!$N$563</definedName>
    <definedName name="SD_81x1_5325x1_243_B_0" localSheetId="0">MAPPING!$N$552</definedName>
    <definedName name="SD_81x1_5325x1_244_B_0" localSheetId="0">MAPPING!$N$564</definedName>
    <definedName name="SD_81x1_5325x1_245_B_0" localSheetId="0">MAPPING!$N$553</definedName>
    <definedName name="SD_81x1_5325x1_246_B_0" localSheetId="0">MAPPING!$N$565</definedName>
    <definedName name="SD_81x1_5325x1_247_B_0" localSheetId="0">MAPPING!$N$554</definedName>
    <definedName name="SD_81x1_5325x1_248_B_0" localSheetId="0">MAPPING!$N$566</definedName>
    <definedName name="SD_81x1_5325x1_249_B_0" localSheetId="0">MAPPING!$N$555</definedName>
    <definedName name="SD_81x1_5325x1_250_B_0" localSheetId="0">MAPPING!$N$567</definedName>
    <definedName name="SD_81x1_5325x1_251_B_0" localSheetId="0">MAPPING!$N$556</definedName>
    <definedName name="SD_81x1_5325x1_253_B_0" localSheetId="0" hidden="1">MAPPING!$N$529</definedName>
    <definedName name="SD_81x1_5325x1_254_B_0" localSheetId="0" hidden="1">MAPPING!$N$542</definedName>
    <definedName name="SD_81x1_5325x1_255_B_0" localSheetId="0" hidden="1">MAPPING!$N$544</definedName>
    <definedName name="SD_81x1_5325x1_256_B_0" localSheetId="0" hidden="1">MAPPING!$N$569</definedName>
    <definedName name="SD_81x1_5325x1_257_B_0" localSheetId="0" hidden="1">MAPPING!$N$646</definedName>
    <definedName name="SD_81x1_5325x1_258_B_0" localSheetId="0" hidden="1">MAPPING!$N$575</definedName>
    <definedName name="SD_81x1_5325x1_259_B_0" localSheetId="0" hidden="1">MAPPING!$N$581</definedName>
    <definedName name="SD_81x1_5325x1_260_B_0" localSheetId="0" hidden="1">MAPPING!$N$582</definedName>
    <definedName name="SD_81x1_5325x1_261_B_0" localSheetId="0" hidden="1">MAPPING!$N$585</definedName>
    <definedName name="SD_81x1_5325x1_262_B_0" localSheetId="0" hidden="1">MAPPING!$N$590</definedName>
    <definedName name="SD_81x1_5325x1_263_B_0" localSheetId="0" hidden="1">MAPPING!$N$596</definedName>
    <definedName name="SD_81x1_5325x1_264_B_0" localSheetId="0" hidden="1">MAPPING!$N$597</definedName>
    <definedName name="SD_81x1_5325x1_265_B_0" localSheetId="0" hidden="1">MAPPING!$N$598</definedName>
    <definedName name="SD_81x1_5325x1_266_B_0" localSheetId="0" hidden="1">MAPPING!$N$599</definedName>
    <definedName name="SD_81x1_5325x1_267_B_0" localSheetId="0" hidden="1">MAPPING!$N$600</definedName>
    <definedName name="SD_81x1_5325x1_268_B_0" localSheetId="0" hidden="1">MAPPING!$N$601</definedName>
    <definedName name="SD_81x1_5325x1_269_B_0" localSheetId="0" hidden="1">MAPPING!$N$602</definedName>
    <definedName name="SD_81x1_5325x1_270_B_0" localSheetId="0" hidden="1">MAPPING!$N$605</definedName>
    <definedName name="SD_81x1_5325x1_271_B_0" localSheetId="0" hidden="1">MAPPING!$N$528</definedName>
    <definedName name="SD_81x1_60_B_0" localSheetId="0">MAPPING!$J$504</definedName>
    <definedName name="SD_81x1_64_B_0" localSheetId="0">MAPPING!$J$640</definedName>
    <definedName name="SD_81x1_65_B_0" localSheetId="0">MAPPING!$J$620</definedName>
    <definedName name="SD_81x1_66_B_0" localSheetId="0">MAPPING!$J$534</definedName>
    <definedName name="SD_81x1_68_B_0" localSheetId="0">MAPPING!$J$525</definedName>
    <definedName name="SD_81x1_72_B_0" localSheetId="0">MAPPING!$J$568</definedName>
    <definedName name="SD_81x1_74_B_0" localSheetId="0">MAPPING!$J$541</definedName>
    <definedName name="SD_81x1_75_B_0" localSheetId="0">MAPPING!$J$577</definedName>
    <definedName name="SD_81x1_76_B_0" localSheetId="0">MAPPING!$J$524</definedName>
    <definedName name="SD_81x1_77_B_0" localSheetId="0">MAPPING!$J$528</definedName>
    <definedName name="SD_81x1_80_B_0" localSheetId="0">MAPPING!$J$536</definedName>
    <definedName name="SD_81x1_84_B_0" localSheetId="0">MAPPING!$J$540</definedName>
    <definedName name="SD_81x1_86_B_0" localSheetId="0">MAPPING!$J$572</definedName>
    <definedName name="SD_81x1_89_B_0" localSheetId="0">MAPPING!$J$621</definedName>
    <definedName name="SD_81x1_90_B_0" localSheetId="0">MAPPING!$J$527</definedName>
    <definedName name="SD_81x1_93_B_0" localSheetId="0">MAPPING!$J$535</definedName>
    <definedName name="SD_81x1_94_B_0" localSheetId="0">MAPPING!$J$530</definedName>
    <definedName name="SD_81x1_99_B_0" localSheetId="0">MAPPING!$J$636</definedName>
    <definedName name="SD_9089x1_9205x1_104_B_0" localSheetId="0">MAPPING!$I$22</definedName>
    <definedName name="SD_9089x1_9205x1_105_B_0" localSheetId="0">MAPPING!$I$26</definedName>
    <definedName name="SD_9089x1_9205x1_107_B_0" localSheetId="0">MAPPING!$I$31</definedName>
    <definedName name="SD_9089x1_9215x1_9223x1_10_S_0" localSheetId="0">MAPPING!$E$892</definedName>
    <definedName name="SD_9089x1_9215x1_9223x1_11_S_1" localSheetId="0">MAPPING!$E$893</definedName>
    <definedName name="SD_9089x1_9215x1_9223x1_167_B_0" localSheetId="0">MAPPING!$E$946</definedName>
    <definedName name="SD_9089x1_9215x1_9223x1_512_B_0" localSheetId="0">MAPPING!$E$894</definedName>
    <definedName name="SD_9089x1_9215x1_9223x1_513_B_0" localSheetId="0">MAPPING!$E$895</definedName>
    <definedName name="SD_9089x1_9215x1_9223x1_517_B_0" localSheetId="0">MAPPING!$E$897</definedName>
    <definedName name="SD_9089x1_9215x1_9223x1_532_B_0" localSheetId="0">MAPPING!$E$898</definedName>
    <definedName name="SD_9089x1_9215x1_9223x1_536_B_0" localSheetId="0">MAPPING!$E$899</definedName>
    <definedName name="SD_9089x1_9215x1_9223x1_568_B_0" localSheetId="0">MAPPING!$E$896</definedName>
    <definedName name="SD_9089x1_9215x1_9223x1_576_B_0" localSheetId="0">MAPPING!$E$912</definedName>
    <definedName name="SD_9089x1_9215x1_9223x1_578_B_0" localSheetId="0">MAPPING!$E$900</definedName>
    <definedName name="SD_9089x1_9215x1_9223x1_584_B_0" localSheetId="0">MAPPING!$E$901</definedName>
    <definedName name="SD_9089x1_9215x1_9223x1_587_B_0" localSheetId="0">MAPPING!$E$902</definedName>
    <definedName name="SD_9089x1_9215x1_9223x1_588_B_0" localSheetId="0">MAPPING!$E$903</definedName>
    <definedName name="SD_9089x1_9215x1_9223x1_590_B_0" localSheetId="0">MAPPING!$E$904</definedName>
    <definedName name="SD_9089x1_9215x1_9223x1_594_B_0" localSheetId="0">MAPPING!$E$905</definedName>
    <definedName name="SD_9089x1_9215x1_9223x1_596_B_0" localSheetId="0">MAPPING!$E$906</definedName>
    <definedName name="SD_9089x1_9215x1_9223x1_598_B_0" localSheetId="0">MAPPING!$E$907</definedName>
    <definedName name="SD_9089x1_9215x1_9223x1_600_B_0" localSheetId="0">MAPPING!$E$908</definedName>
    <definedName name="SD_9089x1_9215x1_9223x1_602_B_0" localSheetId="0">MAPPING!$E$909</definedName>
    <definedName name="SD_9089x1_9215x1_9223x1_604_B_0" localSheetId="0">MAPPING!$E$910</definedName>
    <definedName name="SD_9089x1_9215x1_9223x1_606_B_0" localSheetId="0">MAPPING!$E$911</definedName>
    <definedName name="SD_9089x1_9215x1_9223x1_609_B_0" localSheetId="0">MAPPING!$E$913</definedName>
    <definedName name="SD_9089x1_9215x1_9223x1_612_B_0" localSheetId="0">MAPPING!$E$914</definedName>
    <definedName name="SD_9089x1_9215x1_9223x1_613_B_0" localSheetId="0">MAPPING!$E$915</definedName>
    <definedName name="SD_9089x1_9215x1_9223x1_615_B_0" localSheetId="0">MAPPING!$E$916</definedName>
    <definedName name="SD_9089x1_9215x1_9223x1_616_B_0" localSheetId="0">MAPPING!$E$917</definedName>
    <definedName name="SD_9089x1_9215x1_9223x1_625_B_0" localSheetId="0">MAPPING!$E$918</definedName>
    <definedName name="SD_9089x1_9215x1_9223x1_626_B_0" localSheetId="0">MAPPING!$E$925</definedName>
    <definedName name="SD_9089x1_9215x1_9223x1_627_B_0" localSheetId="0">MAPPING!$E$928</definedName>
    <definedName name="SD_9089x1_9215x1_9223x1_632_B_0" localSheetId="0">MAPPING!$E$919</definedName>
    <definedName name="SD_9089x1_9215x1_9223x1_633_B_0" localSheetId="0">MAPPING!$E$922</definedName>
    <definedName name="SD_9089x1_9215x1_9223x1_634_B_0" localSheetId="0">MAPPING!$E$926</definedName>
    <definedName name="SD_9089x1_9215x1_9223x1_635_B_0" localSheetId="0">MAPPING!$E$929</definedName>
    <definedName name="SD_9089x1_9215x1_9223x1_636_B_0" localSheetId="0">MAPPING!$E$936</definedName>
    <definedName name="SD_9089x1_9215x1_9223x1_639_B_0" localSheetId="0">MAPPING!$E$920</definedName>
    <definedName name="SD_9089x1_9215x1_9223x1_640_B_0" localSheetId="0">MAPPING!$E$921</definedName>
    <definedName name="SD_9089x1_9215x1_9223x1_641_B_0" localSheetId="0">MAPPING!$E$927</definedName>
    <definedName name="SD_9089x1_9215x1_9223x1_642_B_0" localSheetId="0">MAPPING!$E$930</definedName>
    <definedName name="SD_9089x1_9215x1_9223x1_643_B_0" localSheetId="0">MAPPING!$E$931</definedName>
    <definedName name="SD_9089x1_9215x1_9223x1_644_B_0" localSheetId="0">MAPPING!$E$933</definedName>
    <definedName name="SD_9089x1_9215x1_9223x1_645_B_0" localSheetId="0">MAPPING!$E$935</definedName>
    <definedName name="SD_9089x1_9215x1_9223x1_647_B_0" localSheetId="0">MAPPING!$E$923</definedName>
    <definedName name="SD_9089x1_9215x1_9223x1_650_B_0" localSheetId="0">MAPPING!$E$924</definedName>
    <definedName name="SD_9089x1_9215x1_9223x1_654_B_0" localSheetId="0">MAPPING!$E$932</definedName>
    <definedName name="SD_9089x1_9215x1_9223x1_655_B_0" localSheetId="0">MAPPING!$E$934</definedName>
    <definedName name="SD_9089x1_9215x1_9223x1_661_B_0" localSheetId="0">MAPPING!$E$937</definedName>
    <definedName name="SD_9089x1_9215x1_9223x1_670_B_0" localSheetId="0">MAPPING!$E$938</definedName>
    <definedName name="SD_9089x1_9215x1_9223x1_673_B_0" localSheetId="0">MAPPING!$E$939</definedName>
    <definedName name="SD_9089x1_9215x1_9223x1_677_B_0" localSheetId="0">MAPPING!$E$941</definedName>
    <definedName name="SD_9089x1_9215x1_9223x1_680_B_0" localSheetId="0">MAPPING!$E$942</definedName>
    <definedName name="SD_9089x1_9215x1_9223x1_683_B_0" localSheetId="0">MAPPING!$E$945</definedName>
    <definedName name="SD_9089x1_9215x1_9223x1_684_B_0" localSheetId="0">MAPPING!$E$943</definedName>
    <definedName name="SD_9089x1_9215x1_9223x1_685_B_0" localSheetId="0">MAPPING!$E$944</definedName>
    <definedName name="SD_9089x1_9215x1_9223x1_687_B_0" localSheetId="0">MAPPING!$E$940</definedName>
    <definedName name="SD_9089x1_9215x10_9223x1_10_S_0" localSheetId="0">MAPPING!$N$892</definedName>
    <definedName name="SD_9089x1_9215x10_9223x1_11_S_1" localSheetId="0">MAPPING!$N$893</definedName>
    <definedName name="SD_9089x1_9215x10_9223x1_167_B_0" localSheetId="0">MAPPING!$N$946</definedName>
    <definedName name="SD_9089x1_9215x10_9223x1_512_B_0" localSheetId="0">MAPPING!$N$894</definedName>
    <definedName name="SD_9089x1_9215x10_9223x1_513_B_0" localSheetId="0">MAPPING!$N$895</definedName>
    <definedName name="SD_9089x1_9215x10_9223x1_517_B_0" localSheetId="0">MAPPING!$N$897</definedName>
    <definedName name="SD_9089x1_9215x10_9223x1_532_B_0" localSheetId="0">MAPPING!$N$898</definedName>
    <definedName name="SD_9089x1_9215x10_9223x1_536_B_0" localSheetId="0">MAPPING!$N$899</definedName>
    <definedName name="SD_9089x1_9215x10_9223x1_568_B_0" localSheetId="0">MAPPING!$N$896</definedName>
    <definedName name="SD_9089x1_9215x10_9223x1_576_B_0" localSheetId="0">MAPPING!$N$912</definedName>
    <definedName name="SD_9089x1_9215x10_9223x1_578_B_0" localSheetId="0">MAPPING!$N$900</definedName>
    <definedName name="SD_9089x1_9215x10_9223x1_584_B_0" localSheetId="0">MAPPING!$N$901</definedName>
    <definedName name="SD_9089x1_9215x10_9223x1_587_B_0" localSheetId="0">MAPPING!$N$902</definedName>
    <definedName name="SD_9089x1_9215x10_9223x1_588_B_0" localSheetId="0">MAPPING!$N$903</definedName>
    <definedName name="SD_9089x1_9215x10_9223x1_590_B_0" localSheetId="0">MAPPING!$N$904</definedName>
    <definedName name="SD_9089x1_9215x10_9223x1_594_B_0" localSheetId="0">MAPPING!$N$905</definedName>
    <definedName name="SD_9089x1_9215x10_9223x1_596_B_0" localSheetId="0">MAPPING!$N$906</definedName>
    <definedName name="SD_9089x1_9215x10_9223x1_598_B_0" localSheetId="0">MAPPING!$N$907</definedName>
    <definedName name="SD_9089x1_9215x10_9223x1_600_B_0" localSheetId="0">MAPPING!$N$908</definedName>
    <definedName name="SD_9089x1_9215x10_9223x1_602_B_0" localSheetId="0">MAPPING!$N$909</definedName>
    <definedName name="SD_9089x1_9215x10_9223x1_604_B_0" localSheetId="0">MAPPING!$N$910</definedName>
    <definedName name="SD_9089x1_9215x10_9223x1_606_B_0" localSheetId="0">MAPPING!$N$911</definedName>
    <definedName name="SD_9089x1_9215x10_9223x1_609_B_0" localSheetId="0">MAPPING!$N$913</definedName>
    <definedName name="SD_9089x1_9215x10_9223x1_612_B_0" localSheetId="0">MAPPING!$N$914</definedName>
    <definedName name="SD_9089x1_9215x10_9223x1_613_B_0" localSheetId="0">MAPPING!$N$915</definedName>
    <definedName name="SD_9089x1_9215x10_9223x1_615_B_0" localSheetId="0">MAPPING!$N$916</definedName>
    <definedName name="SD_9089x1_9215x10_9223x1_616_B_0" localSheetId="0">MAPPING!$N$917</definedName>
    <definedName name="SD_9089x1_9215x10_9223x1_625_B_0" localSheetId="0">MAPPING!$N$918</definedName>
    <definedName name="SD_9089x1_9215x10_9223x1_626_B_0" localSheetId="0">MAPPING!$N$925</definedName>
    <definedName name="SD_9089x1_9215x10_9223x1_627_B_0" localSheetId="0">MAPPING!$N$928</definedName>
    <definedName name="SD_9089x1_9215x10_9223x1_632_B_0" localSheetId="0">MAPPING!$N$919</definedName>
    <definedName name="SD_9089x1_9215x10_9223x1_633_B_0" localSheetId="0">MAPPING!$N$922</definedName>
    <definedName name="SD_9089x1_9215x10_9223x1_634_B_0" localSheetId="0">MAPPING!$N$926</definedName>
    <definedName name="SD_9089x1_9215x10_9223x1_635_B_0" localSheetId="0">MAPPING!$N$929</definedName>
    <definedName name="SD_9089x1_9215x10_9223x1_636_B_0" localSheetId="0">MAPPING!$N$936</definedName>
    <definedName name="SD_9089x1_9215x10_9223x1_639_B_0" localSheetId="0">MAPPING!$N$920</definedName>
    <definedName name="SD_9089x1_9215x10_9223x1_640_B_0" localSheetId="0">MAPPING!$N$921</definedName>
    <definedName name="SD_9089x1_9215x10_9223x1_641_B_0" localSheetId="0">MAPPING!$N$927</definedName>
    <definedName name="SD_9089x1_9215x10_9223x1_642_B_0" localSheetId="0">MAPPING!$N$930</definedName>
    <definedName name="SD_9089x1_9215x10_9223x1_643_B_0" localSheetId="0">MAPPING!$N$931</definedName>
    <definedName name="SD_9089x1_9215x10_9223x1_644_B_0" localSheetId="0">MAPPING!$N$933</definedName>
    <definedName name="SD_9089x1_9215x10_9223x1_645_B_0" localSheetId="0">MAPPING!$N$935</definedName>
    <definedName name="SD_9089x1_9215x10_9223x1_647_B_0" localSheetId="0">MAPPING!$N$923</definedName>
    <definedName name="SD_9089x1_9215x10_9223x1_650_B_0" localSheetId="0">MAPPING!$N$924</definedName>
    <definedName name="SD_9089x1_9215x10_9223x1_654_B_0" localSheetId="0">MAPPING!$N$932</definedName>
    <definedName name="SD_9089x1_9215x10_9223x1_655_B_0" localSheetId="0">MAPPING!$N$934</definedName>
    <definedName name="SD_9089x1_9215x10_9223x1_661_B_0" localSheetId="0">MAPPING!$N$937</definedName>
    <definedName name="SD_9089x1_9215x10_9223x1_670_B_0" localSheetId="0">MAPPING!$N$938</definedName>
    <definedName name="SD_9089x1_9215x10_9223x1_673_B_0" localSheetId="0">MAPPING!$N$939</definedName>
    <definedName name="SD_9089x1_9215x10_9223x1_677_B_0" localSheetId="0">MAPPING!$N$941</definedName>
    <definedName name="SD_9089x1_9215x10_9223x1_680_B_0" localSheetId="0">MAPPING!$N$942</definedName>
    <definedName name="SD_9089x1_9215x10_9223x1_683_B_0" localSheetId="0">MAPPING!$N$945</definedName>
    <definedName name="SD_9089x1_9215x10_9223x1_684_B_0" localSheetId="0">MAPPING!$N$943</definedName>
    <definedName name="SD_9089x1_9215x10_9223x1_685_B_0" localSheetId="0">MAPPING!$N$944</definedName>
    <definedName name="SD_9089x1_9215x10_9223x1_687_B_0" localSheetId="0">MAPPING!$N$940</definedName>
    <definedName name="SD_9089x1_9215x11_9223x1_10_S_0" localSheetId="0">MAPPING!$O$892</definedName>
    <definedName name="SD_9089x1_9215x11_9223x1_11_S_1" localSheetId="0">MAPPING!$O$893</definedName>
    <definedName name="SD_9089x1_9215x11_9223x1_167_B_0" localSheetId="0">MAPPING!$O$946</definedName>
    <definedName name="SD_9089x1_9215x11_9223x1_512_B_0" localSheetId="0">MAPPING!$O$894</definedName>
    <definedName name="SD_9089x1_9215x11_9223x1_513_B_0" localSheetId="0">MAPPING!$O$895</definedName>
    <definedName name="SD_9089x1_9215x11_9223x1_517_B_0" localSheetId="0">MAPPING!$O$897</definedName>
    <definedName name="SD_9089x1_9215x11_9223x1_532_B_0" localSheetId="0">MAPPING!$O$898</definedName>
    <definedName name="SD_9089x1_9215x11_9223x1_536_B_0" localSheetId="0">MAPPING!$O$899</definedName>
    <definedName name="SD_9089x1_9215x11_9223x1_568_B_0" localSheetId="0">MAPPING!$O$896</definedName>
    <definedName name="SD_9089x1_9215x11_9223x1_576_B_0" localSheetId="0">MAPPING!$O$912</definedName>
    <definedName name="SD_9089x1_9215x11_9223x1_578_B_0" localSheetId="0">MAPPING!$O$900</definedName>
    <definedName name="SD_9089x1_9215x11_9223x1_584_B_0" localSheetId="0">MAPPING!$O$901</definedName>
    <definedName name="SD_9089x1_9215x11_9223x1_587_B_0" localSheetId="0">MAPPING!$O$902</definedName>
    <definedName name="SD_9089x1_9215x11_9223x1_588_B_0" localSheetId="0">MAPPING!$O$903</definedName>
    <definedName name="SD_9089x1_9215x11_9223x1_590_B_0" localSheetId="0">MAPPING!$O$904</definedName>
    <definedName name="SD_9089x1_9215x11_9223x1_594_B_0" localSheetId="0">MAPPING!$O$905</definedName>
    <definedName name="SD_9089x1_9215x11_9223x1_596_B_0" localSheetId="0">MAPPING!$O$906</definedName>
    <definedName name="SD_9089x1_9215x11_9223x1_598_B_0" localSheetId="0">MAPPING!$O$907</definedName>
    <definedName name="SD_9089x1_9215x11_9223x1_600_B_0" localSheetId="0">MAPPING!$O$908</definedName>
    <definedName name="SD_9089x1_9215x11_9223x1_602_B_0" localSheetId="0">MAPPING!$O$909</definedName>
    <definedName name="SD_9089x1_9215x11_9223x1_604_B_0" localSheetId="0">MAPPING!$O$910</definedName>
    <definedName name="SD_9089x1_9215x11_9223x1_606_B_0" localSheetId="0">MAPPING!$O$911</definedName>
    <definedName name="SD_9089x1_9215x11_9223x1_609_B_0" localSheetId="0">MAPPING!$O$913</definedName>
    <definedName name="SD_9089x1_9215x11_9223x1_612_B_0" localSheetId="0">MAPPING!$O$914</definedName>
    <definedName name="SD_9089x1_9215x11_9223x1_613_B_0" localSheetId="0">MAPPING!$O$915</definedName>
    <definedName name="SD_9089x1_9215x11_9223x1_615_B_0" localSheetId="0">MAPPING!$O$916</definedName>
    <definedName name="SD_9089x1_9215x11_9223x1_616_B_0" localSheetId="0">MAPPING!$O$917</definedName>
    <definedName name="SD_9089x1_9215x11_9223x1_625_B_0" localSheetId="0">MAPPING!$O$918</definedName>
    <definedName name="SD_9089x1_9215x11_9223x1_626_B_0" localSheetId="0">MAPPING!$O$925</definedName>
    <definedName name="SD_9089x1_9215x11_9223x1_627_B_0" localSheetId="0">MAPPING!$O$928</definedName>
    <definedName name="SD_9089x1_9215x11_9223x1_632_B_0" localSheetId="0">MAPPING!$O$919</definedName>
    <definedName name="SD_9089x1_9215x11_9223x1_633_B_0" localSheetId="0">MAPPING!$O$922</definedName>
    <definedName name="SD_9089x1_9215x11_9223x1_634_B_0" localSheetId="0">MAPPING!$O$926</definedName>
    <definedName name="SD_9089x1_9215x11_9223x1_635_B_0" localSheetId="0">MAPPING!$O$929</definedName>
    <definedName name="SD_9089x1_9215x11_9223x1_636_B_0" localSheetId="0">MAPPING!$O$936</definedName>
    <definedName name="SD_9089x1_9215x11_9223x1_639_B_0" localSheetId="0">MAPPING!$O$920</definedName>
    <definedName name="SD_9089x1_9215x11_9223x1_640_B_0" localSheetId="0">MAPPING!$O$921</definedName>
    <definedName name="SD_9089x1_9215x11_9223x1_641_B_0" localSheetId="0">MAPPING!$O$927</definedName>
    <definedName name="SD_9089x1_9215x11_9223x1_642_B_0" localSheetId="0">MAPPING!$O$930</definedName>
    <definedName name="SD_9089x1_9215x11_9223x1_643_B_0" localSheetId="0">MAPPING!$O$931</definedName>
    <definedName name="SD_9089x1_9215x11_9223x1_644_B_0" localSheetId="0">MAPPING!$O$933</definedName>
    <definedName name="SD_9089x1_9215x11_9223x1_645_B_0" localSheetId="0">MAPPING!$O$935</definedName>
    <definedName name="SD_9089x1_9215x11_9223x1_647_B_0" localSheetId="0">MAPPING!$O$923</definedName>
    <definedName name="SD_9089x1_9215x11_9223x1_650_B_0" localSheetId="0">MAPPING!$O$924</definedName>
    <definedName name="SD_9089x1_9215x11_9223x1_654_B_0" localSheetId="0">MAPPING!$O$932</definedName>
    <definedName name="SD_9089x1_9215x11_9223x1_655_B_0" localSheetId="0">MAPPING!$O$934</definedName>
    <definedName name="SD_9089x1_9215x11_9223x1_661_B_0" localSheetId="0">MAPPING!$O$937</definedName>
    <definedName name="SD_9089x1_9215x11_9223x1_670_B_0" localSheetId="0">MAPPING!$O$938</definedName>
    <definedName name="SD_9089x1_9215x11_9223x1_673_B_0" localSheetId="0">MAPPING!$O$939</definedName>
    <definedName name="SD_9089x1_9215x11_9223x1_677_B_0" localSheetId="0">MAPPING!$O$941</definedName>
    <definedName name="SD_9089x1_9215x11_9223x1_680_B_0" localSheetId="0">MAPPING!$O$942</definedName>
    <definedName name="SD_9089x1_9215x11_9223x1_683_B_0" localSheetId="0">MAPPING!$O$945</definedName>
    <definedName name="SD_9089x1_9215x11_9223x1_684_B_0" localSheetId="0">MAPPING!$O$943</definedName>
    <definedName name="SD_9089x1_9215x11_9223x1_685_B_0" localSheetId="0">MAPPING!$O$944</definedName>
    <definedName name="SD_9089x1_9215x11_9223x1_687_B_0" localSheetId="0">MAPPING!$O$940</definedName>
    <definedName name="SD_9089x1_9215x12_9223x1_10_S_0" localSheetId="0">MAPPING!$P$892</definedName>
    <definedName name="SD_9089x1_9215x12_9223x1_11_S_1" localSheetId="0">MAPPING!$P$893</definedName>
    <definedName name="SD_9089x1_9215x12_9223x1_167_B_0" localSheetId="0">MAPPING!$P$946</definedName>
    <definedName name="SD_9089x1_9215x12_9223x1_512_B_0" localSheetId="0">MAPPING!$P$894</definedName>
    <definedName name="SD_9089x1_9215x12_9223x1_513_B_0" localSheetId="0">MAPPING!$P$895</definedName>
    <definedName name="SD_9089x1_9215x12_9223x1_517_B_0" localSheetId="0">MAPPING!$P$897</definedName>
    <definedName name="SD_9089x1_9215x12_9223x1_532_B_0" localSheetId="0">MAPPING!$P$898</definedName>
    <definedName name="SD_9089x1_9215x12_9223x1_536_B_0" localSheetId="0">MAPPING!$P$899</definedName>
    <definedName name="SD_9089x1_9215x12_9223x1_568_B_0" localSheetId="0">MAPPING!$P$896</definedName>
    <definedName name="SD_9089x1_9215x12_9223x1_576_B_0" localSheetId="0">MAPPING!$P$912</definedName>
    <definedName name="SD_9089x1_9215x12_9223x1_578_B_0" localSheetId="0">MAPPING!$P$900</definedName>
    <definedName name="SD_9089x1_9215x12_9223x1_584_B_0" localSheetId="0">MAPPING!$P$901</definedName>
    <definedName name="SD_9089x1_9215x12_9223x1_587_B_0" localSheetId="0">MAPPING!$P$902</definedName>
    <definedName name="SD_9089x1_9215x12_9223x1_588_B_0" localSheetId="0">MAPPING!$P$903</definedName>
    <definedName name="SD_9089x1_9215x12_9223x1_590_B_0" localSheetId="0">MAPPING!$P$904</definedName>
    <definedName name="SD_9089x1_9215x12_9223x1_594_B_0" localSheetId="0">MAPPING!$P$905</definedName>
    <definedName name="SD_9089x1_9215x12_9223x1_596_B_0" localSheetId="0">MAPPING!$P$906</definedName>
    <definedName name="SD_9089x1_9215x12_9223x1_598_B_0" localSheetId="0">MAPPING!$P$907</definedName>
    <definedName name="SD_9089x1_9215x12_9223x1_600_B_0" localSheetId="0">MAPPING!$P$908</definedName>
    <definedName name="SD_9089x1_9215x12_9223x1_602_B_0" localSheetId="0">MAPPING!$P$909</definedName>
    <definedName name="SD_9089x1_9215x12_9223x1_604_B_0" localSheetId="0">MAPPING!$P$910</definedName>
    <definedName name="SD_9089x1_9215x12_9223x1_606_B_0" localSheetId="0">MAPPING!$P$911</definedName>
    <definedName name="SD_9089x1_9215x12_9223x1_609_B_0" localSheetId="0">MAPPING!$P$913</definedName>
    <definedName name="SD_9089x1_9215x12_9223x1_612_B_0" localSheetId="0">MAPPING!$P$914</definedName>
    <definedName name="SD_9089x1_9215x12_9223x1_613_B_0" localSheetId="0">MAPPING!$P$915</definedName>
    <definedName name="SD_9089x1_9215x12_9223x1_615_B_0" localSheetId="0">MAPPING!$P$916</definedName>
    <definedName name="SD_9089x1_9215x12_9223x1_616_B_0" localSheetId="0">MAPPING!$P$917</definedName>
    <definedName name="SD_9089x1_9215x12_9223x1_625_B_0" localSheetId="0">MAPPING!$P$918</definedName>
    <definedName name="SD_9089x1_9215x12_9223x1_626_B_0" localSheetId="0">MAPPING!$P$925</definedName>
    <definedName name="SD_9089x1_9215x12_9223x1_627_B_0" localSheetId="0">MAPPING!$P$928</definedName>
    <definedName name="SD_9089x1_9215x12_9223x1_632_B_0" localSheetId="0">MAPPING!$P$919</definedName>
    <definedName name="SD_9089x1_9215x12_9223x1_633_B_0" localSheetId="0">MAPPING!$P$922</definedName>
    <definedName name="SD_9089x1_9215x12_9223x1_634_B_0" localSheetId="0">MAPPING!$P$926</definedName>
    <definedName name="SD_9089x1_9215x12_9223x1_635_B_0" localSheetId="0">MAPPING!$P$929</definedName>
    <definedName name="SD_9089x1_9215x12_9223x1_636_B_0" localSheetId="0">MAPPING!$P$936</definedName>
    <definedName name="SD_9089x1_9215x12_9223x1_639_B_0" localSheetId="0">MAPPING!$P$920</definedName>
    <definedName name="SD_9089x1_9215x12_9223x1_640_B_0" localSheetId="0">MAPPING!$P$921</definedName>
    <definedName name="SD_9089x1_9215x12_9223x1_641_B_0" localSheetId="0">MAPPING!$P$927</definedName>
    <definedName name="SD_9089x1_9215x12_9223x1_642_B_0" localSheetId="0">MAPPING!$P$930</definedName>
    <definedName name="SD_9089x1_9215x12_9223x1_643_B_0" localSheetId="0">MAPPING!$P$931</definedName>
    <definedName name="SD_9089x1_9215x12_9223x1_644_B_0" localSheetId="0">MAPPING!$P$933</definedName>
    <definedName name="SD_9089x1_9215x12_9223x1_645_B_0" localSheetId="0">MAPPING!$P$935</definedName>
    <definedName name="SD_9089x1_9215x12_9223x1_647_B_0" localSheetId="0">MAPPING!$P$923</definedName>
    <definedName name="SD_9089x1_9215x12_9223x1_650_B_0" localSheetId="0">MAPPING!$P$924</definedName>
    <definedName name="SD_9089x1_9215x12_9223x1_654_B_0" localSheetId="0">MAPPING!$P$932</definedName>
    <definedName name="SD_9089x1_9215x12_9223x1_655_B_0" localSheetId="0">MAPPING!$P$934</definedName>
    <definedName name="SD_9089x1_9215x12_9223x1_661_B_0" localSheetId="0">MAPPING!$P$937</definedName>
    <definedName name="SD_9089x1_9215x12_9223x1_670_B_0" localSheetId="0">MAPPING!$P$938</definedName>
    <definedName name="SD_9089x1_9215x12_9223x1_673_B_0" localSheetId="0">MAPPING!$P$939</definedName>
    <definedName name="SD_9089x1_9215x12_9223x1_677_B_0" localSheetId="0">MAPPING!$P$941</definedName>
    <definedName name="SD_9089x1_9215x12_9223x1_680_B_0" localSheetId="0">MAPPING!$P$942</definedName>
    <definedName name="SD_9089x1_9215x12_9223x1_683_B_0" localSheetId="0">MAPPING!$P$945</definedName>
    <definedName name="SD_9089x1_9215x12_9223x1_684_B_0" localSheetId="0">MAPPING!$P$943</definedName>
    <definedName name="SD_9089x1_9215x12_9223x1_685_B_0" localSheetId="0">MAPPING!$P$944</definedName>
    <definedName name="SD_9089x1_9215x12_9223x1_687_B_0" localSheetId="0">MAPPING!$P$940</definedName>
    <definedName name="SD_9089x1_9215x13_9223x1_10_S_0" localSheetId="0">MAPPING!$Q$892</definedName>
    <definedName name="SD_9089x1_9215x13_9223x1_11_S_1" localSheetId="0">MAPPING!$Q$893</definedName>
    <definedName name="SD_9089x1_9215x13_9223x1_167_B_0" localSheetId="0">MAPPING!$Q$946</definedName>
    <definedName name="SD_9089x1_9215x13_9223x1_512_B_0" localSheetId="0">MAPPING!$Q$894</definedName>
    <definedName name="SD_9089x1_9215x13_9223x1_513_B_0" localSheetId="0">MAPPING!$Q$895</definedName>
    <definedName name="SD_9089x1_9215x13_9223x1_517_B_0" localSheetId="0">MAPPING!$Q$897</definedName>
    <definedName name="SD_9089x1_9215x13_9223x1_532_B_0" localSheetId="0">MAPPING!$Q$898</definedName>
    <definedName name="SD_9089x1_9215x13_9223x1_536_B_0" localSheetId="0">MAPPING!$Q$899</definedName>
    <definedName name="SD_9089x1_9215x13_9223x1_568_B_0" localSheetId="0">MAPPING!$Q$896</definedName>
    <definedName name="SD_9089x1_9215x13_9223x1_576_B_0" localSheetId="0">MAPPING!$Q$912</definedName>
    <definedName name="SD_9089x1_9215x13_9223x1_578_B_0" localSheetId="0">MAPPING!$Q$900</definedName>
    <definedName name="SD_9089x1_9215x13_9223x1_584_B_0" localSheetId="0">MAPPING!$Q$901</definedName>
    <definedName name="SD_9089x1_9215x13_9223x1_587_B_0" localSheetId="0">MAPPING!$Q$902</definedName>
    <definedName name="SD_9089x1_9215x13_9223x1_588_B_0" localSheetId="0">MAPPING!$Q$903</definedName>
    <definedName name="SD_9089x1_9215x13_9223x1_590_B_0" localSheetId="0">MAPPING!$Q$904</definedName>
    <definedName name="SD_9089x1_9215x13_9223x1_594_B_0" localSheetId="0">MAPPING!$Q$905</definedName>
    <definedName name="SD_9089x1_9215x13_9223x1_596_B_0" localSheetId="0">MAPPING!$Q$906</definedName>
    <definedName name="SD_9089x1_9215x13_9223x1_598_B_0" localSheetId="0">MAPPING!$Q$907</definedName>
    <definedName name="SD_9089x1_9215x13_9223x1_600_B_0" localSheetId="0">MAPPING!$Q$908</definedName>
    <definedName name="SD_9089x1_9215x13_9223x1_602_B_0" localSheetId="0">MAPPING!$Q$909</definedName>
    <definedName name="SD_9089x1_9215x13_9223x1_604_B_0" localSheetId="0">MAPPING!$Q$910</definedName>
    <definedName name="SD_9089x1_9215x13_9223x1_606_B_0" localSheetId="0">MAPPING!$Q$911</definedName>
    <definedName name="SD_9089x1_9215x13_9223x1_609_B_0" localSheetId="0">MAPPING!$Q$913</definedName>
    <definedName name="SD_9089x1_9215x13_9223x1_612_B_0" localSheetId="0">MAPPING!$Q$914</definedName>
    <definedName name="SD_9089x1_9215x13_9223x1_613_B_0" localSheetId="0">MAPPING!$Q$915</definedName>
    <definedName name="SD_9089x1_9215x13_9223x1_615_B_0" localSheetId="0">MAPPING!$Q$916</definedName>
    <definedName name="SD_9089x1_9215x13_9223x1_616_B_0" localSheetId="0">MAPPING!$Q$917</definedName>
    <definedName name="SD_9089x1_9215x13_9223x1_625_B_0" localSheetId="0">MAPPING!$Q$918</definedName>
    <definedName name="SD_9089x1_9215x13_9223x1_626_B_0" localSheetId="0">MAPPING!$Q$925</definedName>
    <definedName name="SD_9089x1_9215x13_9223x1_627_B_0" localSheetId="0">MAPPING!$Q$928</definedName>
    <definedName name="SD_9089x1_9215x13_9223x1_632_B_0" localSheetId="0">MAPPING!$Q$919</definedName>
    <definedName name="SD_9089x1_9215x13_9223x1_633_B_0" localSheetId="0">MAPPING!$Q$922</definedName>
    <definedName name="SD_9089x1_9215x13_9223x1_634_B_0" localSheetId="0">MAPPING!$Q$926</definedName>
    <definedName name="SD_9089x1_9215x13_9223x1_635_B_0" localSheetId="0">MAPPING!$Q$929</definedName>
    <definedName name="SD_9089x1_9215x13_9223x1_636_B_0" localSheetId="0">MAPPING!$Q$936</definedName>
    <definedName name="SD_9089x1_9215x13_9223x1_639_B_0" localSheetId="0">MAPPING!$Q$920</definedName>
    <definedName name="SD_9089x1_9215x13_9223x1_640_B_0" localSheetId="0">MAPPING!$Q$921</definedName>
    <definedName name="SD_9089x1_9215x13_9223x1_641_B_0" localSheetId="0">MAPPING!$Q$927</definedName>
    <definedName name="SD_9089x1_9215x13_9223x1_642_B_0" localSheetId="0">MAPPING!$Q$930</definedName>
    <definedName name="SD_9089x1_9215x13_9223x1_643_B_0" localSheetId="0">MAPPING!$Q$931</definedName>
    <definedName name="SD_9089x1_9215x13_9223x1_644_B_0" localSheetId="0">MAPPING!$Q$933</definedName>
    <definedName name="SD_9089x1_9215x13_9223x1_645_B_0" localSheetId="0">MAPPING!$Q$935</definedName>
    <definedName name="SD_9089x1_9215x13_9223x1_647_B_0" localSheetId="0">MAPPING!$Q$923</definedName>
    <definedName name="SD_9089x1_9215x13_9223x1_650_B_0" localSheetId="0">MAPPING!$Q$924</definedName>
    <definedName name="SD_9089x1_9215x13_9223x1_654_B_0" localSheetId="0">MAPPING!$Q$932</definedName>
    <definedName name="SD_9089x1_9215x13_9223x1_655_B_0" localSheetId="0">MAPPING!$Q$934</definedName>
    <definedName name="SD_9089x1_9215x13_9223x1_661_B_0" localSheetId="0">MAPPING!$Q$937</definedName>
    <definedName name="SD_9089x1_9215x13_9223x1_670_B_0" localSheetId="0">MAPPING!$Q$938</definedName>
    <definedName name="SD_9089x1_9215x13_9223x1_673_B_0" localSheetId="0">MAPPING!$Q$939</definedName>
    <definedName name="SD_9089x1_9215x13_9223x1_677_B_0" localSheetId="0">MAPPING!$Q$941</definedName>
    <definedName name="SD_9089x1_9215x13_9223x1_680_B_0" localSheetId="0">MAPPING!$Q$942</definedName>
    <definedName name="SD_9089x1_9215x13_9223x1_683_B_0" localSheetId="0">MAPPING!$Q$945</definedName>
    <definedName name="SD_9089x1_9215x13_9223x1_684_B_0" localSheetId="0">MAPPING!$Q$943</definedName>
    <definedName name="SD_9089x1_9215x13_9223x1_685_B_0" localSheetId="0">MAPPING!$Q$944</definedName>
    <definedName name="SD_9089x1_9215x13_9223x1_687_B_0" localSheetId="0">MAPPING!$Q$940</definedName>
    <definedName name="SD_9089x1_9215x14_9223x1_10_S_0" localSheetId="0">MAPPING!$R$892</definedName>
    <definedName name="SD_9089x1_9215x14_9223x1_11_S_1" localSheetId="0">MAPPING!$R$893</definedName>
    <definedName name="SD_9089x1_9215x14_9223x1_167_B_0" localSheetId="0">MAPPING!$R$946</definedName>
    <definedName name="SD_9089x1_9215x14_9223x1_512_B_0" localSheetId="0">MAPPING!$R$894</definedName>
    <definedName name="SD_9089x1_9215x14_9223x1_513_B_0" localSheetId="0">MAPPING!$R$895</definedName>
    <definedName name="SD_9089x1_9215x14_9223x1_517_B_0" localSheetId="0">MAPPING!$R$897</definedName>
    <definedName name="SD_9089x1_9215x14_9223x1_532_B_0" localSheetId="0">MAPPING!$R$898</definedName>
    <definedName name="SD_9089x1_9215x14_9223x1_536_B_0" localSheetId="0">MAPPING!$R$899</definedName>
    <definedName name="SD_9089x1_9215x14_9223x1_568_B_0" localSheetId="0">MAPPING!$R$896</definedName>
    <definedName name="SD_9089x1_9215x14_9223x1_576_B_0" localSheetId="0">MAPPING!$R$912</definedName>
    <definedName name="SD_9089x1_9215x14_9223x1_578_B_0" localSheetId="0">MAPPING!$R$900</definedName>
    <definedName name="SD_9089x1_9215x14_9223x1_584_B_0" localSheetId="0">MAPPING!$R$901</definedName>
    <definedName name="SD_9089x1_9215x14_9223x1_587_B_0" localSheetId="0">MAPPING!$R$902</definedName>
    <definedName name="SD_9089x1_9215x14_9223x1_588_B_0" localSheetId="0">MAPPING!$R$903</definedName>
    <definedName name="SD_9089x1_9215x14_9223x1_590_B_0" localSheetId="0">MAPPING!$R$904</definedName>
    <definedName name="SD_9089x1_9215x14_9223x1_594_B_0" localSheetId="0">MAPPING!$R$905</definedName>
    <definedName name="SD_9089x1_9215x14_9223x1_596_B_0" localSheetId="0">MAPPING!$R$906</definedName>
    <definedName name="SD_9089x1_9215x14_9223x1_598_B_0" localSheetId="0">MAPPING!$R$907</definedName>
    <definedName name="SD_9089x1_9215x14_9223x1_600_B_0" localSheetId="0">MAPPING!$R$908</definedName>
    <definedName name="SD_9089x1_9215x14_9223x1_602_B_0" localSheetId="0">MAPPING!$R$909</definedName>
    <definedName name="SD_9089x1_9215x14_9223x1_604_B_0" localSheetId="0">MAPPING!$R$910</definedName>
    <definedName name="SD_9089x1_9215x14_9223x1_606_B_0" localSheetId="0">MAPPING!$R$911</definedName>
    <definedName name="SD_9089x1_9215x14_9223x1_609_B_0" localSheetId="0">MAPPING!$R$913</definedName>
    <definedName name="SD_9089x1_9215x14_9223x1_612_B_0" localSheetId="0">MAPPING!$R$914</definedName>
    <definedName name="SD_9089x1_9215x14_9223x1_613_B_0" localSheetId="0">MAPPING!$R$915</definedName>
    <definedName name="SD_9089x1_9215x14_9223x1_615_B_0" localSheetId="0">MAPPING!$R$916</definedName>
    <definedName name="SD_9089x1_9215x14_9223x1_616_B_0" localSheetId="0">MAPPING!$R$917</definedName>
    <definedName name="SD_9089x1_9215x14_9223x1_625_B_0" localSheetId="0">MAPPING!$R$918</definedName>
    <definedName name="SD_9089x1_9215x14_9223x1_626_B_0" localSheetId="0">MAPPING!$R$925</definedName>
    <definedName name="SD_9089x1_9215x14_9223x1_627_B_0" localSheetId="0">MAPPING!$R$928</definedName>
    <definedName name="SD_9089x1_9215x14_9223x1_632_B_0" localSheetId="0">MAPPING!$R$919</definedName>
    <definedName name="SD_9089x1_9215x14_9223x1_633_B_0" localSheetId="0">MAPPING!$R$922</definedName>
    <definedName name="SD_9089x1_9215x14_9223x1_634_B_0" localSheetId="0">MAPPING!$R$926</definedName>
    <definedName name="SD_9089x1_9215x14_9223x1_635_B_0" localSheetId="0">MAPPING!$R$929</definedName>
    <definedName name="SD_9089x1_9215x14_9223x1_636_B_0" localSheetId="0">MAPPING!$R$936</definedName>
    <definedName name="SD_9089x1_9215x14_9223x1_639_B_0" localSheetId="0">MAPPING!$R$920</definedName>
    <definedName name="SD_9089x1_9215x14_9223x1_640_B_0" localSheetId="0">MAPPING!$R$921</definedName>
    <definedName name="SD_9089x1_9215x14_9223x1_641_B_0" localSheetId="0">MAPPING!$R$927</definedName>
    <definedName name="SD_9089x1_9215x14_9223x1_642_B_0" localSheetId="0">MAPPING!$R$930</definedName>
    <definedName name="SD_9089x1_9215x14_9223x1_643_B_0" localSheetId="0">MAPPING!$R$931</definedName>
    <definedName name="SD_9089x1_9215x14_9223x1_644_B_0" localSheetId="0">MAPPING!$R$933</definedName>
    <definedName name="SD_9089x1_9215x14_9223x1_645_B_0" localSheetId="0">MAPPING!$R$935</definedName>
    <definedName name="SD_9089x1_9215x14_9223x1_647_B_0" localSheetId="0">MAPPING!$R$923</definedName>
    <definedName name="SD_9089x1_9215x14_9223x1_650_B_0" localSheetId="0">MAPPING!$R$924</definedName>
    <definedName name="SD_9089x1_9215x14_9223x1_654_B_0" localSheetId="0">MAPPING!$R$932</definedName>
    <definedName name="SD_9089x1_9215x14_9223x1_655_B_0" localSheetId="0">MAPPING!$R$934</definedName>
    <definedName name="SD_9089x1_9215x14_9223x1_661_B_0" localSheetId="0">MAPPING!$R$937</definedName>
    <definedName name="SD_9089x1_9215x14_9223x1_670_B_0" localSheetId="0">MAPPING!$R$938</definedName>
    <definedName name="SD_9089x1_9215x14_9223x1_673_B_0" localSheetId="0">MAPPING!$R$939</definedName>
    <definedName name="SD_9089x1_9215x14_9223x1_677_B_0" localSheetId="0">MAPPING!$R$941</definedName>
    <definedName name="SD_9089x1_9215x14_9223x1_680_B_0" localSheetId="0">MAPPING!$R$942</definedName>
    <definedName name="SD_9089x1_9215x14_9223x1_683_B_0" localSheetId="0">MAPPING!$R$945</definedName>
    <definedName name="SD_9089x1_9215x14_9223x1_684_B_0" localSheetId="0">MAPPING!$R$943</definedName>
    <definedName name="SD_9089x1_9215x14_9223x1_685_B_0" localSheetId="0">MAPPING!$R$944</definedName>
    <definedName name="SD_9089x1_9215x14_9223x1_687_B_0" localSheetId="0">MAPPING!$R$940</definedName>
    <definedName name="SD_9089x1_9215x15_9223x1_10_S_0" localSheetId="0">MAPPING!$S$892</definedName>
    <definedName name="SD_9089x1_9215x15_9223x1_11_S_1" localSheetId="0">MAPPING!$S$893</definedName>
    <definedName name="SD_9089x1_9215x15_9223x1_167_B_0" localSheetId="0">MAPPING!$S$946</definedName>
    <definedName name="SD_9089x1_9215x15_9223x1_512_B_0" localSheetId="0">MAPPING!$S$894</definedName>
    <definedName name="SD_9089x1_9215x15_9223x1_513_B_0" localSheetId="0">MAPPING!$S$895</definedName>
    <definedName name="SD_9089x1_9215x15_9223x1_517_B_0" localSheetId="0">MAPPING!$S$897</definedName>
    <definedName name="SD_9089x1_9215x15_9223x1_532_B_0" localSheetId="0">MAPPING!$S$898</definedName>
    <definedName name="SD_9089x1_9215x15_9223x1_536_B_0" localSheetId="0">MAPPING!$S$899</definedName>
    <definedName name="SD_9089x1_9215x15_9223x1_568_B_0" localSheetId="0">MAPPING!$S$896</definedName>
    <definedName name="SD_9089x1_9215x15_9223x1_576_B_0" localSheetId="0">MAPPING!$S$912</definedName>
    <definedName name="SD_9089x1_9215x15_9223x1_578_B_0" localSheetId="0">MAPPING!$S$900</definedName>
    <definedName name="SD_9089x1_9215x15_9223x1_584_B_0" localSheetId="0">MAPPING!$S$901</definedName>
    <definedName name="SD_9089x1_9215x15_9223x1_587_B_0" localSheetId="0">MAPPING!$S$902</definedName>
    <definedName name="SD_9089x1_9215x15_9223x1_588_B_0" localSheetId="0">MAPPING!$S$903</definedName>
    <definedName name="SD_9089x1_9215x15_9223x1_590_B_0" localSheetId="0">MAPPING!$S$904</definedName>
    <definedName name="SD_9089x1_9215x15_9223x1_594_B_0" localSheetId="0">MAPPING!$S$905</definedName>
    <definedName name="SD_9089x1_9215x15_9223x1_596_B_0" localSheetId="0">MAPPING!$S$906</definedName>
    <definedName name="SD_9089x1_9215x15_9223x1_598_B_0" localSheetId="0">MAPPING!$S$907</definedName>
    <definedName name="SD_9089x1_9215x15_9223x1_600_B_0" localSheetId="0">MAPPING!$S$908</definedName>
    <definedName name="SD_9089x1_9215x15_9223x1_602_B_0" localSheetId="0">MAPPING!$S$909</definedName>
    <definedName name="SD_9089x1_9215x15_9223x1_604_B_0" localSheetId="0">MAPPING!$S$910</definedName>
    <definedName name="SD_9089x1_9215x15_9223x1_606_B_0" localSheetId="0">MAPPING!$S$911</definedName>
    <definedName name="SD_9089x1_9215x15_9223x1_609_B_0" localSheetId="0">MAPPING!$S$913</definedName>
    <definedName name="SD_9089x1_9215x15_9223x1_612_B_0" localSheetId="0">MAPPING!$S$914</definedName>
    <definedName name="SD_9089x1_9215x15_9223x1_613_B_0" localSheetId="0">MAPPING!$S$915</definedName>
    <definedName name="SD_9089x1_9215x15_9223x1_615_B_0" localSheetId="0">MAPPING!$S$916</definedName>
    <definedName name="SD_9089x1_9215x15_9223x1_616_B_0" localSheetId="0">MAPPING!$S$917</definedName>
    <definedName name="SD_9089x1_9215x15_9223x1_625_B_0" localSheetId="0">MAPPING!$S$918</definedName>
    <definedName name="SD_9089x1_9215x15_9223x1_626_B_0" localSheetId="0">MAPPING!$S$925</definedName>
    <definedName name="SD_9089x1_9215x15_9223x1_627_B_0" localSheetId="0">MAPPING!$S$928</definedName>
    <definedName name="SD_9089x1_9215x15_9223x1_632_B_0" localSheetId="0">MAPPING!$S$919</definedName>
    <definedName name="SD_9089x1_9215x15_9223x1_633_B_0" localSheetId="0">MAPPING!$S$922</definedName>
    <definedName name="SD_9089x1_9215x15_9223x1_634_B_0" localSheetId="0">MAPPING!$S$926</definedName>
    <definedName name="SD_9089x1_9215x15_9223x1_635_B_0" localSheetId="0">MAPPING!$S$929</definedName>
    <definedName name="SD_9089x1_9215x15_9223x1_636_B_0" localSheetId="0">MAPPING!$S$936</definedName>
    <definedName name="SD_9089x1_9215x15_9223x1_639_B_0" localSheetId="0">MAPPING!$S$920</definedName>
    <definedName name="SD_9089x1_9215x15_9223x1_640_B_0" localSheetId="0">MAPPING!$S$921</definedName>
    <definedName name="SD_9089x1_9215x15_9223x1_641_B_0" localSheetId="0">MAPPING!$S$927</definedName>
    <definedName name="SD_9089x1_9215x15_9223x1_642_B_0" localSheetId="0">MAPPING!$S$930</definedName>
    <definedName name="SD_9089x1_9215x15_9223x1_643_B_0" localSheetId="0">MAPPING!$S$931</definedName>
    <definedName name="SD_9089x1_9215x15_9223x1_644_B_0" localSheetId="0">MAPPING!$S$933</definedName>
    <definedName name="SD_9089x1_9215x15_9223x1_645_B_0" localSheetId="0">MAPPING!$S$935</definedName>
    <definedName name="SD_9089x1_9215x15_9223x1_647_B_0" localSheetId="0">MAPPING!$S$923</definedName>
    <definedName name="SD_9089x1_9215x15_9223x1_650_B_0" localSheetId="0">MAPPING!$S$924</definedName>
    <definedName name="SD_9089x1_9215x15_9223x1_654_B_0" localSheetId="0">MAPPING!$S$932</definedName>
    <definedName name="SD_9089x1_9215x15_9223x1_655_B_0" localSheetId="0">MAPPING!$S$934</definedName>
    <definedName name="SD_9089x1_9215x15_9223x1_661_B_0" localSheetId="0">MAPPING!$S$937</definedName>
    <definedName name="SD_9089x1_9215x15_9223x1_670_B_0" localSheetId="0">MAPPING!$S$938</definedName>
    <definedName name="SD_9089x1_9215x15_9223x1_673_B_0" localSheetId="0">MAPPING!$S$939</definedName>
    <definedName name="SD_9089x1_9215x15_9223x1_677_B_0" localSheetId="0">MAPPING!$S$941</definedName>
    <definedName name="SD_9089x1_9215x15_9223x1_680_B_0" localSheetId="0">MAPPING!$S$942</definedName>
    <definedName name="SD_9089x1_9215x15_9223x1_683_B_0" localSheetId="0">MAPPING!$S$945</definedName>
    <definedName name="SD_9089x1_9215x15_9223x1_684_B_0" localSheetId="0">MAPPING!$S$943</definedName>
    <definedName name="SD_9089x1_9215x15_9223x1_685_B_0" localSheetId="0">MAPPING!$S$944</definedName>
    <definedName name="SD_9089x1_9215x15_9223x1_687_B_0" localSheetId="0">MAPPING!$S$940</definedName>
    <definedName name="SD_9089x1_9215x16_9223x1_10_S_0" localSheetId="0">MAPPING!$T$892</definedName>
    <definedName name="SD_9089x1_9215x16_9223x1_11_S_1" localSheetId="0">MAPPING!$T$893</definedName>
    <definedName name="SD_9089x1_9215x16_9223x1_167_B_0" localSheetId="0">MAPPING!$T$946</definedName>
    <definedName name="SD_9089x1_9215x16_9223x1_512_B_0" localSheetId="0">MAPPING!$T$894</definedName>
    <definedName name="SD_9089x1_9215x16_9223x1_513_B_0" localSheetId="0">MAPPING!$T$895</definedName>
    <definedName name="SD_9089x1_9215x16_9223x1_517_B_0" localSheetId="0">MAPPING!$T$897</definedName>
    <definedName name="SD_9089x1_9215x16_9223x1_532_B_0" localSheetId="0">MAPPING!$T$898</definedName>
    <definedName name="SD_9089x1_9215x16_9223x1_536_B_0" localSheetId="0">MAPPING!$T$899</definedName>
    <definedName name="SD_9089x1_9215x16_9223x1_568_B_0" localSheetId="0">MAPPING!$T$896</definedName>
    <definedName name="SD_9089x1_9215x16_9223x1_576_B_0" localSheetId="0">MAPPING!$T$912</definedName>
    <definedName name="SD_9089x1_9215x16_9223x1_578_B_0" localSheetId="0">MAPPING!$T$900</definedName>
    <definedName name="SD_9089x1_9215x16_9223x1_584_B_0" localSheetId="0">MAPPING!$T$901</definedName>
    <definedName name="SD_9089x1_9215x16_9223x1_587_B_0" localSheetId="0">MAPPING!$T$902</definedName>
    <definedName name="SD_9089x1_9215x16_9223x1_588_B_0" localSheetId="0">MAPPING!$T$903</definedName>
    <definedName name="SD_9089x1_9215x16_9223x1_590_B_0" localSheetId="0">MAPPING!$T$904</definedName>
    <definedName name="SD_9089x1_9215x16_9223x1_594_B_0" localSheetId="0">MAPPING!$T$905</definedName>
    <definedName name="SD_9089x1_9215x16_9223x1_596_B_0" localSheetId="0">MAPPING!$T$906</definedName>
    <definedName name="SD_9089x1_9215x16_9223x1_598_B_0" localSheetId="0">MAPPING!$T$907</definedName>
    <definedName name="SD_9089x1_9215x16_9223x1_600_B_0" localSheetId="0">MAPPING!$T$908</definedName>
    <definedName name="SD_9089x1_9215x16_9223x1_602_B_0" localSheetId="0">MAPPING!$T$909</definedName>
    <definedName name="SD_9089x1_9215x16_9223x1_604_B_0" localSheetId="0">MAPPING!$T$910</definedName>
    <definedName name="SD_9089x1_9215x16_9223x1_606_B_0" localSheetId="0">MAPPING!$T$911</definedName>
    <definedName name="SD_9089x1_9215x16_9223x1_609_B_0" localSheetId="0">MAPPING!$T$913</definedName>
    <definedName name="SD_9089x1_9215x16_9223x1_612_B_0" localSheetId="0">MAPPING!$T$914</definedName>
    <definedName name="SD_9089x1_9215x16_9223x1_613_B_0" localSheetId="0">MAPPING!$T$915</definedName>
    <definedName name="SD_9089x1_9215x16_9223x1_615_B_0" localSheetId="0">MAPPING!$T$916</definedName>
    <definedName name="SD_9089x1_9215x16_9223x1_616_B_0" localSheetId="0">MAPPING!$T$917</definedName>
    <definedName name="SD_9089x1_9215x16_9223x1_625_B_0" localSheetId="0">MAPPING!$T$918</definedName>
    <definedName name="SD_9089x1_9215x16_9223x1_626_B_0" localSheetId="0">MAPPING!$T$925</definedName>
    <definedName name="SD_9089x1_9215x16_9223x1_627_B_0" localSheetId="0">MAPPING!$T$928</definedName>
    <definedName name="SD_9089x1_9215x16_9223x1_632_B_0" localSheetId="0">MAPPING!$T$919</definedName>
    <definedName name="SD_9089x1_9215x16_9223x1_633_B_0" localSheetId="0">MAPPING!$T$922</definedName>
    <definedName name="SD_9089x1_9215x16_9223x1_634_B_0" localSheetId="0">MAPPING!$T$926</definedName>
    <definedName name="SD_9089x1_9215x16_9223x1_635_B_0" localSheetId="0">MAPPING!$T$929</definedName>
    <definedName name="SD_9089x1_9215x16_9223x1_636_B_0" localSheetId="0">MAPPING!$T$936</definedName>
    <definedName name="SD_9089x1_9215x16_9223x1_639_B_0" localSheetId="0">MAPPING!$T$920</definedName>
    <definedName name="SD_9089x1_9215x16_9223x1_640_B_0" localSheetId="0">MAPPING!$T$921</definedName>
    <definedName name="SD_9089x1_9215x16_9223x1_641_B_0" localSheetId="0">MAPPING!$T$927</definedName>
    <definedName name="SD_9089x1_9215x16_9223x1_642_B_0" localSheetId="0">MAPPING!$T$930</definedName>
    <definedName name="SD_9089x1_9215x16_9223x1_643_B_0" localSheetId="0">MAPPING!$T$931</definedName>
    <definedName name="SD_9089x1_9215x16_9223x1_644_B_0" localSheetId="0">MAPPING!$T$933</definedName>
    <definedName name="SD_9089x1_9215x16_9223x1_645_B_0" localSheetId="0">MAPPING!$T$935</definedName>
    <definedName name="SD_9089x1_9215x16_9223x1_647_B_0" localSheetId="0">MAPPING!$T$923</definedName>
    <definedName name="SD_9089x1_9215x16_9223x1_650_B_0" localSheetId="0">MAPPING!$T$924</definedName>
    <definedName name="SD_9089x1_9215x16_9223x1_654_B_0" localSheetId="0">MAPPING!$T$932</definedName>
    <definedName name="SD_9089x1_9215x16_9223x1_655_B_0" localSheetId="0">MAPPING!$T$934</definedName>
    <definedName name="SD_9089x1_9215x16_9223x1_661_B_0" localSheetId="0">MAPPING!$T$937</definedName>
    <definedName name="SD_9089x1_9215x16_9223x1_670_B_0" localSheetId="0">MAPPING!$T$938</definedName>
    <definedName name="SD_9089x1_9215x16_9223x1_673_B_0" localSheetId="0">MAPPING!$T$939</definedName>
    <definedName name="SD_9089x1_9215x16_9223x1_677_B_0" localSheetId="0">MAPPING!$T$941</definedName>
    <definedName name="SD_9089x1_9215x16_9223x1_680_B_0" localSheetId="0">MAPPING!$T$942</definedName>
    <definedName name="SD_9089x1_9215x16_9223x1_683_B_0" localSheetId="0">MAPPING!$T$945</definedName>
    <definedName name="SD_9089x1_9215x16_9223x1_684_B_0" localSheetId="0">MAPPING!$T$943</definedName>
    <definedName name="SD_9089x1_9215x16_9223x1_685_B_0" localSheetId="0">MAPPING!$T$944</definedName>
    <definedName name="SD_9089x1_9215x16_9223x1_687_B_0" localSheetId="0">MAPPING!$T$940</definedName>
    <definedName name="SD_9089x1_9215x17_9223x1_10_S_0" localSheetId="0">MAPPING!$U$892</definedName>
    <definedName name="SD_9089x1_9215x17_9223x1_11_S_1" localSheetId="0">MAPPING!$U$893</definedName>
    <definedName name="SD_9089x1_9215x17_9223x1_167_B_0" localSheetId="0">MAPPING!$U$946</definedName>
    <definedName name="SD_9089x1_9215x17_9223x1_512_B_0" localSheetId="0">MAPPING!$U$894</definedName>
    <definedName name="SD_9089x1_9215x17_9223x1_513_B_0" localSheetId="0">MAPPING!$U$895</definedName>
    <definedName name="SD_9089x1_9215x17_9223x1_517_B_0" localSheetId="0">MAPPING!$U$897</definedName>
    <definedName name="SD_9089x1_9215x17_9223x1_532_B_0" localSheetId="0">MAPPING!$U$898</definedName>
    <definedName name="SD_9089x1_9215x17_9223x1_536_B_0" localSheetId="0">MAPPING!$U$899</definedName>
    <definedName name="SD_9089x1_9215x17_9223x1_568_B_0" localSheetId="0">MAPPING!$U$896</definedName>
    <definedName name="SD_9089x1_9215x17_9223x1_576_B_0" localSheetId="0">MAPPING!$U$912</definedName>
    <definedName name="SD_9089x1_9215x17_9223x1_578_B_0" localSheetId="0">MAPPING!$U$900</definedName>
    <definedName name="SD_9089x1_9215x17_9223x1_584_B_0" localSheetId="0">MAPPING!$U$901</definedName>
    <definedName name="SD_9089x1_9215x17_9223x1_587_B_0" localSheetId="0">MAPPING!$U$902</definedName>
    <definedName name="SD_9089x1_9215x17_9223x1_588_B_0" localSheetId="0">MAPPING!$U$903</definedName>
    <definedName name="SD_9089x1_9215x17_9223x1_590_B_0" localSheetId="0">MAPPING!$U$904</definedName>
    <definedName name="SD_9089x1_9215x17_9223x1_594_B_0" localSheetId="0">MAPPING!$U$905</definedName>
    <definedName name="SD_9089x1_9215x17_9223x1_596_B_0" localSheetId="0">MAPPING!$U$906</definedName>
    <definedName name="SD_9089x1_9215x17_9223x1_598_B_0" localSheetId="0">MAPPING!$U$907</definedName>
    <definedName name="SD_9089x1_9215x17_9223x1_600_B_0" localSheetId="0">MAPPING!$U$908</definedName>
    <definedName name="SD_9089x1_9215x17_9223x1_602_B_0" localSheetId="0">MAPPING!$U$909</definedName>
    <definedName name="SD_9089x1_9215x17_9223x1_604_B_0" localSheetId="0">MAPPING!$U$910</definedName>
    <definedName name="SD_9089x1_9215x17_9223x1_606_B_0" localSheetId="0">MAPPING!$U$911</definedName>
    <definedName name="SD_9089x1_9215x17_9223x1_609_B_0" localSheetId="0">MAPPING!$U$913</definedName>
    <definedName name="SD_9089x1_9215x17_9223x1_612_B_0" localSheetId="0">MAPPING!$U$914</definedName>
    <definedName name="SD_9089x1_9215x17_9223x1_613_B_0" localSheetId="0">MAPPING!$U$915</definedName>
    <definedName name="SD_9089x1_9215x17_9223x1_615_B_0" localSheetId="0">MAPPING!$U$916</definedName>
    <definedName name="SD_9089x1_9215x17_9223x1_616_B_0" localSheetId="0">MAPPING!$U$917</definedName>
    <definedName name="SD_9089x1_9215x17_9223x1_625_B_0" localSheetId="0">MAPPING!$U$918</definedName>
    <definedName name="SD_9089x1_9215x17_9223x1_626_B_0" localSheetId="0">MAPPING!$U$925</definedName>
    <definedName name="SD_9089x1_9215x17_9223x1_627_B_0" localSheetId="0">MAPPING!$U$928</definedName>
    <definedName name="SD_9089x1_9215x17_9223x1_632_B_0" localSheetId="0">MAPPING!$U$919</definedName>
    <definedName name="SD_9089x1_9215x17_9223x1_633_B_0" localSheetId="0">MAPPING!$U$922</definedName>
    <definedName name="SD_9089x1_9215x17_9223x1_634_B_0" localSheetId="0">MAPPING!$U$926</definedName>
    <definedName name="SD_9089x1_9215x17_9223x1_635_B_0" localSheetId="0">MAPPING!$U$929</definedName>
    <definedName name="SD_9089x1_9215x17_9223x1_636_B_0" localSheetId="0">MAPPING!$U$936</definedName>
    <definedName name="SD_9089x1_9215x17_9223x1_639_B_0" localSheetId="0">MAPPING!$U$920</definedName>
    <definedName name="SD_9089x1_9215x17_9223x1_640_B_0" localSheetId="0">MAPPING!$U$921</definedName>
    <definedName name="SD_9089x1_9215x17_9223x1_641_B_0" localSheetId="0">MAPPING!$U$927</definedName>
    <definedName name="SD_9089x1_9215x17_9223x1_642_B_0" localSheetId="0">MAPPING!$U$930</definedName>
    <definedName name="SD_9089x1_9215x17_9223x1_643_B_0" localSheetId="0">MAPPING!$U$931</definedName>
    <definedName name="SD_9089x1_9215x17_9223x1_644_B_0" localSheetId="0">MAPPING!$U$933</definedName>
    <definedName name="SD_9089x1_9215x17_9223x1_645_B_0" localSheetId="0">MAPPING!$U$935</definedName>
    <definedName name="SD_9089x1_9215x17_9223x1_647_B_0" localSheetId="0">MAPPING!$U$923</definedName>
    <definedName name="SD_9089x1_9215x17_9223x1_650_B_0" localSheetId="0">MAPPING!$U$924</definedName>
    <definedName name="SD_9089x1_9215x17_9223x1_654_B_0" localSheetId="0">MAPPING!$U$932</definedName>
    <definedName name="SD_9089x1_9215x17_9223x1_655_B_0" localSheetId="0">MAPPING!$U$934</definedName>
    <definedName name="SD_9089x1_9215x17_9223x1_661_B_0" localSheetId="0">MAPPING!$U$937</definedName>
    <definedName name="SD_9089x1_9215x17_9223x1_670_B_0" localSheetId="0">MAPPING!$U$938</definedName>
    <definedName name="SD_9089x1_9215x17_9223x1_673_B_0" localSheetId="0">MAPPING!$U$939</definedName>
    <definedName name="SD_9089x1_9215x17_9223x1_677_B_0" localSheetId="0">MAPPING!$U$941</definedName>
    <definedName name="SD_9089x1_9215x17_9223x1_680_B_0" localSheetId="0">MAPPING!$U$942</definedName>
    <definedName name="SD_9089x1_9215x17_9223x1_683_B_0" localSheetId="0">MAPPING!$U$945</definedName>
    <definedName name="SD_9089x1_9215x17_9223x1_684_B_0" localSheetId="0">MAPPING!$U$943</definedName>
    <definedName name="SD_9089x1_9215x17_9223x1_685_B_0" localSheetId="0">MAPPING!$U$944</definedName>
    <definedName name="SD_9089x1_9215x17_9223x1_687_B_0" localSheetId="0">MAPPING!$U$940</definedName>
    <definedName name="SD_9089x1_9215x18_9223x1_10_S_0" localSheetId="0">MAPPING!$V$892</definedName>
    <definedName name="SD_9089x1_9215x18_9223x1_11_S_1" localSheetId="0">MAPPING!$V$893</definedName>
    <definedName name="SD_9089x1_9215x18_9223x1_167_B_0" localSheetId="0">MAPPING!$V$946</definedName>
    <definedName name="SD_9089x1_9215x18_9223x1_512_B_0" localSheetId="0">MAPPING!$V$894</definedName>
    <definedName name="SD_9089x1_9215x18_9223x1_513_B_0" localSheetId="0">MAPPING!$V$895</definedName>
    <definedName name="SD_9089x1_9215x18_9223x1_517_B_0" localSheetId="0">MAPPING!$V$897</definedName>
    <definedName name="SD_9089x1_9215x18_9223x1_532_B_0" localSheetId="0">MAPPING!$V$898</definedName>
    <definedName name="SD_9089x1_9215x18_9223x1_536_B_0" localSheetId="0">MAPPING!$V$899</definedName>
    <definedName name="SD_9089x1_9215x18_9223x1_568_B_0" localSheetId="0">MAPPING!$V$896</definedName>
    <definedName name="SD_9089x1_9215x18_9223x1_576_B_0" localSheetId="0">MAPPING!$V$912</definedName>
    <definedName name="SD_9089x1_9215x18_9223x1_578_B_0" localSheetId="0">MAPPING!$V$900</definedName>
    <definedName name="SD_9089x1_9215x18_9223x1_584_B_0" localSheetId="0">MAPPING!$V$901</definedName>
    <definedName name="SD_9089x1_9215x18_9223x1_587_B_0" localSheetId="0">MAPPING!$V$902</definedName>
    <definedName name="SD_9089x1_9215x18_9223x1_588_B_0" localSheetId="0">MAPPING!$V$903</definedName>
    <definedName name="SD_9089x1_9215x18_9223x1_590_B_0" localSheetId="0">MAPPING!$V$904</definedName>
    <definedName name="SD_9089x1_9215x18_9223x1_594_B_0" localSheetId="0">MAPPING!$V$905</definedName>
    <definedName name="SD_9089x1_9215x18_9223x1_596_B_0" localSheetId="0">MAPPING!$V$906</definedName>
    <definedName name="SD_9089x1_9215x18_9223x1_598_B_0" localSheetId="0">MAPPING!$V$907</definedName>
    <definedName name="SD_9089x1_9215x18_9223x1_600_B_0" localSheetId="0">MAPPING!$V$908</definedName>
    <definedName name="SD_9089x1_9215x18_9223x1_602_B_0" localSheetId="0">MAPPING!$V$909</definedName>
    <definedName name="SD_9089x1_9215x18_9223x1_604_B_0" localSheetId="0">MAPPING!$V$910</definedName>
    <definedName name="SD_9089x1_9215x18_9223x1_606_B_0" localSheetId="0">MAPPING!$V$911</definedName>
    <definedName name="SD_9089x1_9215x18_9223x1_609_B_0" localSheetId="0">MAPPING!$V$913</definedName>
    <definedName name="SD_9089x1_9215x18_9223x1_612_B_0" localSheetId="0">MAPPING!$V$914</definedName>
    <definedName name="SD_9089x1_9215x18_9223x1_613_B_0" localSheetId="0">MAPPING!$V$915</definedName>
    <definedName name="SD_9089x1_9215x18_9223x1_615_B_0" localSheetId="0">MAPPING!$V$916</definedName>
    <definedName name="SD_9089x1_9215x18_9223x1_616_B_0" localSheetId="0">MAPPING!$V$917</definedName>
    <definedName name="SD_9089x1_9215x18_9223x1_625_B_0" localSheetId="0">MAPPING!$V$918</definedName>
    <definedName name="SD_9089x1_9215x18_9223x1_626_B_0" localSheetId="0">MAPPING!$V$925</definedName>
    <definedName name="SD_9089x1_9215x18_9223x1_627_B_0" localSheetId="0">MAPPING!$V$928</definedName>
    <definedName name="SD_9089x1_9215x18_9223x1_632_B_0" localSheetId="0">MAPPING!$V$919</definedName>
    <definedName name="SD_9089x1_9215x18_9223x1_633_B_0" localSheetId="0">MAPPING!$V$922</definedName>
    <definedName name="SD_9089x1_9215x18_9223x1_634_B_0" localSheetId="0">MAPPING!$V$926</definedName>
    <definedName name="SD_9089x1_9215x18_9223x1_635_B_0" localSheetId="0">MAPPING!$V$929</definedName>
    <definedName name="SD_9089x1_9215x18_9223x1_636_B_0" localSheetId="0">MAPPING!$V$936</definedName>
    <definedName name="SD_9089x1_9215x18_9223x1_639_B_0" localSheetId="0">MAPPING!$V$920</definedName>
    <definedName name="SD_9089x1_9215x18_9223x1_640_B_0" localSheetId="0">MAPPING!$V$921</definedName>
    <definedName name="SD_9089x1_9215x18_9223x1_641_B_0" localSheetId="0">MAPPING!$V$927</definedName>
    <definedName name="SD_9089x1_9215x18_9223x1_642_B_0" localSheetId="0">MAPPING!$V$930</definedName>
    <definedName name="SD_9089x1_9215x18_9223x1_643_B_0" localSheetId="0">MAPPING!$V$931</definedName>
    <definedName name="SD_9089x1_9215x18_9223x1_644_B_0" localSheetId="0">MAPPING!$V$933</definedName>
    <definedName name="SD_9089x1_9215x18_9223x1_645_B_0" localSheetId="0">MAPPING!$V$935</definedName>
    <definedName name="SD_9089x1_9215x18_9223x1_647_B_0" localSheetId="0">MAPPING!$V$923</definedName>
    <definedName name="SD_9089x1_9215x18_9223x1_650_B_0" localSheetId="0">MAPPING!$V$924</definedName>
    <definedName name="SD_9089x1_9215x18_9223x1_654_B_0" localSheetId="0">MAPPING!$V$932</definedName>
    <definedName name="SD_9089x1_9215x18_9223x1_655_B_0" localSheetId="0">MAPPING!$V$934</definedName>
    <definedName name="SD_9089x1_9215x18_9223x1_661_B_0" localSheetId="0">MAPPING!$V$937</definedName>
    <definedName name="SD_9089x1_9215x18_9223x1_670_B_0" localSheetId="0">MAPPING!$V$938</definedName>
    <definedName name="SD_9089x1_9215x18_9223x1_673_B_0" localSheetId="0">MAPPING!$V$939</definedName>
    <definedName name="SD_9089x1_9215x18_9223x1_677_B_0" localSheetId="0">MAPPING!$V$941</definedName>
    <definedName name="SD_9089x1_9215x18_9223x1_680_B_0" localSheetId="0">MAPPING!$V$942</definedName>
    <definedName name="SD_9089x1_9215x18_9223x1_683_B_0" localSheetId="0">MAPPING!$V$945</definedName>
    <definedName name="SD_9089x1_9215x18_9223x1_684_B_0" localSheetId="0">MAPPING!$V$943</definedName>
    <definedName name="SD_9089x1_9215x18_9223x1_685_B_0" localSheetId="0">MAPPING!$V$944</definedName>
    <definedName name="SD_9089x1_9215x18_9223x1_687_B_0" localSheetId="0">MAPPING!$V$940</definedName>
    <definedName name="SD_9089x1_9215x19_9223x1_10_S_0" localSheetId="0">MAPPING!$W$892</definedName>
    <definedName name="SD_9089x1_9215x19_9223x1_11_S_1" localSheetId="0">MAPPING!$W$893</definedName>
    <definedName name="SD_9089x1_9215x19_9223x1_167_B_0" localSheetId="0">MAPPING!$W$946</definedName>
    <definedName name="SD_9089x1_9215x19_9223x1_512_B_0" localSheetId="0">MAPPING!$W$894</definedName>
    <definedName name="SD_9089x1_9215x19_9223x1_513_B_0" localSheetId="0">MAPPING!$W$895</definedName>
    <definedName name="SD_9089x1_9215x19_9223x1_517_B_0" localSheetId="0">MAPPING!$W$897</definedName>
    <definedName name="SD_9089x1_9215x19_9223x1_532_B_0" localSheetId="0">MAPPING!$W$898</definedName>
    <definedName name="SD_9089x1_9215x19_9223x1_536_B_0" localSheetId="0">MAPPING!$W$899</definedName>
    <definedName name="SD_9089x1_9215x19_9223x1_568_B_0" localSheetId="0">MAPPING!$W$896</definedName>
    <definedName name="SD_9089x1_9215x19_9223x1_576_B_0" localSheetId="0">MAPPING!$W$912</definedName>
    <definedName name="SD_9089x1_9215x19_9223x1_578_B_0" localSheetId="0">MAPPING!$W$900</definedName>
    <definedName name="SD_9089x1_9215x19_9223x1_584_B_0" localSheetId="0">MAPPING!$W$901</definedName>
    <definedName name="SD_9089x1_9215x19_9223x1_587_B_0" localSheetId="0">MAPPING!$W$902</definedName>
    <definedName name="SD_9089x1_9215x19_9223x1_588_B_0" localSheetId="0">MAPPING!$W$903</definedName>
    <definedName name="SD_9089x1_9215x19_9223x1_590_B_0" localSheetId="0">MAPPING!$W$904</definedName>
    <definedName name="SD_9089x1_9215x19_9223x1_594_B_0" localSheetId="0">MAPPING!$W$905</definedName>
    <definedName name="SD_9089x1_9215x19_9223x1_596_B_0" localSheetId="0">MAPPING!$W$906</definedName>
    <definedName name="SD_9089x1_9215x19_9223x1_598_B_0" localSheetId="0">MAPPING!$W$907</definedName>
    <definedName name="SD_9089x1_9215x19_9223x1_600_B_0" localSheetId="0">MAPPING!$W$908</definedName>
    <definedName name="SD_9089x1_9215x19_9223x1_602_B_0" localSheetId="0">MAPPING!$W$909</definedName>
    <definedName name="SD_9089x1_9215x19_9223x1_604_B_0" localSheetId="0">MAPPING!$W$910</definedName>
    <definedName name="SD_9089x1_9215x19_9223x1_606_B_0" localSheetId="0">MAPPING!$W$911</definedName>
    <definedName name="SD_9089x1_9215x19_9223x1_609_B_0" localSheetId="0">MAPPING!$W$913</definedName>
    <definedName name="SD_9089x1_9215x19_9223x1_612_B_0" localSheetId="0">MAPPING!$W$914</definedName>
    <definedName name="SD_9089x1_9215x19_9223x1_613_B_0" localSheetId="0">MAPPING!$W$915</definedName>
    <definedName name="SD_9089x1_9215x19_9223x1_615_B_0" localSheetId="0">MAPPING!$W$916</definedName>
    <definedName name="SD_9089x1_9215x19_9223x1_616_B_0" localSheetId="0">MAPPING!$W$917</definedName>
    <definedName name="SD_9089x1_9215x19_9223x1_625_B_0" localSheetId="0">MAPPING!$W$918</definedName>
    <definedName name="SD_9089x1_9215x19_9223x1_626_B_0" localSheetId="0">MAPPING!$W$925</definedName>
    <definedName name="SD_9089x1_9215x19_9223x1_627_B_0" localSheetId="0">MAPPING!$W$928</definedName>
    <definedName name="SD_9089x1_9215x19_9223x1_632_B_0" localSheetId="0">MAPPING!$W$919</definedName>
    <definedName name="SD_9089x1_9215x19_9223x1_633_B_0" localSheetId="0">MAPPING!$W$922</definedName>
    <definedName name="SD_9089x1_9215x19_9223x1_634_B_0" localSheetId="0">MAPPING!$W$926</definedName>
    <definedName name="SD_9089x1_9215x19_9223x1_635_B_0" localSheetId="0">MAPPING!$W$929</definedName>
    <definedName name="SD_9089x1_9215x19_9223x1_636_B_0" localSheetId="0">MAPPING!$W$936</definedName>
    <definedName name="SD_9089x1_9215x19_9223x1_639_B_0" localSheetId="0">MAPPING!$W$920</definedName>
    <definedName name="SD_9089x1_9215x19_9223x1_640_B_0" localSheetId="0">MAPPING!$W$921</definedName>
    <definedName name="SD_9089x1_9215x19_9223x1_641_B_0" localSheetId="0">MAPPING!$W$927</definedName>
    <definedName name="SD_9089x1_9215x19_9223x1_642_B_0" localSheetId="0">MAPPING!$W$930</definedName>
    <definedName name="SD_9089x1_9215x19_9223x1_643_B_0" localSheetId="0">MAPPING!$W$931</definedName>
    <definedName name="SD_9089x1_9215x19_9223x1_644_B_0" localSheetId="0">MAPPING!$W$933</definedName>
    <definedName name="SD_9089x1_9215x19_9223x1_645_B_0" localSheetId="0">MAPPING!$W$935</definedName>
    <definedName name="SD_9089x1_9215x19_9223x1_647_B_0" localSheetId="0">MAPPING!$W$923</definedName>
    <definedName name="SD_9089x1_9215x19_9223x1_650_B_0" localSheetId="0">MAPPING!$W$924</definedName>
    <definedName name="SD_9089x1_9215x19_9223x1_654_B_0" localSheetId="0">MAPPING!$W$932</definedName>
    <definedName name="SD_9089x1_9215x19_9223x1_655_B_0" localSheetId="0">MAPPING!$W$934</definedName>
    <definedName name="SD_9089x1_9215x19_9223x1_661_B_0" localSheetId="0">MAPPING!$W$937</definedName>
    <definedName name="SD_9089x1_9215x19_9223x1_670_B_0" localSheetId="0">MAPPING!$W$938</definedName>
    <definedName name="SD_9089x1_9215x19_9223x1_673_B_0" localSheetId="0">MAPPING!$W$939</definedName>
    <definedName name="SD_9089x1_9215x19_9223x1_677_B_0" localSheetId="0">MAPPING!$W$941</definedName>
    <definedName name="SD_9089x1_9215x19_9223x1_680_B_0" localSheetId="0">MAPPING!$W$942</definedName>
    <definedName name="SD_9089x1_9215x19_9223x1_683_B_0" localSheetId="0">MAPPING!$W$945</definedName>
    <definedName name="SD_9089x1_9215x19_9223x1_684_B_0" localSheetId="0">MAPPING!$W$943</definedName>
    <definedName name="SD_9089x1_9215x19_9223x1_685_B_0" localSheetId="0">MAPPING!$W$944</definedName>
    <definedName name="SD_9089x1_9215x19_9223x1_687_B_0" localSheetId="0">MAPPING!$W$940</definedName>
    <definedName name="SD_9089x1_9215x2_9223x1_10_S_0" localSheetId="0">MAPPING!$F$892</definedName>
    <definedName name="SD_9089x1_9215x2_9223x1_11_S_1" localSheetId="0">MAPPING!$F$893</definedName>
    <definedName name="SD_9089x1_9215x2_9223x1_167_B_0" localSheetId="0">MAPPING!$F$946</definedName>
    <definedName name="SD_9089x1_9215x2_9223x1_512_B_0" localSheetId="0">MAPPING!$F$894</definedName>
    <definedName name="SD_9089x1_9215x2_9223x1_513_B_0" localSheetId="0">MAPPING!$F$895</definedName>
    <definedName name="SD_9089x1_9215x2_9223x1_517_B_0" localSheetId="0">MAPPING!$F$897</definedName>
    <definedName name="SD_9089x1_9215x2_9223x1_532_B_0" localSheetId="0">MAPPING!$F$898</definedName>
    <definedName name="SD_9089x1_9215x2_9223x1_536_B_0" localSheetId="0">MAPPING!$F$899</definedName>
    <definedName name="SD_9089x1_9215x2_9223x1_568_B_0" localSheetId="0">MAPPING!$F$896</definedName>
    <definedName name="SD_9089x1_9215x2_9223x1_576_B_0" localSheetId="0">MAPPING!$F$912</definedName>
    <definedName name="SD_9089x1_9215x2_9223x1_578_B_0" localSheetId="0">MAPPING!$F$900</definedName>
    <definedName name="SD_9089x1_9215x2_9223x1_584_B_0" localSheetId="0">MAPPING!$F$901</definedName>
    <definedName name="SD_9089x1_9215x2_9223x1_587_B_0" localSheetId="0">MAPPING!$F$902</definedName>
    <definedName name="SD_9089x1_9215x2_9223x1_588_B_0" localSheetId="0">MAPPING!$F$903</definedName>
    <definedName name="SD_9089x1_9215x2_9223x1_590_B_0" localSheetId="0">MAPPING!$F$904</definedName>
    <definedName name="SD_9089x1_9215x2_9223x1_594_B_0" localSheetId="0">MAPPING!$F$905</definedName>
    <definedName name="SD_9089x1_9215x2_9223x1_596_B_0" localSheetId="0">MAPPING!$F$906</definedName>
    <definedName name="SD_9089x1_9215x2_9223x1_598_B_0" localSheetId="0">MAPPING!$F$907</definedName>
    <definedName name="SD_9089x1_9215x2_9223x1_600_B_0" localSheetId="0">MAPPING!$F$908</definedName>
    <definedName name="SD_9089x1_9215x2_9223x1_602_B_0" localSheetId="0">MAPPING!$F$909</definedName>
    <definedName name="SD_9089x1_9215x2_9223x1_604_B_0" localSheetId="0">MAPPING!$F$910</definedName>
    <definedName name="SD_9089x1_9215x2_9223x1_606_B_0" localSheetId="0">MAPPING!$F$911</definedName>
    <definedName name="SD_9089x1_9215x2_9223x1_609_B_0" localSheetId="0">MAPPING!$F$913</definedName>
    <definedName name="SD_9089x1_9215x2_9223x1_612_B_0" localSheetId="0">MAPPING!$F$914</definedName>
    <definedName name="SD_9089x1_9215x2_9223x1_613_B_0" localSheetId="0">MAPPING!$F$915</definedName>
    <definedName name="SD_9089x1_9215x2_9223x1_615_B_0" localSheetId="0">MAPPING!$F$916</definedName>
    <definedName name="SD_9089x1_9215x2_9223x1_616_B_0" localSheetId="0">MAPPING!$F$917</definedName>
    <definedName name="SD_9089x1_9215x2_9223x1_625_B_0" localSheetId="0">MAPPING!$F$918</definedName>
    <definedName name="SD_9089x1_9215x2_9223x1_626_B_0" localSheetId="0">MAPPING!$F$925</definedName>
    <definedName name="SD_9089x1_9215x2_9223x1_627_B_0" localSheetId="0">MAPPING!$F$928</definedName>
    <definedName name="SD_9089x1_9215x2_9223x1_632_B_0" localSheetId="0">MAPPING!$F$919</definedName>
    <definedName name="SD_9089x1_9215x2_9223x1_633_B_0" localSheetId="0">MAPPING!$F$922</definedName>
    <definedName name="SD_9089x1_9215x2_9223x1_634_B_0" localSheetId="0">MAPPING!$F$926</definedName>
    <definedName name="SD_9089x1_9215x2_9223x1_635_B_0" localSheetId="0">MAPPING!$F$929</definedName>
    <definedName name="SD_9089x1_9215x2_9223x1_636_B_0" localSheetId="0">MAPPING!$F$936</definedName>
    <definedName name="SD_9089x1_9215x2_9223x1_639_B_0" localSheetId="0">MAPPING!$F$920</definedName>
    <definedName name="SD_9089x1_9215x2_9223x1_640_B_0" localSheetId="0">MAPPING!$F$921</definedName>
    <definedName name="SD_9089x1_9215x2_9223x1_641_B_0" localSheetId="0">MAPPING!$F$927</definedName>
    <definedName name="SD_9089x1_9215x2_9223x1_642_B_0" localSheetId="0">MAPPING!$F$930</definedName>
    <definedName name="SD_9089x1_9215x2_9223x1_643_B_0" localSheetId="0">MAPPING!$F$931</definedName>
    <definedName name="SD_9089x1_9215x2_9223x1_644_B_0" localSheetId="0">MAPPING!$F$933</definedName>
    <definedName name="SD_9089x1_9215x2_9223x1_645_B_0" localSheetId="0">MAPPING!$F$935</definedName>
    <definedName name="SD_9089x1_9215x2_9223x1_647_B_0" localSheetId="0">MAPPING!$F$923</definedName>
    <definedName name="SD_9089x1_9215x2_9223x1_650_B_0" localSheetId="0">MAPPING!$F$924</definedName>
    <definedName name="SD_9089x1_9215x2_9223x1_654_B_0" localSheetId="0">MAPPING!$F$932</definedName>
    <definedName name="SD_9089x1_9215x2_9223x1_655_B_0" localSheetId="0">MAPPING!$F$934</definedName>
    <definedName name="SD_9089x1_9215x2_9223x1_661_B_0" localSheetId="0">MAPPING!$F$937</definedName>
    <definedName name="SD_9089x1_9215x2_9223x1_670_B_0" localSheetId="0">MAPPING!$F$938</definedName>
    <definedName name="SD_9089x1_9215x2_9223x1_673_B_0" localSheetId="0">MAPPING!$F$939</definedName>
    <definedName name="SD_9089x1_9215x2_9223x1_677_B_0" localSheetId="0">MAPPING!$F$941</definedName>
    <definedName name="SD_9089x1_9215x2_9223x1_680_B_0" localSheetId="0">MAPPING!$F$942</definedName>
    <definedName name="SD_9089x1_9215x2_9223x1_683_B_0" localSheetId="0">MAPPING!$F$945</definedName>
    <definedName name="SD_9089x1_9215x2_9223x1_684_B_0" localSheetId="0">MAPPING!$F$943</definedName>
    <definedName name="SD_9089x1_9215x2_9223x1_685_B_0" localSheetId="0">MAPPING!$F$944</definedName>
    <definedName name="SD_9089x1_9215x2_9223x1_687_B_0" localSheetId="0">MAPPING!$F$940</definedName>
    <definedName name="SD_9089x1_9215x20_9223x1_10_S_0" localSheetId="0">MAPPING!$X$892</definedName>
    <definedName name="SD_9089x1_9215x20_9223x1_11_S_1" localSheetId="0">MAPPING!$X$893</definedName>
    <definedName name="SD_9089x1_9215x20_9223x1_167_B_0" localSheetId="0">MAPPING!$X$946</definedName>
    <definedName name="SD_9089x1_9215x20_9223x1_512_B_0" localSheetId="0">MAPPING!$X$894</definedName>
    <definedName name="SD_9089x1_9215x20_9223x1_513_B_0" localSheetId="0">MAPPING!$X$895</definedName>
    <definedName name="SD_9089x1_9215x20_9223x1_517_B_0" localSheetId="0">MAPPING!$X$897</definedName>
    <definedName name="SD_9089x1_9215x20_9223x1_532_B_0" localSheetId="0">MAPPING!$X$898</definedName>
    <definedName name="SD_9089x1_9215x20_9223x1_536_B_0" localSheetId="0">MAPPING!$X$899</definedName>
    <definedName name="SD_9089x1_9215x20_9223x1_568_B_0" localSheetId="0">MAPPING!$X$896</definedName>
    <definedName name="SD_9089x1_9215x20_9223x1_576_B_0" localSheetId="0">MAPPING!$X$912</definedName>
    <definedName name="SD_9089x1_9215x20_9223x1_578_B_0" localSheetId="0">MAPPING!$X$900</definedName>
    <definedName name="SD_9089x1_9215x20_9223x1_584_B_0" localSheetId="0">MAPPING!$X$901</definedName>
    <definedName name="SD_9089x1_9215x20_9223x1_587_B_0" localSheetId="0">MAPPING!$X$902</definedName>
    <definedName name="SD_9089x1_9215x20_9223x1_588_B_0" localSheetId="0">MAPPING!$X$903</definedName>
    <definedName name="SD_9089x1_9215x20_9223x1_590_B_0" localSheetId="0">MAPPING!$X$904</definedName>
    <definedName name="SD_9089x1_9215x20_9223x1_594_B_0" localSheetId="0">MAPPING!$X$905</definedName>
    <definedName name="SD_9089x1_9215x20_9223x1_596_B_0" localSheetId="0">MAPPING!$X$906</definedName>
    <definedName name="SD_9089x1_9215x20_9223x1_598_B_0" localSheetId="0">MAPPING!$X$907</definedName>
    <definedName name="SD_9089x1_9215x20_9223x1_600_B_0" localSheetId="0">MAPPING!$X$908</definedName>
    <definedName name="SD_9089x1_9215x20_9223x1_602_B_0" localSheetId="0">MAPPING!$X$909</definedName>
    <definedName name="SD_9089x1_9215x20_9223x1_604_B_0" localSheetId="0">MAPPING!$X$910</definedName>
    <definedName name="SD_9089x1_9215x20_9223x1_606_B_0" localSheetId="0">MAPPING!$X$911</definedName>
    <definedName name="SD_9089x1_9215x20_9223x1_609_B_0" localSheetId="0">MAPPING!$X$913</definedName>
    <definedName name="SD_9089x1_9215x20_9223x1_612_B_0" localSheetId="0">MAPPING!$X$914</definedName>
    <definedName name="SD_9089x1_9215x20_9223x1_613_B_0" localSheetId="0">MAPPING!$X$915</definedName>
    <definedName name="SD_9089x1_9215x20_9223x1_615_B_0" localSheetId="0">MAPPING!$X$916</definedName>
    <definedName name="SD_9089x1_9215x20_9223x1_616_B_0" localSheetId="0">MAPPING!$X$917</definedName>
    <definedName name="SD_9089x1_9215x20_9223x1_625_B_0" localSheetId="0">MAPPING!$X$918</definedName>
    <definedName name="SD_9089x1_9215x20_9223x1_626_B_0" localSheetId="0">MAPPING!$X$925</definedName>
    <definedName name="SD_9089x1_9215x20_9223x1_627_B_0" localSheetId="0">MAPPING!$X$928</definedName>
    <definedName name="SD_9089x1_9215x20_9223x1_632_B_0" localSheetId="0">MAPPING!$X$919</definedName>
    <definedName name="SD_9089x1_9215x20_9223x1_633_B_0" localSheetId="0">MAPPING!$X$922</definedName>
    <definedName name="SD_9089x1_9215x20_9223x1_634_B_0" localSheetId="0">MAPPING!$X$926</definedName>
    <definedName name="SD_9089x1_9215x20_9223x1_635_B_0" localSheetId="0">MAPPING!$X$929</definedName>
    <definedName name="SD_9089x1_9215x20_9223x1_636_B_0" localSheetId="0">MAPPING!$X$936</definedName>
    <definedName name="SD_9089x1_9215x20_9223x1_639_B_0" localSheetId="0">MAPPING!$X$920</definedName>
    <definedName name="SD_9089x1_9215x20_9223x1_640_B_0" localSheetId="0">MAPPING!$X$921</definedName>
    <definedName name="SD_9089x1_9215x20_9223x1_641_B_0" localSheetId="0">MAPPING!$X$927</definedName>
    <definedName name="SD_9089x1_9215x20_9223x1_642_B_0" localSheetId="0">MAPPING!$X$930</definedName>
    <definedName name="SD_9089x1_9215x20_9223x1_643_B_0" localSheetId="0">MAPPING!$X$931</definedName>
    <definedName name="SD_9089x1_9215x20_9223x1_644_B_0" localSheetId="0">MAPPING!$X$933</definedName>
    <definedName name="SD_9089x1_9215x20_9223x1_645_B_0" localSheetId="0">MAPPING!$X$935</definedName>
    <definedName name="SD_9089x1_9215x20_9223x1_647_B_0" localSheetId="0">MAPPING!$X$923</definedName>
    <definedName name="SD_9089x1_9215x20_9223x1_650_B_0" localSheetId="0">MAPPING!$X$924</definedName>
    <definedName name="SD_9089x1_9215x20_9223x1_654_B_0" localSheetId="0">MAPPING!$X$932</definedName>
    <definedName name="SD_9089x1_9215x20_9223x1_655_B_0" localSheetId="0">MAPPING!$X$934</definedName>
    <definedName name="SD_9089x1_9215x20_9223x1_661_B_0" localSheetId="0">MAPPING!$X$937</definedName>
    <definedName name="SD_9089x1_9215x20_9223x1_670_B_0" localSheetId="0">MAPPING!$X$938</definedName>
    <definedName name="SD_9089x1_9215x20_9223x1_673_B_0" localSheetId="0">MAPPING!$X$939</definedName>
    <definedName name="SD_9089x1_9215x20_9223x1_677_B_0" localSheetId="0">MAPPING!$X$941</definedName>
    <definedName name="SD_9089x1_9215x20_9223x1_680_B_0" localSheetId="0">MAPPING!$X$942</definedName>
    <definedName name="SD_9089x1_9215x20_9223x1_683_B_0" localSheetId="0">MAPPING!$X$945</definedName>
    <definedName name="SD_9089x1_9215x20_9223x1_684_B_0" localSheetId="0">MAPPING!$X$943</definedName>
    <definedName name="SD_9089x1_9215x20_9223x1_685_B_0" localSheetId="0">MAPPING!$X$944</definedName>
    <definedName name="SD_9089x1_9215x20_9223x1_687_B_0" localSheetId="0">MAPPING!$X$940</definedName>
    <definedName name="SD_9089x1_9215x3_9223x1_10_S_0" localSheetId="0">MAPPING!$G$892</definedName>
    <definedName name="SD_9089x1_9215x3_9223x1_11_S_1" localSheetId="0">MAPPING!$G$893</definedName>
    <definedName name="SD_9089x1_9215x3_9223x1_167_B_0" localSheetId="0">MAPPING!$G$946</definedName>
    <definedName name="SD_9089x1_9215x3_9223x1_512_B_0" localSheetId="0">MAPPING!$G$894</definedName>
    <definedName name="SD_9089x1_9215x3_9223x1_513_B_0" localSheetId="0">MAPPING!$G$895</definedName>
    <definedName name="SD_9089x1_9215x3_9223x1_517_B_0" localSheetId="0">MAPPING!$G$897</definedName>
    <definedName name="SD_9089x1_9215x3_9223x1_532_B_0" localSheetId="0">MAPPING!$G$898</definedName>
    <definedName name="SD_9089x1_9215x3_9223x1_536_B_0" localSheetId="0">MAPPING!$G$899</definedName>
    <definedName name="SD_9089x1_9215x3_9223x1_568_B_0" localSheetId="0">MAPPING!$G$896</definedName>
    <definedName name="SD_9089x1_9215x3_9223x1_576_B_0" localSheetId="0">MAPPING!$G$912</definedName>
    <definedName name="SD_9089x1_9215x3_9223x1_578_B_0" localSheetId="0">MAPPING!$G$900</definedName>
    <definedName name="SD_9089x1_9215x3_9223x1_584_B_0" localSheetId="0">MAPPING!$G$901</definedName>
    <definedName name="SD_9089x1_9215x3_9223x1_587_B_0" localSheetId="0">MAPPING!$G$902</definedName>
    <definedName name="SD_9089x1_9215x3_9223x1_588_B_0" localSheetId="0">MAPPING!$G$903</definedName>
    <definedName name="SD_9089x1_9215x3_9223x1_590_B_0" localSheetId="0">MAPPING!$G$904</definedName>
    <definedName name="SD_9089x1_9215x3_9223x1_594_B_0" localSheetId="0">MAPPING!$G$905</definedName>
    <definedName name="SD_9089x1_9215x3_9223x1_596_B_0" localSheetId="0">MAPPING!$G$906</definedName>
    <definedName name="SD_9089x1_9215x3_9223x1_598_B_0" localSheetId="0">MAPPING!$G$907</definedName>
    <definedName name="SD_9089x1_9215x3_9223x1_600_B_0" localSheetId="0">MAPPING!$G$908</definedName>
    <definedName name="SD_9089x1_9215x3_9223x1_602_B_0" localSheetId="0">MAPPING!$G$909</definedName>
    <definedName name="SD_9089x1_9215x3_9223x1_604_B_0" localSheetId="0">MAPPING!$G$910</definedName>
    <definedName name="SD_9089x1_9215x3_9223x1_606_B_0" localSheetId="0">MAPPING!$G$911</definedName>
    <definedName name="SD_9089x1_9215x3_9223x1_609_B_0" localSheetId="0">MAPPING!$G$913</definedName>
    <definedName name="SD_9089x1_9215x3_9223x1_612_B_0" localSheetId="0">MAPPING!$G$914</definedName>
    <definedName name="SD_9089x1_9215x3_9223x1_613_B_0" localSheetId="0">MAPPING!$G$915</definedName>
    <definedName name="SD_9089x1_9215x3_9223x1_615_B_0" localSheetId="0">MAPPING!$G$916</definedName>
    <definedName name="SD_9089x1_9215x3_9223x1_616_B_0" localSheetId="0">MAPPING!$G$917</definedName>
    <definedName name="SD_9089x1_9215x3_9223x1_625_B_0" localSheetId="0">MAPPING!$G$918</definedName>
    <definedName name="SD_9089x1_9215x3_9223x1_626_B_0" localSheetId="0">MAPPING!$G$925</definedName>
    <definedName name="SD_9089x1_9215x3_9223x1_627_B_0" localSheetId="0">MAPPING!$G$928</definedName>
    <definedName name="SD_9089x1_9215x3_9223x1_632_B_0" localSheetId="0">MAPPING!$G$919</definedName>
    <definedName name="SD_9089x1_9215x3_9223x1_633_B_0" localSheetId="0">MAPPING!$G$922</definedName>
    <definedName name="SD_9089x1_9215x3_9223x1_634_B_0" localSheetId="0">MAPPING!$G$926</definedName>
    <definedName name="SD_9089x1_9215x3_9223x1_635_B_0" localSheetId="0">MAPPING!$G$929</definedName>
    <definedName name="SD_9089x1_9215x3_9223x1_636_B_0" localSheetId="0">MAPPING!$G$936</definedName>
    <definedName name="SD_9089x1_9215x3_9223x1_639_B_0" localSheetId="0">MAPPING!$G$920</definedName>
    <definedName name="SD_9089x1_9215x3_9223x1_640_B_0" localSheetId="0">MAPPING!$G$921</definedName>
    <definedName name="SD_9089x1_9215x3_9223x1_641_B_0" localSheetId="0">MAPPING!$G$927</definedName>
    <definedName name="SD_9089x1_9215x3_9223x1_642_B_0" localSheetId="0">MAPPING!$G$930</definedName>
    <definedName name="SD_9089x1_9215x3_9223x1_643_B_0" localSheetId="0">MAPPING!$G$931</definedName>
    <definedName name="SD_9089x1_9215x3_9223x1_644_B_0" localSheetId="0">MAPPING!$G$933</definedName>
    <definedName name="SD_9089x1_9215x3_9223x1_645_B_0" localSheetId="0">MAPPING!$G$935</definedName>
    <definedName name="SD_9089x1_9215x3_9223x1_647_B_0" localSheetId="0">MAPPING!$G$923</definedName>
    <definedName name="SD_9089x1_9215x3_9223x1_650_B_0" localSheetId="0">MAPPING!$G$924</definedName>
    <definedName name="SD_9089x1_9215x3_9223x1_654_B_0" localSheetId="0">MAPPING!$G$932</definedName>
    <definedName name="SD_9089x1_9215x3_9223x1_655_B_0" localSheetId="0">MAPPING!$G$934</definedName>
    <definedName name="SD_9089x1_9215x3_9223x1_661_B_0" localSheetId="0">MAPPING!$G$937</definedName>
    <definedName name="SD_9089x1_9215x3_9223x1_670_B_0" localSheetId="0">MAPPING!$G$938</definedName>
    <definedName name="SD_9089x1_9215x3_9223x1_673_B_0" localSheetId="0">MAPPING!$G$939</definedName>
    <definedName name="SD_9089x1_9215x3_9223x1_677_B_0" localSheetId="0">MAPPING!$G$941</definedName>
    <definedName name="SD_9089x1_9215x3_9223x1_680_B_0" localSheetId="0">MAPPING!$G$942</definedName>
    <definedName name="SD_9089x1_9215x3_9223x1_683_B_0" localSheetId="0">MAPPING!$G$945</definedName>
    <definedName name="SD_9089x1_9215x3_9223x1_684_B_0" localSheetId="0">MAPPING!$G$943</definedName>
    <definedName name="SD_9089x1_9215x3_9223x1_685_B_0" localSheetId="0">MAPPING!$G$944</definedName>
    <definedName name="SD_9089x1_9215x3_9223x1_687_B_0" localSheetId="0">MAPPING!$G$940</definedName>
    <definedName name="SD_9089x1_9215x4_9223x1_10_S_0" localSheetId="0">MAPPING!$H$892</definedName>
    <definedName name="SD_9089x1_9215x4_9223x1_11_S_1" localSheetId="0">MAPPING!$H$893</definedName>
    <definedName name="SD_9089x1_9215x4_9223x1_167_B_0" localSheetId="0">MAPPING!$H$946</definedName>
    <definedName name="SD_9089x1_9215x4_9223x1_512_B_0" localSheetId="0">MAPPING!$H$894</definedName>
    <definedName name="SD_9089x1_9215x4_9223x1_513_B_0" localSheetId="0">MAPPING!$H$895</definedName>
    <definedName name="SD_9089x1_9215x4_9223x1_517_B_0" localSheetId="0">MAPPING!$H$897</definedName>
    <definedName name="SD_9089x1_9215x4_9223x1_532_B_0" localSheetId="0">MAPPING!$H$898</definedName>
    <definedName name="SD_9089x1_9215x4_9223x1_536_B_0" localSheetId="0">MAPPING!$H$899</definedName>
    <definedName name="SD_9089x1_9215x4_9223x1_568_B_0" localSheetId="0">MAPPING!$H$896</definedName>
    <definedName name="SD_9089x1_9215x4_9223x1_576_B_0" localSheetId="0">MAPPING!$H$912</definedName>
    <definedName name="SD_9089x1_9215x4_9223x1_578_B_0" localSheetId="0">MAPPING!$H$900</definedName>
    <definedName name="SD_9089x1_9215x4_9223x1_584_B_0" localSheetId="0">MAPPING!$H$901</definedName>
    <definedName name="SD_9089x1_9215x4_9223x1_587_B_0" localSheetId="0">MAPPING!$H$902</definedName>
    <definedName name="SD_9089x1_9215x4_9223x1_588_B_0" localSheetId="0">MAPPING!$H$903</definedName>
    <definedName name="SD_9089x1_9215x4_9223x1_590_B_0" localSheetId="0">MAPPING!$H$904</definedName>
    <definedName name="SD_9089x1_9215x4_9223x1_594_B_0" localSheetId="0">MAPPING!$H$905</definedName>
    <definedName name="SD_9089x1_9215x4_9223x1_596_B_0" localSheetId="0">MAPPING!$H$906</definedName>
    <definedName name="SD_9089x1_9215x4_9223x1_598_B_0" localSheetId="0">MAPPING!$H$907</definedName>
    <definedName name="SD_9089x1_9215x4_9223x1_600_B_0" localSheetId="0">MAPPING!$H$908</definedName>
    <definedName name="SD_9089x1_9215x4_9223x1_602_B_0" localSheetId="0">MAPPING!$H$909</definedName>
    <definedName name="SD_9089x1_9215x4_9223x1_604_B_0" localSheetId="0">MAPPING!$H$910</definedName>
    <definedName name="SD_9089x1_9215x4_9223x1_606_B_0" localSheetId="0">MAPPING!$H$911</definedName>
    <definedName name="SD_9089x1_9215x4_9223x1_609_B_0" localSheetId="0">MAPPING!$H$913</definedName>
    <definedName name="SD_9089x1_9215x4_9223x1_612_B_0" localSheetId="0">MAPPING!$H$914</definedName>
    <definedName name="SD_9089x1_9215x4_9223x1_613_B_0" localSheetId="0">MAPPING!$H$915</definedName>
    <definedName name="SD_9089x1_9215x4_9223x1_615_B_0" localSheetId="0">MAPPING!$H$916</definedName>
    <definedName name="SD_9089x1_9215x4_9223x1_616_B_0" localSheetId="0">MAPPING!$H$917</definedName>
    <definedName name="SD_9089x1_9215x4_9223x1_625_B_0" localSheetId="0">MAPPING!$H$918</definedName>
    <definedName name="SD_9089x1_9215x4_9223x1_626_B_0" localSheetId="0">MAPPING!$H$925</definedName>
    <definedName name="SD_9089x1_9215x4_9223x1_627_B_0" localSheetId="0">MAPPING!$H$928</definedName>
    <definedName name="SD_9089x1_9215x4_9223x1_632_B_0" localSheetId="0">MAPPING!$H$919</definedName>
    <definedName name="SD_9089x1_9215x4_9223x1_633_B_0" localSheetId="0">MAPPING!$H$922</definedName>
    <definedName name="SD_9089x1_9215x4_9223x1_634_B_0" localSheetId="0">MAPPING!$H$926</definedName>
    <definedName name="SD_9089x1_9215x4_9223x1_635_B_0" localSheetId="0">MAPPING!$H$929</definedName>
    <definedName name="SD_9089x1_9215x4_9223x1_636_B_0" localSheetId="0">MAPPING!$H$936</definedName>
    <definedName name="SD_9089x1_9215x4_9223x1_639_B_0" localSheetId="0">MAPPING!$H$920</definedName>
    <definedName name="SD_9089x1_9215x4_9223x1_640_B_0" localSheetId="0">MAPPING!$H$921</definedName>
    <definedName name="SD_9089x1_9215x4_9223x1_641_B_0" localSheetId="0">MAPPING!$H$927</definedName>
    <definedName name="SD_9089x1_9215x4_9223x1_642_B_0" localSheetId="0">MAPPING!$H$930</definedName>
    <definedName name="SD_9089x1_9215x4_9223x1_643_B_0" localSheetId="0">MAPPING!$H$931</definedName>
    <definedName name="SD_9089x1_9215x4_9223x1_644_B_0" localSheetId="0">MAPPING!$H$933</definedName>
    <definedName name="SD_9089x1_9215x4_9223x1_645_B_0" localSheetId="0">MAPPING!$H$935</definedName>
    <definedName name="SD_9089x1_9215x4_9223x1_647_B_0" localSheetId="0">MAPPING!$H$923</definedName>
    <definedName name="SD_9089x1_9215x4_9223x1_650_B_0" localSheetId="0">MAPPING!$H$924</definedName>
    <definedName name="SD_9089x1_9215x4_9223x1_654_B_0" localSheetId="0">MAPPING!$H$932</definedName>
    <definedName name="SD_9089x1_9215x4_9223x1_655_B_0" localSheetId="0">MAPPING!$H$934</definedName>
    <definedName name="SD_9089x1_9215x4_9223x1_661_B_0" localSheetId="0">MAPPING!$H$937</definedName>
    <definedName name="SD_9089x1_9215x4_9223x1_670_B_0" localSheetId="0">MAPPING!$H$938</definedName>
    <definedName name="SD_9089x1_9215x4_9223x1_673_B_0" localSheetId="0">MAPPING!$H$939</definedName>
    <definedName name="SD_9089x1_9215x4_9223x1_677_B_0" localSheetId="0">MAPPING!$H$941</definedName>
    <definedName name="SD_9089x1_9215x4_9223x1_680_B_0" localSheetId="0">MAPPING!$H$942</definedName>
    <definedName name="SD_9089x1_9215x4_9223x1_683_B_0" localSheetId="0">MAPPING!$H$945</definedName>
    <definedName name="SD_9089x1_9215x4_9223x1_684_B_0" localSheetId="0">MAPPING!$H$943</definedName>
    <definedName name="SD_9089x1_9215x4_9223x1_685_B_0" localSheetId="0">MAPPING!$H$944</definedName>
    <definedName name="SD_9089x1_9215x4_9223x1_687_B_0" localSheetId="0">MAPPING!$H$940</definedName>
    <definedName name="SD_9089x1_9215x5_9223x1_10_S_0" localSheetId="0">MAPPING!$I$892</definedName>
    <definedName name="SD_9089x1_9215x5_9223x1_11_S_1" localSheetId="0">MAPPING!$I$893</definedName>
    <definedName name="SD_9089x1_9215x5_9223x1_167_B_0" localSheetId="0">MAPPING!$I$946</definedName>
    <definedName name="SD_9089x1_9215x5_9223x1_512_B_0" localSheetId="0">MAPPING!$I$894</definedName>
    <definedName name="SD_9089x1_9215x5_9223x1_513_B_0" localSheetId="0">MAPPING!$I$895</definedName>
    <definedName name="SD_9089x1_9215x5_9223x1_517_B_0" localSheetId="0">MAPPING!$I$897</definedName>
    <definedName name="SD_9089x1_9215x5_9223x1_532_B_0" localSheetId="0">MAPPING!$I$898</definedName>
    <definedName name="SD_9089x1_9215x5_9223x1_536_B_0" localSheetId="0">MAPPING!$I$899</definedName>
    <definedName name="SD_9089x1_9215x5_9223x1_568_B_0" localSheetId="0">MAPPING!$I$896</definedName>
    <definedName name="SD_9089x1_9215x5_9223x1_576_B_0" localSheetId="0">MAPPING!$I$912</definedName>
    <definedName name="SD_9089x1_9215x5_9223x1_578_B_0" localSheetId="0">MAPPING!$I$900</definedName>
    <definedName name="SD_9089x1_9215x5_9223x1_584_B_0" localSheetId="0">MAPPING!$I$901</definedName>
    <definedName name="SD_9089x1_9215x5_9223x1_587_B_0" localSheetId="0">MAPPING!$I$902</definedName>
    <definedName name="SD_9089x1_9215x5_9223x1_588_B_0" localSheetId="0">MAPPING!$I$903</definedName>
    <definedName name="SD_9089x1_9215x5_9223x1_590_B_0" localSheetId="0">MAPPING!$I$904</definedName>
    <definedName name="SD_9089x1_9215x5_9223x1_594_B_0" localSheetId="0">MAPPING!$I$905</definedName>
    <definedName name="SD_9089x1_9215x5_9223x1_596_B_0" localSheetId="0">MAPPING!$I$906</definedName>
    <definedName name="SD_9089x1_9215x5_9223x1_598_B_0" localSheetId="0">MAPPING!$I$907</definedName>
    <definedName name="SD_9089x1_9215x5_9223x1_600_B_0" localSheetId="0">MAPPING!$I$908</definedName>
    <definedName name="SD_9089x1_9215x5_9223x1_602_B_0" localSheetId="0">MAPPING!$I$909</definedName>
    <definedName name="SD_9089x1_9215x5_9223x1_604_B_0" localSheetId="0">MAPPING!$I$910</definedName>
    <definedName name="SD_9089x1_9215x5_9223x1_606_B_0" localSheetId="0">MAPPING!$I$911</definedName>
    <definedName name="SD_9089x1_9215x5_9223x1_609_B_0" localSheetId="0">MAPPING!$I$913</definedName>
    <definedName name="SD_9089x1_9215x5_9223x1_612_B_0" localSheetId="0">MAPPING!$I$914</definedName>
    <definedName name="SD_9089x1_9215x5_9223x1_613_B_0" localSheetId="0">MAPPING!$I$915</definedName>
    <definedName name="SD_9089x1_9215x5_9223x1_615_B_0" localSheetId="0">MAPPING!$I$916</definedName>
    <definedName name="SD_9089x1_9215x5_9223x1_616_B_0" localSheetId="0">MAPPING!$I$917</definedName>
    <definedName name="SD_9089x1_9215x5_9223x1_625_B_0" localSheetId="0">MAPPING!$I$918</definedName>
    <definedName name="SD_9089x1_9215x5_9223x1_626_B_0" localSheetId="0">MAPPING!$I$925</definedName>
    <definedName name="SD_9089x1_9215x5_9223x1_627_B_0" localSheetId="0">MAPPING!$I$928</definedName>
    <definedName name="SD_9089x1_9215x5_9223x1_632_B_0" localSheetId="0">MAPPING!$I$919</definedName>
    <definedName name="SD_9089x1_9215x5_9223x1_633_B_0" localSheetId="0">MAPPING!$I$922</definedName>
    <definedName name="SD_9089x1_9215x5_9223x1_634_B_0" localSheetId="0">MAPPING!$I$926</definedName>
    <definedName name="SD_9089x1_9215x5_9223x1_635_B_0" localSheetId="0">MAPPING!$I$929</definedName>
    <definedName name="SD_9089x1_9215x5_9223x1_636_B_0" localSheetId="0">MAPPING!$I$936</definedName>
    <definedName name="SD_9089x1_9215x5_9223x1_639_B_0" localSheetId="0">MAPPING!$I$920</definedName>
    <definedName name="SD_9089x1_9215x5_9223x1_640_B_0" localSheetId="0">MAPPING!$I$921</definedName>
    <definedName name="SD_9089x1_9215x5_9223x1_641_B_0" localSheetId="0">MAPPING!$I$927</definedName>
    <definedName name="SD_9089x1_9215x5_9223x1_642_B_0" localSheetId="0">MAPPING!$I$930</definedName>
    <definedName name="SD_9089x1_9215x5_9223x1_643_B_0" localSheetId="0">MAPPING!$I$931</definedName>
    <definedName name="SD_9089x1_9215x5_9223x1_644_B_0" localSheetId="0">MAPPING!$I$933</definedName>
    <definedName name="SD_9089x1_9215x5_9223x1_645_B_0" localSheetId="0">MAPPING!$I$935</definedName>
    <definedName name="SD_9089x1_9215x5_9223x1_647_B_0" localSheetId="0">MAPPING!$I$923</definedName>
    <definedName name="SD_9089x1_9215x5_9223x1_650_B_0" localSheetId="0">MAPPING!$I$924</definedName>
    <definedName name="SD_9089x1_9215x5_9223x1_654_B_0" localSheetId="0">MAPPING!$I$932</definedName>
    <definedName name="SD_9089x1_9215x5_9223x1_655_B_0" localSheetId="0">MAPPING!$I$934</definedName>
    <definedName name="SD_9089x1_9215x5_9223x1_661_B_0" localSheetId="0">MAPPING!$I$937</definedName>
    <definedName name="SD_9089x1_9215x5_9223x1_670_B_0" localSheetId="0">MAPPING!$I$938</definedName>
    <definedName name="SD_9089x1_9215x5_9223x1_673_B_0" localSheetId="0">MAPPING!$I$939</definedName>
    <definedName name="SD_9089x1_9215x5_9223x1_677_B_0" localSheetId="0">MAPPING!$I$941</definedName>
    <definedName name="SD_9089x1_9215x5_9223x1_680_B_0" localSheetId="0">MAPPING!$I$942</definedName>
    <definedName name="SD_9089x1_9215x5_9223x1_683_B_0" localSheetId="0">MAPPING!$I$945</definedName>
    <definedName name="SD_9089x1_9215x5_9223x1_684_B_0" localSheetId="0">MAPPING!$I$943</definedName>
    <definedName name="SD_9089x1_9215x5_9223x1_685_B_0" localSheetId="0">MAPPING!$I$944</definedName>
    <definedName name="SD_9089x1_9215x5_9223x1_687_B_0" localSheetId="0">MAPPING!$I$940</definedName>
    <definedName name="SD_9089x1_9215x6_9223x1_10_S_0" localSheetId="0">MAPPING!$J$892</definedName>
    <definedName name="SD_9089x1_9215x6_9223x1_11_S_1" localSheetId="0">MAPPING!$J$893</definedName>
    <definedName name="SD_9089x1_9215x6_9223x1_167_B_0" localSheetId="0">MAPPING!$J$946</definedName>
    <definedName name="SD_9089x1_9215x6_9223x1_512_B_0" localSheetId="0">MAPPING!$J$894</definedName>
    <definedName name="SD_9089x1_9215x6_9223x1_513_B_0" localSheetId="0">MAPPING!$J$895</definedName>
    <definedName name="SD_9089x1_9215x6_9223x1_517_B_0" localSheetId="0">MAPPING!$J$897</definedName>
    <definedName name="SD_9089x1_9215x6_9223x1_532_B_0" localSheetId="0">MAPPING!$J$898</definedName>
    <definedName name="SD_9089x1_9215x6_9223x1_536_B_0" localSheetId="0">MAPPING!$J$899</definedName>
    <definedName name="SD_9089x1_9215x6_9223x1_568_B_0" localSheetId="0">MAPPING!$J$896</definedName>
    <definedName name="SD_9089x1_9215x6_9223x1_576_B_0" localSheetId="0">MAPPING!$J$912</definedName>
    <definedName name="SD_9089x1_9215x6_9223x1_578_B_0" localSheetId="0">MAPPING!$J$900</definedName>
    <definedName name="SD_9089x1_9215x6_9223x1_584_B_0" localSheetId="0">MAPPING!$J$901</definedName>
    <definedName name="SD_9089x1_9215x6_9223x1_587_B_0" localSheetId="0">MAPPING!$J$902</definedName>
    <definedName name="SD_9089x1_9215x6_9223x1_588_B_0" localSheetId="0">MAPPING!$J$903</definedName>
    <definedName name="SD_9089x1_9215x6_9223x1_590_B_0" localSheetId="0">MAPPING!$J$904</definedName>
    <definedName name="SD_9089x1_9215x6_9223x1_594_B_0" localSheetId="0">MAPPING!$J$905</definedName>
    <definedName name="SD_9089x1_9215x6_9223x1_596_B_0" localSheetId="0">MAPPING!$J$906</definedName>
    <definedName name="SD_9089x1_9215x6_9223x1_598_B_0" localSheetId="0">MAPPING!$J$907</definedName>
    <definedName name="SD_9089x1_9215x6_9223x1_600_B_0" localSheetId="0">MAPPING!$J$908</definedName>
    <definedName name="SD_9089x1_9215x6_9223x1_602_B_0" localSheetId="0">MAPPING!$J$909</definedName>
    <definedName name="SD_9089x1_9215x6_9223x1_604_B_0" localSheetId="0">MAPPING!$J$910</definedName>
    <definedName name="SD_9089x1_9215x6_9223x1_606_B_0" localSheetId="0">MAPPING!$J$911</definedName>
    <definedName name="SD_9089x1_9215x6_9223x1_609_B_0" localSheetId="0">MAPPING!$J$913</definedName>
    <definedName name="SD_9089x1_9215x6_9223x1_612_B_0" localSheetId="0">MAPPING!$J$914</definedName>
    <definedName name="SD_9089x1_9215x6_9223x1_613_B_0" localSheetId="0">MAPPING!$J$915</definedName>
    <definedName name="SD_9089x1_9215x6_9223x1_615_B_0" localSheetId="0">MAPPING!$J$916</definedName>
    <definedName name="SD_9089x1_9215x6_9223x1_616_B_0" localSheetId="0">MAPPING!$J$917</definedName>
    <definedName name="SD_9089x1_9215x6_9223x1_625_B_0" localSheetId="0">MAPPING!$J$918</definedName>
    <definedName name="SD_9089x1_9215x6_9223x1_626_B_0" localSheetId="0">MAPPING!$J$925</definedName>
    <definedName name="SD_9089x1_9215x6_9223x1_627_B_0" localSheetId="0">MAPPING!$J$928</definedName>
    <definedName name="SD_9089x1_9215x6_9223x1_632_B_0" localSheetId="0">MAPPING!$J$919</definedName>
    <definedName name="SD_9089x1_9215x6_9223x1_633_B_0" localSheetId="0">MAPPING!$J$922</definedName>
    <definedName name="SD_9089x1_9215x6_9223x1_634_B_0" localSheetId="0">MAPPING!$J$926</definedName>
    <definedName name="SD_9089x1_9215x6_9223x1_635_B_0" localSheetId="0">MAPPING!$J$929</definedName>
    <definedName name="SD_9089x1_9215x6_9223x1_636_B_0" localSheetId="0">MAPPING!$J$936</definedName>
    <definedName name="SD_9089x1_9215x6_9223x1_639_B_0" localSheetId="0">MAPPING!$J$920</definedName>
    <definedName name="SD_9089x1_9215x6_9223x1_640_B_0" localSheetId="0">MAPPING!$J$921</definedName>
    <definedName name="SD_9089x1_9215x6_9223x1_641_B_0" localSheetId="0">MAPPING!$J$927</definedName>
    <definedName name="SD_9089x1_9215x6_9223x1_642_B_0" localSheetId="0">MAPPING!$J$930</definedName>
    <definedName name="SD_9089x1_9215x6_9223x1_643_B_0" localSheetId="0">MAPPING!$J$931</definedName>
    <definedName name="SD_9089x1_9215x6_9223x1_644_B_0" localSheetId="0">MAPPING!$J$933</definedName>
    <definedName name="SD_9089x1_9215x6_9223x1_645_B_0" localSheetId="0">MAPPING!$J$935</definedName>
    <definedName name="SD_9089x1_9215x6_9223x1_647_B_0" localSheetId="0">MAPPING!$J$923</definedName>
    <definedName name="SD_9089x1_9215x6_9223x1_650_B_0" localSheetId="0">MAPPING!$J$924</definedName>
    <definedName name="SD_9089x1_9215x6_9223x1_654_B_0" localSheetId="0">MAPPING!$J$932</definedName>
    <definedName name="SD_9089x1_9215x6_9223x1_655_B_0" localSheetId="0">MAPPING!$J$934</definedName>
    <definedName name="SD_9089x1_9215x6_9223x1_661_B_0" localSheetId="0">MAPPING!$J$937</definedName>
    <definedName name="SD_9089x1_9215x6_9223x1_670_B_0" localSheetId="0">MAPPING!$J$938</definedName>
    <definedName name="SD_9089x1_9215x6_9223x1_673_B_0" localSheetId="0">MAPPING!$J$939</definedName>
    <definedName name="SD_9089x1_9215x6_9223x1_677_B_0" localSheetId="0">MAPPING!$J$941</definedName>
    <definedName name="SD_9089x1_9215x6_9223x1_680_B_0" localSheetId="0">MAPPING!$J$942</definedName>
    <definedName name="SD_9089x1_9215x6_9223x1_683_B_0" localSheetId="0">MAPPING!$J$945</definedName>
    <definedName name="SD_9089x1_9215x6_9223x1_684_B_0" localSheetId="0">MAPPING!$J$943</definedName>
    <definedName name="SD_9089x1_9215x6_9223x1_685_B_0" localSheetId="0">MAPPING!$J$944</definedName>
    <definedName name="SD_9089x1_9215x6_9223x1_687_B_0" localSheetId="0">MAPPING!$J$940</definedName>
    <definedName name="SD_9089x1_9215x7_9223x1_10_S_0" localSheetId="0">MAPPING!$K$892</definedName>
    <definedName name="SD_9089x1_9215x7_9223x1_11_S_1" localSheetId="0">MAPPING!$K$893</definedName>
    <definedName name="SD_9089x1_9215x7_9223x1_167_B_0" localSheetId="0">MAPPING!$K$946</definedName>
    <definedName name="SD_9089x1_9215x7_9223x1_512_B_0" localSheetId="0">MAPPING!$K$894</definedName>
    <definedName name="SD_9089x1_9215x7_9223x1_513_B_0" localSheetId="0">MAPPING!$K$895</definedName>
    <definedName name="SD_9089x1_9215x7_9223x1_517_B_0" localSheetId="0">MAPPING!$K$897</definedName>
    <definedName name="SD_9089x1_9215x7_9223x1_532_B_0" localSheetId="0">MAPPING!$K$898</definedName>
    <definedName name="SD_9089x1_9215x7_9223x1_536_B_0" localSheetId="0">MAPPING!$K$899</definedName>
    <definedName name="SD_9089x1_9215x7_9223x1_568_B_0" localSheetId="0">MAPPING!$K$896</definedName>
    <definedName name="SD_9089x1_9215x7_9223x1_576_B_0" localSheetId="0">MAPPING!$K$912</definedName>
    <definedName name="SD_9089x1_9215x7_9223x1_578_B_0" localSheetId="0">MAPPING!$K$900</definedName>
    <definedName name="SD_9089x1_9215x7_9223x1_584_B_0" localSheetId="0">MAPPING!$K$901</definedName>
    <definedName name="SD_9089x1_9215x7_9223x1_587_B_0" localSheetId="0">MAPPING!$K$902</definedName>
    <definedName name="SD_9089x1_9215x7_9223x1_588_B_0" localSheetId="0">MAPPING!$K$903</definedName>
    <definedName name="SD_9089x1_9215x7_9223x1_590_B_0" localSheetId="0">MAPPING!$K$904</definedName>
    <definedName name="SD_9089x1_9215x7_9223x1_594_B_0" localSheetId="0">MAPPING!$K$905</definedName>
    <definedName name="SD_9089x1_9215x7_9223x1_596_B_0" localSheetId="0">MAPPING!$K$906</definedName>
    <definedName name="SD_9089x1_9215x7_9223x1_598_B_0" localSheetId="0">MAPPING!$K$907</definedName>
    <definedName name="SD_9089x1_9215x7_9223x1_600_B_0" localSheetId="0">MAPPING!$K$908</definedName>
    <definedName name="SD_9089x1_9215x7_9223x1_602_B_0" localSheetId="0">MAPPING!$K$909</definedName>
    <definedName name="SD_9089x1_9215x7_9223x1_604_B_0" localSheetId="0">MAPPING!$K$910</definedName>
    <definedName name="SD_9089x1_9215x7_9223x1_606_B_0" localSheetId="0">MAPPING!$K$911</definedName>
    <definedName name="SD_9089x1_9215x7_9223x1_609_B_0" localSheetId="0">MAPPING!$K$913</definedName>
    <definedName name="SD_9089x1_9215x7_9223x1_612_B_0" localSheetId="0">MAPPING!$K$914</definedName>
    <definedName name="SD_9089x1_9215x7_9223x1_613_B_0" localSheetId="0">MAPPING!$K$915</definedName>
    <definedName name="SD_9089x1_9215x7_9223x1_615_B_0" localSheetId="0">MAPPING!$K$916</definedName>
    <definedName name="SD_9089x1_9215x7_9223x1_616_B_0" localSheetId="0">MAPPING!$K$917</definedName>
    <definedName name="SD_9089x1_9215x7_9223x1_625_B_0" localSheetId="0">MAPPING!$K$918</definedName>
    <definedName name="SD_9089x1_9215x7_9223x1_626_B_0" localSheetId="0">MAPPING!$K$925</definedName>
    <definedName name="SD_9089x1_9215x7_9223x1_627_B_0" localSheetId="0">MAPPING!$K$928</definedName>
    <definedName name="SD_9089x1_9215x7_9223x1_632_B_0" localSheetId="0">MAPPING!$K$919</definedName>
    <definedName name="SD_9089x1_9215x7_9223x1_633_B_0" localSheetId="0">MAPPING!$K$922</definedName>
    <definedName name="SD_9089x1_9215x7_9223x1_634_B_0" localSheetId="0">MAPPING!$K$926</definedName>
    <definedName name="SD_9089x1_9215x7_9223x1_635_B_0" localSheetId="0">MAPPING!$K$929</definedName>
    <definedName name="SD_9089x1_9215x7_9223x1_636_B_0" localSheetId="0">MAPPING!$K$936</definedName>
    <definedName name="SD_9089x1_9215x7_9223x1_639_B_0" localSheetId="0">MAPPING!$K$920</definedName>
    <definedName name="SD_9089x1_9215x7_9223x1_640_B_0" localSheetId="0">MAPPING!$K$921</definedName>
    <definedName name="SD_9089x1_9215x7_9223x1_641_B_0" localSheetId="0">MAPPING!$K$927</definedName>
    <definedName name="SD_9089x1_9215x7_9223x1_642_B_0" localSheetId="0">MAPPING!$K$930</definedName>
    <definedName name="SD_9089x1_9215x7_9223x1_643_B_0" localSheetId="0">MAPPING!$K$931</definedName>
    <definedName name="SD_9089x1_9215x7_9223x1_644_B_0" localSheetId="0">MAPPING!$K$933</definedName>
    <definedName name="SD_9089x1_9215x7_9223x1_645_B_0" localSheetId="0">MAPPING!$K$935</definedName>
    <definedName name="SD_9089x1_9215x7_9223x1_647_B_0" localSheetId="0">MAPPING!$K$923</definedName>
    <definedName name="SD_9089x1_9215x7_9223x1_650_B_0" localSheetId="0">MAPPING!$K$924</definedName>
    <definedName name="SD_9089x1_9215x7_9223x1_654_B_0" localSheetId="0">MAPPING!$K$932</definedName>
    <definedName name="SD_9089x1_9215x7_9223x1_655_B_0" localSheetId="0">MAPPING!$K$934</definedName>
    <definedName name="SD_9089x1_9215x7_9223x1_661_B_0" localSheetId="0">MAPPING!$K$937</definedName>
    <definedName name="SD_9089x1_9215x7_9223x1_670_B_0" localSheetId="0">MAPPING!$K$938</definedName>
    <definedName name="SD_9089x1_9215x7_9223x1_673_B_0" localSheetId="0">MAPPING!$K$939</definedName>
    <definedName name="SD_9089x1_9215x7_9223x1_677_B_0" localSheetId="0">MAPPING!$K$941</definedName>
    <definedName name="SD_9089x1_9215x7_9223x1_680_B_0" localSheetId="0">MAPPING!$K$942</definedName>
    <definedName name="SD_9089x1_9215x7_9223x1_683_B_0" localSheetId="0">MAPPING!$K$945</definedName>
    <definedName name="SD_9089x1_9215x7_9223x1_684_B_0" localSheetId="0">MAPPING!$K$943</definedName>
    <definedName name="SD_9089x1_9215x7_9223x1_685_B_0" localSheetId="0">MAPPING!$K$944</definedName>
    <definedName name="SD_9089x1_9215x7_9223x1_687_B_0" localSheetId="0">MAPPING!$K$940</definedName>
    <definedName name="SD_9089x1_9215x8_9223x1_10_S_0" localSheetId="0">MAPPING!$L$892</definedName>
    <definedName name="SD_9089x1_9215x8_9223x1_11_S_1" localSheetId="0">MAPPING!$L$893</definedName>
    <definedName name="SD_9089x1_9215x8_9223x1_167_B_0" localSheetId="0">MAPPING!$L$946</definedName>
    <definedName name="SD_9089x1_9215x8_9223x1_512_B_0" localSheetId="0">MAPPING!$L$894</definedName>
    <definedName name="SD_9089x1_9215x8_9223x1_513_B_0" localSheetId="0">MAPPING!$L$895</definedName>
    <definedName name="SD_9089x1_9215x8_9223x1_517_B_0" localSheetId="0">MAPPING!$L$897</definedName>
    <definedName name="SD_9089x1_9215x8_9223x1_532_B_0" localSheetId="0">MAPPING!$L$898</definedName>
    <definedName name="SD_9089x1_9215x8_9223x1_536_B_0" localSheetId="0">MAPPING!$L$899</definedName>
    <definedName name="SD_9089x1_9215x8_9223x1_568_B_0" localSheetId="0">MAPPING!$L$896</definedName>
    <definedName name="SD_9089x1_9215x8_9223x1_576_B_0" localSheetId="0">MAPPING!$L$912</definedName>
    <definedName name="SD_9089x1_9215x8_9223x1_578_B_0" localSheetId="0">MAPPING!$L$900</definedName>
    <definedName name="SD_9089x1_9215x8_9223x1_584_B_0" localSheetId="0">MAPPING!$L$901</definedName>
    <definedName name="SD_9089x1_9215x8_9223x1_587_B_0" localSheetId="0">MAPPING!$L$902</definedName>
    <definedName name="SD_9089x1_9215x8_9223x1_588_B_0" localSheetId="0">MAPPING!$L$903</definedName>
    <definedName name="SD_9089x1_9215x8_9223x1_590_B_0" localSheetId="0">MAPPING!$L$904</definedName>
    <definedName name="SD_9089x1_9215x8_9223x1_594_B_0" localSheetId="0">MAPPING!$L$905</definedName>
    <definedName name="SD_9089x1_9215x8_9223x1_596_B_0" localSheetId="0">MAPPING!$L$906</definedName>
    <definedName name="SD_9089x1_9215x8_9223x1_598_B_0" localSheetId="0">MAPPING!$L$907</definedName>
    <definedName name="SD_9089x1_9215x8_9223x1_600_B_0" localSheetId="0">MAPPING!$L$908</definedName>
    <definedName name="SD_9089x1_9215x8_9223x1_602_B_0" localSheetId="0">MAPPING!$L$909</definedName>
    <definedName name="SD_9089x1_9215x8_9223x1_604_B_0" localSheetId="0">MAPPING!$L$910</definedName>
    <definedName name="SD_9089x1_9215x8_9223x1_606_B_0" localSheetId="0">MAPPING!$L$911</definedName>
    <definedName name="SD_9089x1_9215x8_9223x1_609_B_0" localSheetId="0">MAPPING!$L$913</definedName>
    <definedName name="SD_9089x1_9215x8_9223x1_612_B_0" localSheetId="0">MAPPING!$L$914</definedName>
    <definedName name="SD_9089x1_9215x8_9223x1_613_B_0" localSheetId="0">MAPPING!$L$915</definedName>
    <definedName name="SD_9089x1_9215x8_9223x1_615_B_0" localSheetId="0">MAPPING!$L$916</definedName>
    <definedName name="SD_9089x1_9215x8_9223x1_616_B_0" localSheetId="0">MAPPING!$L$917</definedName>
    <definedName name="SD_9089x1_9215x8_9223x1_625_B_0" localSheetId="0">MAPPING!$L$918</definedName>
    <definedName name="SD_9089x1_9215x8_9223x1_626_B_0" localSheetId="0">MAPPING!$L$925</definedName>
    <definedName name="SD_9089x1_9215x8_9223x1_627_B_0" localSheetId="0">MAPPING!$L$928</definedName>
    <definedName name="SD_9089x1_9215x8_9223x1_632_B_0" localSheetId="0">MAPPING!$L$919</definedName>
    <definedName name="SD_9089x1_9215x8_9223x1_633_B_0" localSheetId="0">MAPPING!$L$922</definedName>
    <definedName name="SD_9089x1_9215x8_9223x1_634_B_0" localSheetId="0">MAPPING!$L$926</definedName>
    <definedName name="SD_9089x1_9215x8_9223x1_635_B_0" localSheetId="0">MAPPING!$L$929</definedName>
    <definedName name="SD_9089x1_9215x8_9223x1_636_B_0" localSheetId="0">MAPPING!$L$936</definedName>
    <definedName name="SD_9089x1_9215x8_9223x1_639_B_0" localSheetId="0">MAPPING!$L$920</definedName>
    <definedName name="SD_9089x1_9215x8_9223x1_640_B_0" localSheetId="0">MAPPING!$L$921</definedName>
    <definedName name="SD_9089x1_9215x8_9223x1_641_B_0" localSheetId="0">MAPPING!$L$927</definedName>
    <definedName name="SD_9089x1_9215x8_9223x1_642_B_0" localSheetId="0">MAPPING!$L$930</definedName>
    <definedName name="SD_9089x1_9215x8_9223x1_643_B_0" localSheetId="0">MAPPING!$L$931</definedName>
    <definedName name="SD_9089x1_9215x8_9223x1_644_B_0" localSheetId="0">MAPPING!$L$933</definedName>
    <definedName name="SD_9089x1_9215x8_9223x1_645_B_0" localSheetId="0">MAPPING!$L$935</definedName>
    <definedName name="SD_9089x1_9215x8_9223x1_647_B_0" localSheetId="0">MAPPING!$L$923</definedName>
    <definedName name="SD_9089x1_9215x8_9223x1_650_B_0" localSheetId="0">MAPPING!$L$924</definedName>
    <definedName name="SD_9089x1_9215x8_9223x1_654_B_0" localSheetId="0">MAPPING!$L$932</definedName>
    <definedName name="SD_9089x1_9215x8_9223x1_655_B_0" localSheetId="0">MAPPING!$L$934</definedName>
    <definedName name="SD_9089x1_9215x8_9223x1_661_B_0" localSheetId="0">MAPPING!$L$937</definedName>
    <definedName name="SD_9089x1_9215x8_9223x1_670_B_0" localSheetId="0">MAPPING!$L$938</definedName>
    <definedName name="SD_9089x1_9215x8_9223x1_673_B_0" localSheetId="0">MAPPING!$L$939</definedName>
    <definedName name="SD_9089x1_9215x8_9223x1_677_B_0" localSheetId="0">MAPPING!$L$941</definedName>
    <definedName name="SD_9089x1_9215x8_9223x1_680_B_0" localSheetId="0">MAPPING!$L$942</definedName>
    <definedName name="SD_9089x1_9215x8_9223x1_683_B_0" localSheetId="0">MAPPING!$L$945</definedName>
    <definedName name="SD_9089x1_9215x8_9223x1_684_B_0" localSheetId="0">MAPPING!$L$943</definedName>
    <definedName name="SD_9089x1_9215x8_9223x1_685_B_0" localSheetId="0">MAPPING!$L$944</definedName>
    <definedName name="SD_9089x1_9215x8_9223x1_687_B_0" localSheetId="0">MAPPING!$L$940</definedName>
    <definedName name="SD_9089x1_9215x9_9223x1_10_S_0" localSheetId="0">MAPPING!$M$892</definedName>
    <definedName name="SD_9089x1_9215x9_9223x1_11_S_1" localSheetId="0">MAPPING!$M$893</definedName>
    <definedName name="SD_9089x1_9215x9_9223x1_167_B_0" localSheetId="0">MAPPING!$M$946</definedName>
    <definedName name="SD_9089x1_9215x9_9223x1_512_B_0" localSheetId="0">MAPPING!$M$894</definedName>
    <definedName name="SD_9089x1_9215x9_9223x1_513_B_0" localSheetId="0">MAPPING!$M$895</definedName>
    <definedName name="SD_9089x1_9215x9_9223x1_517_B_0" localSheetId="0">MAPPING!$M$897</definedName>
    <definedName name="SD_9089x1_9215x9_9223x1_532_B_0" localSheetId="0">MAPPING!$M$898</definedName>
    <definedName name="SD_9089x1_9215x9_9223x1_536_B_0" localSheetId="0">MAPPING!$M$899</definedName>
    <definedName name="SD_9089x1_9215x9_9223x1_568_B_0" localSheetId="0">MAPPING!$M$896</definedName>
    <definedName name="SD_9089x1_9215x9_9223x1_576_B_0" localSheetId="0">MAPPING!$M$912</definedName>
    <definedName name="SD_9089x1_9215x9_9223x1_578_B_0" localSheetId="0">MAPPING!$M$900</definedName>
    <definedName name="SD_9089x1_9215x9_9223x1_584_B_0" localSheetId="0">MAPPING!$M$901</definedName>
    <definedName name="SD_9089x1_9215x9_9223x1_587_B_0" localSheetId="0">MAPPING!$M$902</definedName>
    <definedName name="SD_9089x1_9215x9_9223x1_588_B_0" localSheetId="0">MAPPING!$M$903</definedName>
    <definedName name="SD_9089x1_9215x9_9223x1_590_B_0" localSheetId="0">MAPPING!$M$904</definedName>
    <definedName name="SD_9089x1_9215x9_9223x1_594_B_0" localSheetId="0">MAPPING!$M$905</definedName>
    <definedName name="SD_9089x1_9215x9_9223x1_596_B_0" localSheetId="0">MAPPING!$M$906</definedName>
    <definedName name="SD_9089x1_9215x9_9223x1_598_B_0" localSheetId="0">MAPPING!$M$907</definedName>
    <definedName name="SD_9089x1_9215x9_9223x1_600_B_0" localSheetId="0">MAPPING!$M$908</definedName>
    <definedName name="SD_9089x1_9215x9_9223x1_602_B_0" localSheetId="0">MAPPING!$M$909</definedName>
    <definedName name="SD_9089x1_9215x9_9223x1_604_B_0" localSheetId="0">MAPPING!$M$910</definedName>
    <definedName name="SD_9089x1_9215x9_9223x1_606_B_0" localSheetId="0">MAPPING!$M$911</definedName>
    <definedName name="SD_9089x1_9215x9_9223x1_609_B_0" localSheetId="0">MAPPING!$M$913</definedName>
    <definedName name="SD_9089x1_9215x9_9223x1_612_B_0" localSheetId="0">MAPPING!$M$914</definedName>
    <definedName name="SD_9089x1_9215x9_9223x1_613_B_0" localSheetId="0">MAPPING!$M$915</definedName>
    <definedName name="SD_9089x1_9215x9_9223x1_615_B_0" localSheetId="0">MAPPING!$M$916</definedName>
    <definedName name="SD_9089x1_9215x9_9223x1_616_B_0" localSheetId="0">MAPPING!$M$917</definedName>
    <definedName name="SD_9089x1_9215x9_9223x1_625_B_0" localSheetId="0">MAPPING!$M$918</definedName>
    <definedName name="SD_9089x1_9215x9_9223x1_626_B_0" localSheetId="0">MAPPING!$M$925</definedName>
    <definedName name="SD_9089x1_9215x9_9223x1_627_B_0" localSheetId="0">MAPPING!$M$928</definedName>
    <definedName name="SD_9089x1_9215x9_9223x1_632_B_0" localSheetId="0">MAPPING!$M$919</definedName>
    <definedName name="SD_9089x1_9215x9_9223x1_633_B_0" localSheetId="0">MAPPING!$M$922</definedName>
    <definedName name="SD_9089x1_9215x9_9223x1_634_B_0" localSheetId="0">MAPPING!$M$926</definedName>
    <definedName name="SD_9089x1_9215x9_9223x1_635_B_0" localSheetId="0">MAPPING!$M$929</definedName>
    <definedName name="SD_9089x1_9215x9_9223x1_636_B_0" localSheetId="0">MAPPING!$M$936</definedName>
    <definedName name="SD_9089x1_9215x9_9223x1_639_B_0" localSheetId="0">MAPPING!$M$920</definedName>
    <definedName name="SD_9089x1_9215x9_9223x1_640_B_0" localSheetId="0">MAPPING!$M$921</definedName>
    <definedName name="SD_9089x1_9215x9_9223x1_641_B_0" localSheetId="0">MAPPING!$M$927</definedName>
    <definedName name="SD_9089x1_9215x9_9223x1_642_B_0" localSheetId="0">MAPPING!$M$930</definedName>
    <definedName name="SD_9089x1_9215x9_9223x1_643_B_0" localSheetId="0">MAPPING!$M$931</definedName>
    <definedName name="SD_9089x1_9215x9_9223x1_644_B_0" localSheetId="0">MAPPING!$M$933</definedName>
    <definedName name="SD_9089x1_9215x9_9223x1_645_B_0" localSheetId="0">MAPPING!$M$935</definedName>
    <definedName name="SD_9089x1_9215x9_9223x1_647_B_0" localSheetId="0">MAPPING!$M$923</definedName>
    <definedName name="SD_9089x1_9215x9_9223x1_650_B_0" localSheetId="0">MAPPING!$M$924</definedName>
    <definedName name="SD_9089x1_9215x9_9223x1_654_B_0" localSheetId="0">MAPPING!$M$932</definedName>
    <definedName name="SD_9089x1_9215x9_9223x1_655_B_0" localSheetId="0">MAPPING!$M$934</definedName>
    <definedName name="SD_9089x1_9215x9_9223x1_661_B_0" localSheetId="0">MAPPING!$M$937</definedName>
    <definedName name="SD_9089x1_9215x9_9223x1_670_B_0" localSheetId="0">MAPPING!$M$938</definedName>
    <definedName name="SD_9089x1_9215x9_9223x1_673_B_0" localSheetId="0">MAPPING!$M$939</definedName>
    <definedName name="SD_9089x1_9215x9_9223x1_677_B_0" localSheetId="0">MAPPING!$M$941</definedName>
    <definedName name="SD_9089x1_9215x9_9223x1_680_B_0" localSheetId="0">MAPPING!$M$942</definedName>
    <definedName name="SD_9089x1_9215x9_9223x1_683_B_0" localSheetId="0">MAPPING!$M$945</definedName>
    <definedName name="SD_9089x1_9215x9_9223x1_684_B_0" localSheetId="0">MAPPING!$M$943</definedName>
    <definedName name="SD_9089x1_9215x9_9223x1_685_B_0" localSheetId="0">MAPPING!$M$944</definedName>
    <definedName name="SD_9089x1_9215x9_9223x1_687_B_0" localSheetId="0">MAPPING!$M$940</definedName>
    <definedName name="SD_D_AllDEVFundingSourcesForSmartDox" hidden="1">SD_Dropdowns!$AY$2:$AZ$87</definedName>
    <definedName name="SD_D_AllDEVFundingSourcesForSmartDox_Name" hidden="1">SD_Dropdowns!$AY$2:$AY$87</definedName>
    <definedName name="SD_D_AllDEVFundingSourcesForSmartDox_Value" hidden="1">SD_Dropdowns!$AZ$2:$AZ$87</definedName>
    <definedName name="SD_D_PL_BldgAllocType" hidden="1">SD_Dropdowns!$BU$2:$BV$9</definedName>
    <definedName name="SD_D_PL_BldgAllocType_Name" hidden="1">SD_Dropdowns!$BU$2:$BU$9</definedName>
    <definedName name="SD_D_PL_BldgAllocType_Value" hidden="1">SD_Dropdowns!$BV$2:$BV$9</definedName>
    <definedName name="SD_D_PL_DealEntityRole" hidden="1">SD_Dropdowns!$DC$2:$DD$82</definedName>
    <definedName name="SD_D_PL_DealEntityRole_Name" hidden="1">SD_Dropdowns!$DC$2:$DC$82</definedName>
    <definedName name="SD_D_PL_DealEntityRole_Value" hidden="1">SD_Dropdowns!$DD$2:$DD$82</definedName>
    <definedName name="SD_D_PL_DEVDealType" hidden="1">SD_Dropdowns!$E$2:$F$17</definedName>
    <definedName name="SD_D_PL_DEVDealType_Name" hidden="1">SD_Dropdowns!$E$2:$E$17</definedName>
    <definedName name="SD_D_PL_DEVDealType_Value" hidden="1">SD_Dropdowns!$F$2:$F$17</definedName>
    <definedName name="SD_D_PL_EntityCompanyOrIndividual" hidden="1">SD_Dropdowns!$DA$2:$DB$4</definedName>
    <definedName name="SD_D_PL_EntityCompanyOrIndividual_Name" hidden="1">SD_Dropdowns!$DA$2:$DA$4</definedName>
    <definedName name="SD_D_PL_EntityCompanyOrIndividual_Value" hidden="1">SD_Dropdowns!$DB$2:$DB$4</definedName>
    <definedName name="SD_D_PL_FinancialType" hidden="1">SD_Dropdowns!$DG$2:$DH$7</definedName>
    <definedName name="SD_D_PL_FinancialType_Name" hidden="1">SD_Dropdowns!$DG$2:$DG$7</definedName>
    <definedName name="SD_D_PL_FinancialType_Value" hidden="1">SD_Dropdowns!$DH$2:$DH$7</definedName>
    <definedName name="SD_D_PL_IncomeTarget" hidden="1">SD_Dropdowns!$CA$2:$CB$13</definedName>
    <definedName name="SD_D_PL_IncomeTarget_Name" hidden="1">SD_Dropdowns!$CA$2:$CA$13</definedName>
    <definedName name="SD_D_PL_IncomeTarget_Value" hidden="1">SD_Dropdowns!$CB$2:$CB$13</definedName>
    <definedName name="SD_D_PL_Jurisdiction" hidden="1">SD_Dropdowns!$S$2:$T$26</definedName>
    <definedName name="SD_D_PL_Jurisdiction_Name" hidden="1">SD_Dropdowns!$S$2:$S$26</definedName>
    <definedName name="SD_D_PL_Jurisdiction_Value" hidden="1">SD_Dropdowns!$T$2:$T$26</definedName>
    <definedName name="SD_D_PL_ProcessType" hidden="1">SD_Dropdowns!$AU$2:$AV$44</definedName>
    <definedName name="SD_D_PL_ProcessType_Name" hidden="1">SD_Dropdowns!$AU$2:$AU$44</definedName>
    <definedName name="SD_D_PL_ProcessType_Value" hidden="1">SD_Dropdowns!$AV$2:$AV$44</definedName>
    <definedName name="SD_D_PL_ProgramType" hidden="1">SD_Dropdowns!$AW$2:$AX$8</definedName>
    <definedName name="SD_D_PL_ProgramType_Name" hidden="1">SD_Dropdowns!$AW$2:$AW$8</definedName>
    <definedName name="SD_D_PL_ProgramType_Value" hidden="1">SD_Dropdowns!$AX$2:$AX$8</definedName>
    <definedName name="SD_D_PL_SiteControlType" hidden="1">SD_Dropdowns!$BS$2:$BT$6</definedName>
    <definedName name="SD_D_PL_SiteControlType_Name" hidden="1">SD_Dropdowns!$BS$2:$BS$6</definedName>
    <definedName name="SD_D_PL_SiteControlType_Value" hidden="1">SD_Dropdowns!$BT$2:$BT$6</definedName>
    <definedName name="SD_D_PL_State" hidden="1">SD_Dropdowns!$Q$2:$R$53</definedName>
    <definedName name="SD_D_PL_State_Name" hidden="1">SD_Dropdowns!$Q$2:$Q$53</definedName>
    <definedName name="SD_D_PL_State_Value" hidden="1">SD_Dropdowns!$R$2:$R$53</definedName>
    <definedName name="SD_D_PL_TaxCreditPercentType" hidden="1">SD_Dropdowns!$C$2:$D$7</definedName>
    <definedName name="SD_D_PL_TaxCreditPercentType_Name" hidden="1">SD_Dropdowns!$C$2:$C$7</definedName>
    <definedName name="SD_D_PL_TaxCreditPercentType_Value" hidden="1">SD_Dropdowns!$D$2:$D$7</definedName>
    <definedName name="SD_D_PL_TCUnitMixType" hidden="1">SD_Dropdowns!$BY$2:$BZ$10</definedName>
    <definedName name="SD_D_PL_TCUnitMixType_Name" hidden="1">SD_Dropdowns!$BY$2:$BY$10</definedName>
    <definedName name="SD_D_PL_TCUnitMixType_Value" hidden="1">SD_Dropdowns!$BZ$2:$BZ$10</definedName>
    <definedName name="SD_D_PL_UDF_127" hidden="1">SD_Dropdowns!$U$2:$V$10</definedName>
    <definedName name="SD_D_PL_UDF_127_Name" hidden="1">SD_Dropdowns!$U$2:$U$10</definedName>
    <definedName name="SD_D_PL_UDF_127_Value" hidden="1">SD_Dropdowns!$V$2:$V$10</definedName>
    <definedName name="SD_D_PL_UDF_128" hidden="1">SD_Dropdowns!$W$2:$X$84</definedName>
    <definedName name="SD_D_PL_UDF_128_Name" hidden="1">SD_Dropdowns!$W$2:$W$84</definedName>
    <definedName name="SD_D_PL_UDF_128_Value" hidden="1">SD_Dropdowns!$X$2:$X$84</definedName>
    <definedName name="SD_D_PL_UDF_136" hidden="1">SD_Dropdowns!$DE$2:$DF$4</definedName>
    <definedName name="SD_D_PL_UDF_136_Name" hidden="1">SD_Dropdowns!$DE$2:$DE$4</definedName>
    <definedName name="SD_D_PL_UDF_136_Value" hidden="1">SD_Dropdowns!$DF$2:$DF$4</definedName>
    <definedName name="SD_D_PL_UDF_137" hidden="1">SD_Dropdowns!$BC$2:$BD$4</definedName>
    <definedName name="SD_D_PL_UDF_137_Name" hidden="1">SD_Dropdowns!$BC$2:$BC$4</definedName>
    <definedName name="SD_D_PL_UDF_137_Value" hidden="1">SD_Dropdowns!$BD$2:$BD$4</definedName>
    <definedName name="SD_D_PL_UDF_139" hidden="1">SD_Dropdowns!$BE$2:$BF$4</definedName>
    <definedName name="SD_D_PL_UDF_139_Name" hidden="1">SD_Dropdowns!$BE$2:$BE$4</definedName>
    <definedName name="SD_D_PL_UDF_139_Value" hidden="1">SD_Dropdowns!$BF$2:$BF$4</definedName>
    <definedName name="SD_D_PL_UDF_141" hidden="1">SD_Dropdowns!$BG$2:$BH$4</definedName>
    <definedName name="SD_D_PL_UDF_141_Name" hidden="1">SD_Dropdowns!$BG$2:$BG$4</definedName>
    <definedName name="SD_D_PL_UDF_141_Value" hidden="1">SD_Dropdowns!$BH$2:$BH$4</definedName>
    <definedName name="SD_D_PL_UDF_143" hidden="1">SD_Dropdowns!$BI$2:$BJ$4</definedName>
    <definedName name="SD_D_PL_UDF_143_Name" hidden="1">SD_Dropdowns!$BI$2:$BI$4</definedName>
    <definedName name="SD_D_PL_UDF_143_Value" hidden="1">SD_Dropdowns!$BJ$2:$BJ$4</definedName>
    <definedName name="SD_D_PL_UDF_145" hidden="1">SD_Dropdowns!$BK$2:$BL$4</definedName>
    <definedName name="SD_D_PL_UDF_145_Name" hidden="1">SD_Dropdowns!$BK$2:$BK$4</definedName>
    <definedName name="SD_D_PL_UDF_145_Value" hidden="1">SD_Dropdowns!$BL$2:$BL$4</definedName>
    <definedName name="SD_D_PL_UDF_147" hidden="1">SD_Dropdowns!$BM$2:$BN$4</definedName>
    <definedName name="SD_D_PL_UDF_147_Name" hidden="1">SD_Dropdowns!$BM$2:$BM$4</definedName>
    <definedName name="SD_D_PL_UDF_147_Value" hidden="1">SD_Dropdowns!$BN$2:$BN$4</definedName>
    <definedName name="SD_D_PL_UDF_149" hidden="1">SD_Dropdowns!$BO$2:$BP$4</definedName>
    <definedName name="SD_D_PL_UDF_149_Name" hidden="1">SD_Dropdowns!$BO$2:$BO$4</definedName>
    <definedName name="SD_D_PL_UDF_149_Value" hidden="1">SD_Dropdowns!$BP$2:$BP$4</definedName>
    <definedName name="SD_D_PL_UDF_151" hidden="1">SD_Dropdowns!$BQ$2:$BR$4</definedName>
    <definedName name="SD_D_PL_UDF_151_Name" hidden="1">SD_Dropdowns!$BQ$2:$BQ$4</definedName>
    <definedName name="SD_D_PL_UDF_151_Value" hidden="1">SD_Dropdowns!$BR$2:$BR$4</definedName>
    <definedName name="SD_D_PL_UDF_156" hidden="1">SD_Dropdowns!$BA$2:$BB$4</definedName>
    <definedName name="SD_D_PL_UDF_156_Name" hidden="1">SD_Dropdowns!$BA$2:$BA$4</definedName>
    <definedName name="SD_D_PL_UDF_156_Value" hidden="1">SD_Dropdowns!$BB$2:$BB$4</definedName>
    <definedName name="SD_D_PL_UDF_159" hidden="1">SD_Dropdowns!$Y$2:$Z$4</definedName>
    <definedName name="SD_D_PL_UDF_159_Name" hidden="1">SD_Dropdowns!$Y$2:$Y$4</definedName>
    <definedName name="SD_D_PL_UDF_159_Value" hidden="1">SD_Dropdowns!$Z$2:$Z$4</definedName>
    <definedName name="SD_D_PL_UDF_160" hidden="1">SD_Dropdowns!$AA$2:$AB$4</definedName>
    <definedName name="SD_D_PL_UDF_160_Name" hidden="1">SD_Dropdowns!$AA$2:$AA$4</definedName>
    <definedName name="SD_D_PL_UDF_160_Value" hidden="1">SD_Dropdowns!$AB$2:$AB$4</definedName>
    <definedName name="SD_D_PL_UDF_161" hidden="1">SD_Dropdowns!$AC$2:$AD$4</definedName>
    <definedName name="SD_D_PL_UDF_161_Name" hidden="1">SD_Dropdowns!$AC$2:$AC$4</definedName>
    <definedName name="SD_D_PL_UDF_161_Value" hidden="1">SD_Dropdowns!$AD$2:$AD$4</definedName>
    <definedName name="SD_D_PL_UDF_162" hidden="1">SD_Dropdowns!$AE$2:$AF$4</definedName>
    <definedName name="SD_D_PL_UDF_162_Name" hidden="1">SD_Dropdowns!$AE$2:$AE$4</definedName>
    <definedName name="SD_D_PL_UDF_162_Value" hidden="1">SD_Dropdowns!$AF$2:$AF$4</definedName>
    <definedName name="SD_D_PL_UDF_163" hidden="1">SD_Dropdowns!$AG$2:$AH$4</definedName>
    <definedName name="SD_D_PL_UDF_163_Name" hidden="1">SD_Dropdowns!$AG$2:$AG$4</definedName>
    <definedName name="SD_D_PL_UDF_163_Value" hidden="1">SD_Dropdowns!$AH$2:$AH$4</definedName>
    <definedName name="SD_D_PL_UDF_164" hidden="1">SD_Dropdowns!$AI$2:$AJ$4</definedName>
    <definedName name="SD_D_PL_UDF_164_Name" hidden="1">SD_Dropdowns!$AI$2:$AI$4</definedName>
    <definedName name="SD_D_PL_UDF_164_Value" hidden="1">SD_Dropdowns!$AJ$2:$AJ$4</definedName>
    <definedName name="SD_D_PL_UDF_165" hidden="1">SD_Dropdowns!$AK$2:$AL$4</definedName>
    <definedName name="SD_D_PL_UDF_165_Name" hidden="1">SD_Dropdowns!$AK$2:$AK$4</definedName>
    <definedName name="SD_D_PL_UDF_165_Value" hidden="1">SD_Dropdowns!$AL$2:$AL$4</definedName>
    <definedName name="SD_D_PL_UDF_195" hidden="1">SD_Dropdowns!$CC$2:$CD$4</definedName>
    <definedName name="SD_D_PL_UDF_195_Name" hidden="1">SD_Dropdowns!$CC$2:$CC$4</definedName>
    <definedName name="SD_D_PL_UDF_195_Value" hidden="1">SD_Dropdowns!$CD$2:$CD$4</definedName>
    <definedName name="SD_D_PL_UDF_196" hidden="1">SD_Dropdowns!$CE$2:$CF$4</definedName>
    <definedName name="SD_D_PL_UDF_196_Name" hidden="1">SD_Dropdowns!$CE$2:$CE$4</definedName>
    <definedName name="SD_D_PL_UDF_196_Value" hidden="1">SD_Dropdowns!$CF$2:$CF$4</definedName>
    <definedName name="SD_D_PL_UDF_197" hidden="1">SD_Dropdowns!$CG$2:$CH$4</definedName>
    <definedName name="SD_D_PL_UDF_197_Name" hidden="1">SD_Dropdowns!$CG$2:$CG$4</definedName>
    <definedName name="SD_D_PL_UDF_197_Value" hidden="1">SD_Dropdowns!$CH$2:$CH$4</definedName>
    <definedName name="SD_D_PL_UDF_203" hidden="1">SD_Dropdowns!$CI$2:$CJ$4</definedName>
    <definedName name="SD_D_PL_UDF_203_Name" hidden="1">SD_Dropdowns!$CI$2:$CI$4</definedName>
    <definedName name="SD_D_PL_UDF_203_Value" hidden="1">SD_Dropdowns!$CJ$2:$CJ$4</definedName>
    <definedName name="SD_D_PL_UDF_211" hidden="1">SD_Dropdowns!$CK$2:$CL$7</definedName>
    <definedName name="SD_D_PL_UDF_211_Name" hidden="1">SD_Dropdowns!$CK$2:$CK$7</definedName>
    <definedName name="SD_D_PL_UDF_211_Value" hidden="1">SD_Dropdowns!$CL$2:$CL$7</definedName>
    <definedName name="SD_D_PL_UDF_212" hidden="1">SD_Dropdowns!$CM$2:$CN$6</definedName>
    <definedName name="SD_D_PL_UDF_212_Name" hidden="1">SD_Dropdowns!$CM$2:$CM$6</definedName>
    <definedName name="SD_D_PL_UDF_212_Value" hidden="1">SD_Dropdowns!$CN$2:$CN$6</definedName>
    <definedName name="SD_D_PL_UDF_221" hidden="1">SD_Dropdowns!$CO$2:$CP$4</definedName>
    <definedName name="SD_D_PL_UDF_221_Name" hidden="1">SD_Dropdowns!$CO$2:$CO$4</definedName>
    <definedName name="SD_D_PL_UDF_221_Value" hidden="1">SD_Dropdowns!$CP$2:$CP$4</definedName>
    <definedName name="SD_D_PL_UDF_222" hidden="1">SD_Dropdowns!$AM$2:$AN$4</definedName>
    <definedName name="SD_D_PL_UDF_222_Name" hidden="1">SD_Dropdowns!$AM$2:$AM$4</definedName>
    <definedName name="SD_D_PL_UDF_222_Value" hidden="1">SD_Dropdowns!$AN$2:$AN$4</definedName>
    <definedName name="SD_D_PL_UDF_223" hidden="1">SD_Dropdowns!$AO$2:$AP$4</definedName>
    <definedName name="SD_D_PL_UDF_223_Name" hidden="1">SD_Dropdowns!$AO$2:$AO$4</definedName>
    <definedName name="SD_D_PL_UDF_223_Value" hidden="1">SD_Dropdowns!$AP$2:$AP$4</definedName>
    <definedName name="SD_D_PL_UDF_224" hidden="1">SD_Dropdowns!$AQ$2:$AR$4</definedName>
    <definedName name="SD_D_PL_UDF_224_Name" hidden="1">SD_Dropdowns!$AQ$2:$AQ$4</definedName>
    <definedName name="SD_D_PL_UDF_224_Value" hidden="1">SD_Dropdowns!$AR$2:$AR$4</definedName>
    <definedName name="SD_D_PL_UDF_225" hidden="1">SD_Dropdowns!$AS$2:$AT$4</definedName>
    <definedName name="SD_D_PL_UDF_225_Name" hidden="1">SD_Dropdowns!$AS$2:$AS$4</definedName>
    <definedName name="SD_D_PL_UDF_225_Value" hidden="1">SD_Dropdowns!$AT$2:$AT$4</definedName>
    <definedName name="SD_D_PL_UDF_250" hidden="1">SD_Dropdowns!$BW$2:$BX$8</definedName>
    <definedName name="SD_D_PL_UDF_250_Name" hidden="1">SD_Dropdowns!$BW$2:$BW$8</definedName>
    <definedName name="SD_D_PL_UDF_250_Value" hidden="1">SD_Dropdowns!$BX$2:$BX$8</definedName>
    <definedName name="SD_D_PL_UDF_274" hidden="1">SD_Dropdowns!$CQ$2:$CR$4</definedName>
    <definedName name="SD_D_PL_UDF_274_Name" hidden="1">SD_Dropdowns!$CQ$2:$CQ$4</definedName>
    <definedName name="SD_D_PL_UDF_274_Value" hidden="1">SD_Dropdowns!$CR$2:$CR$4</definedName>
    <definedName name="SD_D_PL_UDF_276" hidden="1">SD_Dropdowns!$CS$2:$CT$4</definedName>
    <definedName name="SD_D_PL_UDF_276_Name" hidden="1">SD_Dropdowns!$CS$2:$CS$4</definedName>
    <definedName name="SD_D_PL_UDF_276_Value" hidden="1">SD_Dropdowns!$CT$2:$CT$4</definedName>
    <definedName name="SD_D_PL_UDF_279" hidden="1">SD_Dropdowns!$CU$2:$CV$4</definedName>
    <definedName name="SD_D_PL_UDF_279_Name" hidden="1">SD_Dropdowns!$CU$2:$CU$4</definedName>
    <definedName name="SD_D_PL_UDF_279_Value" hidden="1">SD_Dropdowns!$CV$2:$CV$4</definedName>
    <definedName name="SD_D_PL_UDF_280" hidden="1">SD_Dropdowns!$CW$2:$CX$5</definedName>
    <definedName name="SD_D_PL_UDF_280_Name" hidden="1">SD_Dropdowns!$CW$2:$CW$5</definedName>
    <definedName name="SD_D_PL_UDF_280_Value" hidden="1">SD_Dropdowns!$CX$2:$CX$5</definedName>
    <definedName name="SD_D_PL_UDF_416" hidden="1">SD_Dropdowns!$CY$2:$CZ$4</definedName>
    <definedName name="SD_D_PL_UDF_416_Name" hidden="1">SD_Dropdowns!$CY$2:$CY$4</definedName>
    <definedName name="SD_D_PL_UDF_416_Value" hidden="1">SD_Dropdowns!$CZ$2:$CZ$4</definedName>
    <definedName name="SD_D_PL_UDF_436" hidden="1">SD_Dropdowns!$K$2:$L$4</definedName>
    <definedName name="SD_D_PL_UDF_436_Name" hidden="1">SD_Dropdowns!$K$2:$K$4</definedName>
    <definedName name="SD_D_PL_UDF_436_Value" hidden="1">SD_Dropdowns!$L$2:$L$4</definedName>
    <definedName name="SD_D_PL_UDF_437" hidden="1">SD_Dropdowns!$M$2:$N$4</definedName>
    <definedName name="SD_D_PL_UDF_437_Name" hidden="1">SD_Dropdowns!$M$2:$M$4</definedName>
    <definedName name="SD_D_PL_UDF_437_Value" hidden="1">SD_Dropdowns!$N$2:$N$4</definedName>
    <definedName name="SD_D_PL_UDF_438" hidden="1">SD_Dropdowns!$O$2:$P$10</definedName>
    <definedName name="SD_D_PL_UDF_438_Name" hidden="1">SD_Dropdowns!$O$2:$O$10</definedName>
    <definedName name="SD_D_PL_UDF_438_Value" hidden="1">SD_Dropdowns!$P$2:$P$10</definedName>
    <definedName name="SD_D_PL_UnitMixAmiPercent" hidden="1">SD_Dropdowns!$G$2:$H$14</definedName>
    <definedName name="SD_D_PL_UnitMixAmiPercent_Name" hidden="1">SD_Dropdowns!$G$2:$G$14</definedName>
    <definedName name="SD_D_PL_UnitMixAmiPercent_Value" hidden="1">SD_Dropdowns!$H$2:$H$14</definedName>
    <definedName name="SD_D_PL_UnitType" hidden="1">SD_Dropdowns!$I$2:$J$10</definedName>
    <definedName name="SD_D_PL_UnitType_Name" hidden="1">SD_Dropdowns!$I$2:$I$10</definedName>
    <definedName name="SD_D_PL_UnitType_Value" hidden="1">SD_Dropdowns!$J$2:$J$10</definedName>
    <definedName name="SOURCE_CFAmortizationTerm1">SOURCES!$K$29</definedName>
    <definedName name="SOURCE_CFAmortizationTerm10">SOURCES!$K$39</definedName>
    <definedName name="SOURCE_CFAmortizationTerm11">SOURCES!$K$40</definedName>
    <definedName name="SOURCE_CFAmortizationTerm12">SOURCES!$K$41</definedName>
    <definedName name="SOURCE_CFAmortizationTerm13">SOURCES!$K$42</definedName>
    <definedName name="SOURCE_CFAmortizationTerm14">SOURCES!$K$43</definedName>
    <definedName name="SOURCE_CFAmortizationTerm15">SOURCES!$K$44</definedName>
    <definedName name="SOURCE_CFAmortizationTerm16">SOURCES!$K$45</definedName>
    <definedName name="SOURCE_CFAmortizationTerm17">SOURCES!$K$46</definedName>
    <definedName name="SOURCE_CFAmortizationTerm18">SOURCES!$K$47</definedName>
    <definedName name="SOURCE_CFAmortizationTerm19">SOURCES!$K$48</definedName>
    <definedName name="SOURCE_CFAmortizationTerm2">SOURCES!$K$30</definedName>
    <definedName name="SOURCE_CFAmortizationTerm20">SOURCES!$K$49</definedName>
    <definedName name="SOURCE_CFAmortizationTerm21">SOURCES!$K$50</definedName>
    <definedName name="SOURCE_CFAmortizationTerm22">SOURCES!$K$51</definedName>
    <definedName name="SOURCE_CFAmortizationTerm3">SOURCES!$K$31</definedName>
    <definedName name="SOURCE_CFAmortizationTerm4">SOURCES!$K$32</definedName>
    <definedName name="SOURCE_CFAmortizationTerm5">SOURCES!$K$33</definedName>
    <definedName name="SOURCE_CFAnnualPayment1">SOURCES!$I$29</definedName>
    <definedName name="SOURCE_CFAnnualPayment10">SOURCES!$I$39</definedName>
    <definedName name="SOURCE_CFAnnualPayment11">SOURCES!$I$40</definedName>
    <definedName name="SOURCE_CFAnnualPayment12">SOURCES!$I$41</definedName>
    <definedName name="SOURCE_CFAnnualPayment13">SOURCES!$I$42</definedName>
    <definedName name="SOURCE_CFAnnualPayment14">SOURCES!$I$43</definedName>
    <definedName name="SOURCE_CFAnnualPayment15">SOURCES!$I$44</definedName>
    <definedName name="SOURCE_CFAnnualPayment16">SOURCES!$I$45</definedName>
    <definedName name="SOURCE_CFAnnualPayment17">SOURCES!$I$46</definedName>
    <definedName name="SOURCE_CFAnnualPayment18">SOURCES!$I$47</definedName>
    <definedName name="SOURCE_CFAnnualPayment19">SOURCES!$I$48</definedName>
    <definedName name="SOURCE_CFAnnualPayment2">SOURCES!$I$30</definedName>
    <definedName name="SOURCE_CFAnnualPayment20">SOURCES!$I$49</definedName>
    <definedName name="SOURCE_CFAnnualPayment21">SOURCES!$I$50</definedName>
    <definedName name="SOURCE_CFAnnualPayment22">SOURCES!$I$51</definedName>
    <definedName name="SOURCE_CFAnnualPayment3">SOURCES!$I$31</definedName>
    <definedName name="SOURCE_CFAnnualPayment4">SOURCES!$I$32</definedName>
    <definedName name="SOURCE_CFAnnualPayment5">SOURCES!$I$33</definedName>
    <definedName name="SOURCE_CFInterestRate1">SOURCES!$J$29</definedName>
    <definedName name="SOURCE_CFInterestRate10">SOURCES!$J$39</definedName>
    <definedName name="SOURCE_CFInterestRate11">SOURCES!$J$40</definedName>
    <definedName name="SOURCE_CFInterestRate12">SOURCES!$J$41</definedName>
    <definedName name="SOURCE_CFInterestRate13">SOURCES!$J$42</definedName>
    <definedName name="SOURCE_CFInterestRate14">SOURCES!$J$43</definedName>
    <definedName name="SOURCE_CFInterestRate15">SOURCES!$J$44</definedName>
    <definedName name="SOURCE_CFInterestRate16">SOURCES!$J$45</definedName>
    <definedName name="SOURCE_CFInterestRate17">SOURCES!$J$46</definedName>
    <definedName name="SOURCE_CFInterestRate18">SOURCES!$J$47</definedName>
    <definedName name="SOURCE_CFInterestRate19">SOURCES!$J$48</definedName>
    <definedName name="SOURCE_CFInterestRate2">SOURCES!$J$30</definedName>
    <definedName name="SOURCE_CFInterestRate20">SOURCES!$J$49</definedName>
    <definedName name="SOURCE_CFInterestRate21">SOURCES!$J$50</definedName>
    <definedName name="SOURCE_CFInterestRate22">SOURCES!$J$51</definedName>
    <definedName name="SOURCE_CFInterestRate3">SOURCES!$J$31</definedName>
    <definedName name="SOURCE_CFInterestRate4">SOURCES!$J$32</definedName>
    <definedName name="SOURCE_CFInterestRate5">SOURCES!$J$33</definedName>
    <definedName name="SOURCE_CFLienPosition1">SOURCES!$G$29</definedName>
    <definedName name="SOURCE_CFLienPosition10">SOURCES!$G$39</definedName>
    <definedName name="SOURCE_CFLienPosition11">SOURCES!$G$40</definedName>
    <definedName name="SOURCE_CFLienPosition12">SOURCES!$G$41</definedName>
    <definedName name="SOURCE_CFLienPosition13">SOURCES!$G$42</definedName>
    <definedName name="SOURCE_CFLienPosition14">SOURCES!$G$43</definedName>
    <definedName name="SOURCE_CFLienPosition15">SOURCES!$G$44</definedName>
    <definedName name="SOURCE_CFLienPosition16">SOURCES!$G$45</definedName>
    <definedName name="SOURCE_CFLienPosition17">SOURCES!$G$46</definedName>
    <definedName name="SOURCE_CFLienPosition18">SOURCES!$G$47</definedName>
    <definedName name="SOURCE_CFLienPosition19">SOURCES!$G$48</definedName>
    <definedName name="SOURCE_CFLienPosition2">SOURCES!$G$30</definedName>
    <definedName name="SOURCE_CFLienPosition20">SOURCES!$G$49</definedName>
    <definedName name="SOURCE_CFLienPosition21">SOURCES!$G$50</definedName>
    <definedName name="SOURCE_CFLienPosition22">SOURCES!$G$51</definedName>
    <definedName name="SOURCE_CFLienPosition3">SOURCES!$G$31</definedName>
    <definedName name="SOURCE_CFLienPosition39">SOURCES!$G$36</definedName>
    <definedName name="SOURCE_CFLienPosition4">SOURCES!$G$32</definedName>
    <definedName name="SOURCE_CFLienPosition5">SOURCES!$G$33</definedName>
    <definedName name="SOURCE_CFLienPosition6">SOURCES!$G$34</definedName>
    <definedName name="SOURCE_CFLienPosition7">SOURCES!$G$35</definedName>
    <definedName name="SOURCE_CFLienPosition8">SOURCES!$G$37</definedName>
    <definedName name="SOURCE_CFLienPosition9">SOURCES!$G$38</definedName>
    <definedName name="SOURCE_CFLoanAmount1">SOURCES!$M$29</definedName>
    <definedName name="SOURCE_CFLoanAmount10">SOURCES!$M$39</definedName>
    <definedName name="SOURCE_CFLoanAmount11">SOURCES!$M$40</definedName>
    <definedName name="SOURCE_CFLoanAmount12">SOURCES!$M$41</definedName>
    <definedName name="SOURCE_CFLoanAmount13">SOURCES!$M$42</definedName>
    <definedName name="SOURCE_CFLoanAmount14">SOURCES!$M$43</definedName>
    <definedName name="SOURCE_CFLoanAmount15">SOURCES!$M$44</definedName>
    <definedName name="SOURCE_CFLoanAmount16">SOURCES!$M$45</definedName>
    <definedName name="SOURCE_CFLoanAmount17">SOURCES!$M$46</definedName>
    <definedName name="SOURCE_CFLoanAmount18">SOURCES!$M$47</definedName>
    <definedName name="SOURCE_CFLoanAmount19">SOURCES!$M$48</definedName>
    <definedName name="SOURCE_CFLoanAmount2">SOURCES!$M$30</definedName>
    <definedName name="SOURCE_CFLoanAmount20">SOURCES!$M$49</definedName>
    <definedName name="SOURCE_CFLoanAmount21">SOURCES!$M$50</definedName>
    <definedName name="SOURCE_CFLoanAmount22">SOURCES!$M$51</definedName>
    <definedName name="SOURCE_CFLoanAmount3">SOURCES!$M$31</definedName>
    <definedName name="SOURCE_CFLoanAmount39">SOURCES!$M$36</definedName>
    <definedName name="SOURCE_CFLoanAmount4">SOURCES!$M$32</definedName>
    <definedName name="SOURCE_CFLoanAmount5">SOURCES!$M$33</definedName>
    <definedName name="SOURCE_CFLoanAmount6">SOURCES!$M$34</definedName>
    <definedName name="SOURCE_CFLoanAmount7">SOURCES!$M$35</definedName>
    <definedName name="SOURCE_CFLoanAmount8">SOURCES!$M$37</definedName>
    <definedName name="SOURCE_CFLoanAmount9">SOURCES!$M$38</definedName>
    <definedName name="SOURCE_CFOther10Describe">SOURCES!$D$48</definedName>
    <definedName name="SOURCE_CFOther11Describe">SOURCES!$D$49</definedName>
    <definedName name="SOURCE_CFOther12Describe">SOURCES!$D$50</definedName>
    <definedName name="SOURCE_CFOther13Describe">SOURCES!$D$51</definedName>
    <definedName name="SOURCE_CFOther1Describe">SOURCES!$D$37</definedName>
    <definedName name="SOURCE_CFOther2Describe">SOURCES!$D$38</definedName>
    <definedName name="SOURCE_CFOther3Describe">SOURCES!$D$41</definedName>
    <definedName name="SOURCE_CFOther4Describe">SOURCES!$D$42</definedName>
    <definedName name="SOURCE_CFOther5Describe">SOURCES!$D$43</definedName>
    <definedName name="SOURCE_CFOther6Describe">SOURCES!$D$44</definedName>
    <definedName name="SOURCE_CFOther7Describe">SOURCES!$D$45</definedName>
    <definedName name="SOURCE_CFOther8Describe">SOURCES!$D$46</definedName>
    <definedName name="SOURCE_CFOther9Describe">SOURCES!$D$47</definedName>
    <definedName name="SOURCE_CFSource10HOMEnonDHCD">SOURCES!$F$39</definedName>
    <definedName name="SOURCE_CFSource11SellerNote">SOURCES!$F$40</definedName>
    <definedName name="SOURCE_CFSource12Other3">SOURCES!$F$41</definedName>
    <definedName name="SOURCE_CFSource13Other4">SOURCES!$F$42</definedName>
    <definedName name="SOURCE_CFSource14Other5">SOURCES!$F$43</definedName>
    <definedName name="SOURCE_CFSource15Other6">SOURCES!$F$44</definedName>
    <definedName name="SOURCE_CFSource16Other7">SOURCES!$F$45</definedName>
    <definedName name="SOURCE_CFSource17Other8">SOURCES!$F$46</definedName>
    <definedName name="SOURCE_CFSource18Other9">SOURCES!$F$47</definedName>
    <definedName name="SOURCE_CFSource19Other10">SOURCES!$F$48</definedName>
    <definedName name="SOURCE_CFSource1RHPF">SOURCES!$F$29</definedName>
    <definedName name="SOURCE_CFSource20Other11">SOURCES!$F$49</definedName>
    <definedName name="SOURCE_CFSource21Other12">SOURCES!$F$50</definedName>
    <definedName name="SOURCE_CFSource22Other13">SOURCES!$F$51</definedName>
    <definedName name="SOURCE_CFSource2RHW">SOURCES!$F$30</definedName>
    <definedName name="SOURCE_CFSource39MEEHA">SOURCES!$F$36</definedName>
    <definedName name="SOURCE_CFSource3HTF">SOURCES!$F$31</definedName>
    <definedName name="SOURCE_CFSource4HOMEFunds">SOURCES!$F$32</definedName>
    <definedName name="SOURCE_CFSource5HOMEARP">SOURCES!$F$33</definedName>
    <definedName name="SOURCE_CFSource6PRHPF">SOURCES!$F$34</definedName>
    <definedName name="SOURCE_CFSource7Weinberg">SOURCES!$F$35</definedName>
    <definedName name="SOURCE_CFSource8Other1">SOURCES!$F$37</definedName>
    <definedName name="SOURCE_CFSource9Other2">SOURCES!$F$38</definedName>
    <definedName name="SOURCE_CFSurplusCashRepayment1">SOURCES!$H$29</definedName>
    <definedName name="SOURCE_CFSurplusCashRepayment10">SOURCES!$H$39</definedName>
    <definedName name="SOURCE_CFSurplusCashRepayment11">SOURCES!$H$40</definedName>
    <definedName name="SOURCE_CFSurplusCashRepayment12">SOURCES!$H$41</definedName>
    <definedName name="SOURCE_CFSurplusCashRepayment13">SOURCES!$H$42</definedName>
    <definedName name="SOURCE_CFSurplusCashRepayment14">SOURCES!$H$43</definedName>
    <definedName name="SOURCE_CFSurplusCashRepayment15">SOURCES!$H$44</definedName>
    <definedName name="SOURCE_CFSurplusCashRepayment16">SOURCES!$H$45</definedName>
    <definedName name="SOURCE_CFSurplusCashRepayment17">SOURCES!$H$46</definedName>
    <definedName name="SOURCE_CFSurplusCashRepayment18">SOURCES!$H$47</definedName>
    <definedName name="SOURCE_CFSurplusCashRepayment19">SOURCES!$H$48</definedName>
    <definedName name="SOURCE_CFSurplusCashRepayment20">SOURCES!$H$49</definedName>
    <definedName name="SOURCE_CFSurplusCashRepayment21">SOURCES!$H$50</definedName>
    <definedName name="SOURCE_CFSurplusCashRepayment22">SOURCES!$H$51</definedName>
    <definedName name="SOURCE_CFSurplusCashRepayment39">SOURCES!$H$36</definedName>
    <definedName name="SOURCE_CFSurplusCashRepayment6">SOURCES!$H$34</definedName>
    <definedName name="SOURCE_CFSurplusCashRepayment7">SOURCES!$H$35</definedName>
    <definedName name="SOURCE_CFSurplusCashRepayment8">SOURCES!$H$37</definedName>
    <definedName name="SOURCE_CFSurplusCashRepayment9">SOURCES!$H$38</definedName>
    <definedName name="SOURCE_CFTerm1">SOURCES!$L$29</definedName>
    <definedName name="SOURCE_CFTerm10">SOURCES!$L$39</definedName>
    <definedName name="SOURCE_CFTerm11">SOURCES!$L$40</definedName>
    <definedName name="SOURCE_CFTerm12">SOURCES!$L$41</definedName>
    <definedName name="SOURCE_CFTerm13">SOURCES!$L$42</definedName>
    <definedName name="SOURCE_CFTerm14">SOURCES!$L$43</definedName>
    <definedName name="SOURCE_CFTerm15">SOURCES!$L$44</definedName>
    <definedName name="SOURCE_CFTerm16">SOURCES!$L$45</definedName>
    <definedName name="SOURCE_CFTerm17">SOURCES!$L$46</definedName>
    <definedName name="SOURCE_CFTerm18">SOURCES!$L$47</definedName>
    <definedName name="SOURCE_CFTerm19">SOURCES!$L$48</definedName>
    <definedName name="SOURCE_CFTerm2">SOURCES!$L$30</definedName>
    <definedName name="SOURCE_CFTerm20">SOURCES!$L$49</definedName>
    <definedName name="SOURCE_CFTerm21">SOURCES!$L$50</definedName>
    <definedName name="SOURCE_CFTerm22">SOURCES!$L$51</definedName>
    <definedName name="SOURCE_CFTerm3">SOURCES!$L$31</definedName>
    <definedName name="SOURCE_CFTerm4">SOURCES!$L$32</definedName>
    <definedName name="SOURCE_CFTerm5">SOURCES!$L$33</definedName>
    <definedName name="SOURCE_EquityAmount1">SOURCES!$M$58</definedName>
    <definedName name="SOURCE_EquityAmount10">SOURCES!$M$67</definedName>
    <definedName name="SOURCE_EquityAmount11">SOURCES!$M$68</definedName>
    <definedName name="SOURCE_EquityAmount12">SOURCES!$M$69</definedName>
    <definedName name="SOURCE_EquityAmount13">SOURCES!$M$70</definedName>
    <definedName name="SOURCE_EquityAmount14">SOURCES!$M$71</definedName>
    <definedName name="SOURCE_EquityAmount15">SOURCES!$M$72</definedName>
    <definedName name="SOURCE_EquityAmount16">SOURCES!$M$73</definedName>
    <definedName name="SOURCE_EquityAmount17">SOURCES!$M$74</definedName>
    <definedName name="SOURCE_EquityAmount2">SOURCES!$M$59</definedName>
    <definedName name="SOURCE_EquityAmount3">SOURCES!$M$60</definedName>
    <definedName name="SOURCE_EquityAmount4">SOURCES!$M$61</definedName>
    <definedName name="SOURCE_EquityAmount5">SOURCES!$M$62</definedName>
    <definedName name="SOURCE_EquityAmount6">SOURCES!$M$63</definedName>
    <definedName name="SOURCE_EquityAmount7">SOURCES!$M$64</definedName>
    <definedName name="SOURCE_EquityAmount8">SOURCES!$M$65</definedName>
    <definedName name="SOURCE_EquityAmount9">SOURCES!$M$66</definedName>
    <definedName name="SOURCE_EquityOtherDescribe10">SOURCES!$D$67</definedName>
    <definedName name="SOURCE_EquityOtherDescribe11">SOURCES!$D$68</definedName>
    <definedName name="SOURCE_EquityOtherDescribe12">SOURCES!$D$69</definedName>
    <definedName name="SOURCE_EquityOtherDescribe13">SOURCES!$D$70</definedName>
    <definedName name="SOURCE_EquityOtherDescribe14">SOURCES!$D$71</definedName>
    <definedName name="SOURCE_EquityOtherDescribe15">SOURCES!$D$72</definedName>
    <definedName name="SOURCE_EquityOtherDescribe16">SOURCES!$D$73</definedName>
    <definedName name="SOURCE_EquityOtherDescribe17">SOURCES!$D$74</definedName>
    <definedName name="SOURCE_EquityOtherDescribe8">SOURCES!$D$65</definedName>
    <definedName name="SOURCE_EquityOtherDescribe9">SOURCES!$D$66</definedName>
    <definedName name="SOURCE_EquitySourcesofEquity1">SOURCES!$G$58</definedName>
    <definedName name="SOURCE_EquitySourcesofEquity10">SOURCES!$G$67</definedName>
    <definedName name="SOURCE_EquitySourcesofEquity11">SOURCES!$G$68</definedName>
    <definedName name="SOURCE_EquitySourcesofEquity12">SOURCES!$G$69</definedName>
    <definedName name="SOURCE_EquitySourcesofEquity13">SOURCES!$G$70</definedName>
    <definedName name="SOURCE_EquitySourcesofEquity14">SOURCES!$G$71</definedName>
    <definedName name="SOURCE_EquitySourcesofEquity15">SOURCES!$G$72</definedName>
    <definedName name="SOURCE_EquitySourcesofEquity16">SOURCES!$G$73</definedName>
    <definedName name="SOURCE_EquitySourcesofEquity17">SOURCES!$G$74</definedName>
    <definedName name="SOURCE_EquitySourcesofEquity2">SOURCES!$G$59</definedName>
    <definedName name="SOURCE_EquitySourcesofEquity3">SOURCES!$G$60</definedName>
    <definedName name="SOURCE_EquitySourcesofEquity7">SOURCES!$G$64</definedName>
    <definedName name="SOURCE_EquitySourcesofEquity8">SOURCES!$G$65</definedName>
    <definedName name="SOURCE_EquitySourcesofEquity9">SOURCES!$G$66</definedName>
    <definedName name="SOURCE_Perm1TaxableBonds">SOURCES!$F$12</definedName>
    <definedName name="SOURCE_Perm2TaxexemptBondsLongTerm">SOURCES!$F$13</definedName>
    <definedName name="SOURCE_Perm3PrivateLoan">SOURCES!$F$14</definedName>
    <definedName name="SOURCE_Perm4FHAMIP">SOURCES!$F$15</definedName>
    <definedName name="SOURCE_Perm5RFP">SOURCES!$F$16</definedName>
    <definedName name="SOURCE_Perm6HOME">SOURCES!$F$17</definedName>
    <definedName name="SOURCE_Perm7HOMEnonDHCD">SOURCES!$F$18</definedName>
    <definedName name="SOURCE_Perm8Other1">SOURCES!$F$19</definedName>
    <definedName name="SOURCE_Perm9Other2">SOURCES!$F$20</definedName>
    <definedName name="SOURCE_PermAmortTerm1">SOURCES!$K$12</definedName>
    <definedName name="SOURCE_PermAmortTerm2">SOURCES!$K$13</definedName>
    <definedName name="SOURCE_PermAmortTerm3">SOURCES!$K$14</definedName>
    <definedName name="SOURCE_PermAmortTerm4">SOURCES!$K$15</definedName>
    <definedName name="SOURCE_PermAmortTerm5">SOURCES!$K$16</definedName>
    <definedName name="SOURCE_PermAmortTerm6">SOURCES!$K$17</definedName>
    <definedName name="SOURCE_PermAmortTerm7">SOURCES!$K$18</definedName>
    <definedName name="SOURCE_PermAmortTerm8">SOURCES!$K$19</definedName>
    <definedName name="SOURCE_PermAmortTerm9">SOURCES!$K$20</definedName>
    <definedName name="SOURCE_PermDCR1">SOURCES!$H$12</definedName>
    <definedName name="SOURCE_PermDCR2">SOURCES!$H$13</definedName>
    <definedName name="SOURCE_PermDCR3">SOURCES!$H$14</definedName>
    <definedName name="SOURCE_PermDCR4">SOURCES!$H$15</definedName>
    <definedName name="SOURCE_PermDCR5">SOURCES!$H$16</definedName>
    <definedName name="SOURCE_PermDCR6">SOURCES!$H$17</definedName>
    <definedName name="SOURCE_PermDCR7">SOURCES!$H$18</definedName>
    <definedName name="SOURCE_PermDCR8">SOURCES!$H$19</definedName>
    <definedName name="SOURCE_PermDCR9">SOURCES!$H$20</definedName>
    <definedName name="SOURCE_PermLienPosition1">SOURCES!$G$12</definedName>
    <definedName name="SOURCE_PermLienPosition2">SOURCES!$G$13</definedName>
    <definedName name="SOURCE_PermLienPosition3">SOURCES!$G$14</definedName>
    <definedName name="SOURCE_PermLienPosition4">SOURCES!$G$15</definedName>
    <definedName name="SOURCE_PermLienPosition5">SOURCES!$G$16</definedName>
    <definedName name="SOURCE_PermLienPosition6">SOURCES!$G$17</definedName>
    <definedName name="SOURCE_PermLienPosition7">SOURCES!$G$18</definedName>
    <definedName name="SOURCE_PermLienPosition8">SOURCES!$G$19</definedName>
    <definedName name="SOURCE_PermLienPosition9">SOURCES!$G$20</definedName>
    <definedName name="SOURCE_PermLoanAmount1">SOURCES!$M$12</definedName>
    <definedName name="SOURCE_PermLoanAmount2">SOURCES!$M$13</definedName>
    <definedName name="SOURCE_PermLoanAmount3">SOURCES!$M$14</definedName>
    <definedName name="SOURCE_PermLoanAmount4">SOURCES!$M$15</definedName>
    <definedName name="SOURCE_PermLoanAmount5">SOURCES!$M$16</definedName>
    <definedName name="SOURCE_PermLoanAmount6">SOURCES!$M$17</definedName>
    <definedName name="SOURCE_PermLoanAmount7">SOURCES!$M$18</definedName>
    <definedName name="SOURCE_PermLoanAmount8">SOURCES!$M$19</definedName>
    <definedName name="SOURCE_PermLoanAmount9">SOURCES!$M$20</definedName>
    <definedName name="SOURCE_PermLoanTerm1">SOURCES!$L$12</definedName>
    <definedName name="SOURCE_PermLoanTerm2">SOURCES!$L$13</definedName>
    <definedName name="SOURCE_PermLoanTerm3">SOURCES!$L$14</definedName>
    <definedName name="SOURCE_PermLoanTerm4">SOURCES!$L$15</definedName>
    <definedName name="SOURCE_PermLoanTerm5">SOURCES!$L$16</definedName>
    <definedName name="SOURCE_PermLoanTerm6">SOURCES!$L$17</definedName>
    <definedName name="SOURCE_PermLoanTerm7">SOURCES!$L$18</definedName>
    <definedName name="SOURCE_PermLoanTerm8">SOURCES!$L$19</definedName>
    <definedName name="SOURCE_PermLoanTerm9">SOURCES!$L$20</definedName>
    <definedName name="SOURCE_PermOther1Describe">SOURCES!$D$19</definedName>
    <definedName name="SOURCE_PermOther2Describe">SOURCES!$D$20</definedName>
    <definedName name="SOURCE_PermPayment1">SOURCES!$I$12</definedName>
    <definedName name="SOURCE_PermPayment2">SOURCES!$I$13</definedName>
    <definedName name="SOURCE_PermPayment3">SOURCES!$I$14</definedName>
    <definedName name="SOURCE_PermPayment4">SOURCES!$I$15</definedName>
    <definedName name="SOURCE_PermPayment5">SOURCES!$I$16</definedName>
    <definedName name="SOURCE_PermPayment6">SOURCES!$I$17</definedName>
    <definedName name="SOURCE_PermPayment7">SOURCES!$I$18</definedName>
    <definedName name="SOURCE_PermPayment8">SOURCES!$I$19</definedName>
    <definedName name="SOURCE_PermPayment9">SOURCES!$I$20</definedName>
    <definedName name="SOURCE_PermRate1">SOURCES!$J$12</definedName>
    <definedName name="SOURCE_PermRate2">SOURCES!$J$13</definedName>
    <definedName name="SOURCE_PermRate3">SOURCES!$J$14</definedName>
    <definedName name="SOURCE_PermRate4">SOURCES!$J$15</definedName>
    <definedName name="SOURCE_PermRate5">SOURCES!$J$16</definedName>
    <definedName name="SOURCE_PermRate6">SOURCES!$J$17</definedName>
    <definedName name="SOURCE_PermRate7">SOURCES!$J$18</definedName>
    <definedName name="SOURCE_PermRate8">SOURCES!$J$19</definedName>
    <definedName name="SOURCE_PermRate9">SOURCES!$J$20</definedName>
    <definedName name="SUM_TrendAdministrative">SUMMARY!$J$72</definedName>
    <definedName name="SUM_TrendCommercialIncome">SUMMARY!$J$64</definedName>
    <definedName name="SUM_TrendLowIncome">SUMMARY!$J$61</definedName>
    <definedName name="SUM_TrendMarketRate">SUMMARY!$J$62</definedName>
    <definedName name="SUM_TrendNonresidential">SUMMARY!$J$63</definedName>
    <definedName name="SUM_TrendOM">SUMMARY!$J$75</definedName>
    <definedName name="SUM_TrendOtherTaxesInsurance">SUMMARY!$J$78</definedName>
    <definedName name="SUM_TrendPaymentinLieuofRETax">SUMMARY!$J$77</definedName>
    <definedName name="SUM_TrendRealEstateTaxes">SUMMARY!$J$76</definedName>
    <definedName name="SUM_TrendReplacementReserve">SUMMARY!$J$79</definedName>
    <definedName name="SUM_TrendUtilities">SUMMARY!$J$74</definedName>
    <definedName name="TC_Acquisition">'TAX CREDIT'!$C$9</definedName>
    <definedName name="TC_AmountPaid1">'TAX CREDIT'!$G$148</definedName>
    <definedName name="TC_AmountPaid10">'TAX CREDIT'!$G$157</definedName>
    <definedName name="TC_AmountPaid2">'TAX CREDIT'!$G$149</definedName>
    <definedName name="TC_AmountPaid3">'TAX CREDIT'!$G$150</definedName>
    <definedName name="TC_AmountPaid4">'TAX CREDIT'!$G$151</definedName>
    <definedName name="TC_AmountPaid5">'TAX CREDIT'!$G$152</definedName>
    <definedName name="TC_AmountPaid6">'TAX CREDIT'!$G$153</definedName>
    <definedName name="TC_AmountPaid7">'TAX CREDIT'!$G$154</definedName>
    <definedName name="TC_AmountPaid8">'TAX CREDIT'!$G$155</definedName>
    <definedName name="TC_AmountPaid9">'TAX CREDIT'!$G$156</definedName>
    <definedName name="TC_Basis">'TAX CREDIT'!$H$126</definedName>
    <definedName name="TC_CDBG">'TAX CREDIT'!$F$206</definedName>
    <definedName name="TC_CDBGDeduct">'TAX CREDIT'!$G$206</definedName>
    <definedName name="TC_CensustractDDA">'TAX CREDIT'!$G$172</definedName>
    <definedName name="TC_CostPerAdjustedBasis">'TAX CREDIT'!$C$126</definedName>
    <definedName name="TC_CostPerUnit">'TAX CREDIT'!$C$125</definedName>
    <definedName name="TC_DateLastPIS1">'TAX CREDIT'!$L$17</definedName>
    <definedName name="TC_DateLastPIS10">'TAX CREDIT'!$L$26</definedName>
    <definedName name="TC_DateLastPIS11">'TAX CREDIT'!$L$27</definedName>
    <definedName name="TC_DateLastPIS12">'TAX CREDIT'!$L$28</definedName>
    <definedName name="TC_DateLastPIS13">'TAX CREDIT'!$L$29</definedName>
    <definedName name="TC_DateLastPIS14">'TAX CREDIT'!$L$30</definedName>
    <definedName name="TC_DateLastPIS15">'TAX CREDIT'!$L$31</definedName>
    <definedName name="TC_DateLastPIS16">'TAX CREDIT'!$L$32</definedName>
    <definedName name="TC_DateLastPIS17">'TAX CREDIT'!$L$33</definedName>
    <definedName name="TC_DateLastPIS18">'TAX CREDIT'!$L$34</definedName>
    <definedName name="TC_DateLastPIS19">'TAX CREDIT'!$L$35</definedName>
    <definedName name="TC_DateLastPIS2">'TAX CREDIT'!$L$18</definedName>
    <definedName name="TC_DateLastPIS20">'TAX CREDIT'!$L$36</definedName>
    <definedName name="TC_DateLastPIS3">'TAX CREDIT'!$L$19</definedName>
    <definedName name="TC_DateLastPIS4">'TAX CREDIT'!$L$20</definedName>
    <definedName name="TC_DateLastPIS5">'TAX CREDIT'!$L$21</definedName>
    <definedName name="TC_DateLastPIS6">'TAX CREDIT'!$L$22</definedName>
    <definedName name="TC_DateLastPIS7">'TAX CREDIT'!$L$23</definedName>
    <definedName name="TC_DateLastPIS8">'TAX CREDIT'!$L$24</definedName>
    <definedName name="TC_DateLastPIS9">'TAX CREDIT'!$L$25</definedName>
    <definedName name="TC_DatePaid1">'TAX CREDIT'!$H$148</definedName>
    <definedName name="TC_DatePaid10">'TAX CREDIT'!$H$157</definedName>
    <definedName name="TC_DatePaid2">'TAX CREDIT'!$H$149</definedName>
    <definedName name="TC_DatePaid3">'TAX CREDIT'!$H$150</definedName>
    <definedName name="TC_DatePaid4">'TAX CREDIT'!$H$151</definedName>
    <definedName name="TC_DatePaid5">'TAX CREDIT'!$H$152</definedName>
    <definedName name="TC_DatePaid6">'TAX CREDIT'!$H$153</definedName>
    <definedName name="TC_DatePaid7">'TAX CREDIT'!$H$154</definedName>
    <definedName name="TC_DatePaid8">'TAX CREDIT'!$H$155</definedName>
    <definedName name="TC_DatePaid9">'TAX CREDIT'!$H$156</definedName>
    <definedName name="TC_HDAG">'TAX CREDIT'!$F$209</definedName>
    <definedName name="TC_HDAGDeduct">'TAX CREDIT'!$G$209</definedName>
    <definedName name="TC_HistoricCreditsFederal">'TAX CREDIT'!$G$226</definedName>
    <definedName name="TC_HistoricCreditsState">'TAX CREDIT'!$H$226</definedName>
    <definedName name="TC_HOME">'TAX CREDIT'!$F$210</definedName>
    <definedName name="TC_HOMEDeduct">'TAX CREDIT'!$G$210</definedName>
    <definedName name="TC_MinSetAside2050">'TAX CREDIT'!$C$132</definedName>
    <definedName name="TC_MinSetAside4060">'TAX CREDIT'!$C$133</definedName>
    <definedName name="TC_MinSetAsideIA">'TAX CREDIT'!$C$134</definedName>
    <definedName name="TC_NewConstruction">'TAX CREDIT'!$C$8</definedName>
    <definedName name="TC_Other">'TAX CREDIT'!$F$211</definedName>
    <definedName name="TC_OtherDeduct">'TAX CREDIT'!$G$211</definedName>
    <definedName name="TC_OtherDescribe">'TAX CREDIT'!$D$211</definedName>
    <definedName name="TC_PercentPaid1">'TAX CREDIT'!$F$148</definedName>
    <definedName name="TC_PercentPaid10">'TAX CREDIT'!$F$157</definedName>
    <definedName name="TC_PercentPaid2">'TAX CREDIT'!$F$149</definedName>
    <definedName name="TC_PercentPaid3">'TAX CREDIT'!$F$150</definedName>
    <definedName name="TC_PercentPaid4">'TAX CREDIT'!$F$151</definedName>
    <definedName name="TC_PercentPaid5">'TAX CREDIT'!$F$152</definedName>
    <definedName name="TC_PercentPaid6">'TAX CREDIT'!$F$153</definedName>
    <definedName name="TC_PercentPaid7">'TAX CREDIT'!$F$154</definedName>
    <definedName name="TC_PercentPaid8">'TAX CREDIT'!$F$155</definedName>
    <definedName name="TC_PercentPaid9">'TAX CREDIT'!$F$156</definedName>
    <definedName name="TC_PurchaseDate1">'TAX CREDIT'!$M$17</definedName>
    <definedName name="TC_PurchaseDate10">'TAX CREDIT'!$M$26</definedName>
    <definedName name="TC_PurchaseDate11">'TAX CREDIT'!$M$27</definedName>
    <definedName name="TC_PurchaseDate12">'TAX CREDIT'!$M$28</definedName>
    <definedName name="TC_PurchaseDate13">'TAX CREDIT'!$M$29</definedName>
    <definedName name="TC_PurchaseDate14">'TAX CREDIT'!$M$30</definedName>
    <definedName name="TC_PurchaseDate15">'TAX CREDIT'!$M$31</definedName>
    <definedName name="TC_PurchaseDate16">'TAX CREDIT'!$M$32</definedName>
    <definedName name="TC_PurchaseDate17">'TAX CREDIT'!$M$33</definedName>
    <definedName name="TC_PurchaseDate18">'TAX CREDIT'!$M$34</definedName>
    <definedName name="TC_PurchaseDate19">'TAX CREDIT'!$M$35</definedName>
    <definedName name="TC_PurchaseDate2">'TAX CREDIT'!$M$18</definedName>
    <definedName name="TC_PurchaseDate20">'TAX CREDIT'!$M$36</definedName>
    <definedName name="TC_PurchaseDate3">'TAX CREDIT'!$M$19</definedName>
    <definedName name="TC_PurchaseDate4">'TAX CREDIT'!$M$20</definedName>
    <definedName name="TC_PurchaseDate5">'TAX CREDIT'!$M$21</definedName>
    <definedName name="TC_PurchaseDate6">'TAX CREDIT'!$M$22</definedName>
    <definedName name="TC_PurchaseDate7">'TAX CREDIT'!$M$23</definedName>
    <definedName name="TC_PurchaseDate8">'TAX CREDIT'!$M$24</definedName>
    <definedName name="TC_PurchaseDate9">'TAX CREDIT'!$M$25</definedName>
    <definedName name="TC_QCTDDAPerc">'TAX CREDIT'!$J$171</definedName>
    <definedName name="TC_RaiseRatioFederal">'TAX CREDIT'!$G$227</definedName>
    <definedName name="TC_RaiseRatioState">'TAX CREDIT'!$H$227</definedName>
    <definedName name="TC_RehabCosts">'TAX CREDIT'!$F$123</definedName>
    <definedName name="TC_RentalRehab">'TAX CREDIT'!$F$207</definedName>
    <definedName name="TC_RentalRehabDeduct">'TAX CREDIT'!$G$207</definedName>
    <definedName name="TC_RentFloorElectlloc">'TAX CREDIT'!$C$138</definedName>
    <definedName name="TC_RentFloorElectPIS">'TAX CREDIT'!$C$139</definedName>
    <definedName name="TC_RuralHousing">'TAX CREDIT'!$F$205</definedName>
    <definedName name="TC_RuralHousingDeduct">'TAX CREDIT'!$G$205</definedName>
    <definedName name="TC_SubstantialRehab">'TAX CREDIT'!$C$10</definedName>
    <definedName name="TC_TenYearRuleExempt">'TAX CREDIT'!$J$119</definedName>
    <definedName name="TC_TotalUnits">'TAX CREDIT'!$H$125</definedName>
    <definedName name="TC_TypeofInvestorsCorp">'TAX CREDIT'!$C$153</definedName>
    <definedName name="TC_TypeofInvestorsFund">'TAX CREDIT'!$C$152</definedName>
    <definedName name="TC_TypeofInvestorsIndv">'TAX CREDIT'!$C$151</definedName>
    <definedName name="TC_TypeofOfferingPrivate">'TAX CREDIT'!$C$148</definedName>
    <definedName name="TC_TypeofOfferingPublic">'TAX CREDIT'!$C$147</definedName>
    <definedName name="TC_UDAG">'TAX CREDIT'!$F$208</definedName>
    <definedName name="TC_UDAGDeduct">'TAX CREDIT'!$G$208</definedName>
    <definedName name="TC_YearsPISPurchase1">'TAX CREDIT'!$N$17</definedName>
    <definedName name="TC_YearsPISPurchase10">'TAX CREDIT'!$N$26</definedName>
    <definedName name="TC_YearsPISPurchase11">'TAX CREDIT'!$N$27</definedName>
    <definedName name="TC_YearsPISPurchase12">'TAX CREDIT'!$N$28</definedName>
    <definedName name="TC_YearsPISPurchase13">'TAX CREDIT'!$N$29</definedName>
    <definedName name="TC_YearsPISPurchase14">'TAX CREDIT'!$N$30</definedName>
    <definedName name="TC_YearsPISPurchase15">'TAX CREDIT'!$N$31</definedName>
    <definedName name="TC_YearsPISPurchase16">'TAX CREDIT'!$N$32</definedName>
    <definedName name="TC_YearsPISPurchase17">'TAX CREDIT'!$N$33</definedName>
    <definedName name="TC_YearsPISPurchase18">'TAX CREDIT'!$N$34</definedName>
    <definedName name="TC_YearsPISPurchase19">'TAX CREDIT'!$N$35</definedName>
    <definedName name="TC_YearsPISPurchase2">'TAX CREDIT'!$N$18</definedName>
    <definedName name="TC_YearsPISPurchase20">'TAX CREDIT'!$N$36</definedName>
    <definedName name="TC_YearsPISPurchase3">'TAX CREDIT'!$N$19</definedName>
    <definedName name="TC_YearsPISPurchase4">'TAX CREDIT'!$N$20</definedName>
    <definedName name="TC_YearsPISPurchase5">'TAX CREDIT'!$N$21</definedName>
    <definedName name="TC_YearsPISPurchase6">'TAX CREDIT'!$N$22</definedName>
    <definedName name="TC_YearsPISPurchase7">'TAX CREDIT'!$N$23</definedName>
    <definedName name="TC_YearsPISPurchase8">'TAX CREDIT'!$N$24</definedName>
    <definedName name="TC_YearsPISPurchase9">'TAX CREDIT'!$N$25</definedName>
    <definedName name="TotalScore">'SELF-SCORE'!$F$56</definedName>
    <definedName name="USE_AccessibilityConsultant">USES!$J$45</definedName>
    <definedName name="USE_AccountingandAuditingFee">USES!$J$147</definedName>
    <definedName name="USE_AcqBAccessibilityConsultant">USES!$M$45</definedName>
    <definedName name="USE_AcqBAccountingandAuditingFee">USES!$M$147</definedName>
    <definedName name="USE_AcqBAppraisal">USES!$M$38</definedName>
    <definedName name="USE_AcqBArchitectReimbursableDesign">USES!$M$30</definedName>
    <definedName name="USE_AcqBArchitectsDesignFee">USES!$M$28</definedName>
    <definedName name="USE_AcqBArchitectsSupervisionFee">USES!$M$29</definedName>
    <definedName name="USE_AcqBBridgeLoanFees">USES!$M$141</definedName>
    <definedName name="USE_AcqBBridgeLoanInterest">USES!$M$142</definedName>
    <definedName name="USE_AcqBBuildingAcquisition">USES!$M$118</definedName>
    <definedName name="USE_AcqBBuildingPermitsandFees">USES!$M$42</definedName>
    <definedName name="USE_AcqBCarryingCharges">USES!$M$121</definedName>
    <definedName name="USE_AcqBCDAClosingFee">USES!$M$92</definedName>
    <definedName name="USE_AcqBCDAFHARiskSharingMHFAdmin">USES!$M$89</definedName>
    <definedName name="USE_AcqBCDAFHARiskSharingMHFApp">USES!$M$88</definedName>
    <definedName name="USE_AcqBCDAIssuerFeeXXmonthsFTEL">USES!$M$86</definedName>
    <definedName name="USE_AcqBCDALoanCommitmentFeesHOMEARP">USES!$M$79</definedName>
    <definedName name="USE_AcqBCDALoanCommitmentFeesMCF">USES!$M$77</definedName>
    <definedName name="USE_AcqBCDALoanCommitmentFeesPRHP">USES!$M$78</definedName>
    <definedName name="USE_AcqBCDALoanCommitmentFeesRHP">USES!$M$75</definedName>
    <definedName name="USE_AcqBCDALoanCommitmentFeesRHW">USES!$M$76</definedName>
    <definedName name="USE_AcqBCDALoanServicingFee">USES!$M$80</definedName>
    <definedName name="USE_AcqBCDASubsidyLayeringFee">USES!$M$81</definedName>
    <definedName name="USE_AcqBCivilEngineeringFee">USES!$M$32</definedName>
    <definedName name="USE_AcqBConstructionInterest">USES!$M$65</definedName>
    <definedName name="USE_AcqBConstructionLoanPeriodMIP">USES!$M$90</definedName>
    <definedName name="USE_AcqBCostofIssuanceCDAExpenses">USES!$M$84</definedName>
    <definedName name="USE_AcqBCostofIssuanceUnderwritersFees">USES!$M$83</definedName>
    <definedName name="USE_AcqBDeveloperFeeFundedReserve">USES!$M$159</definedName>
    <definedName name="USE_AcqBEnvironmentalConsultant">USES!$M$41</definedName>
    <definedName name="USE_AcqBEnvironmentalReport">USES!$M$40</definedName>
    <definedName name="USE_AcqBFeeonAcquisitionCosts">USES!$M$134</definedName>
    <definedName name="USE_AcqBFFE">USES!$M$44</definedName>
    <definedName name="USE_AcqBFHACommitmentFee">USES!$M$104</definedName>
    <definedName name="USE_AcqBFHAInspectionFee">USES!$M$105</definedName>
    <definedName name="USE_AcqBFHALenderDueDiligence">USES!$M$107</definedName>
    <definedName name="USE_AcqBFHALenderFee">USES!$M$106</definedName>
    <definedName name="USE_AcqBFHALenderLegal">USES!$M$103</definedName>
    <definedName name="USE_AcqBFHAProcessingFee">USES!$M$112</definedName>
    <definedName name="USE_AcqBFinancingsoftcostContingency">USES!$M$74</definedName>
    <definedName name="USE_AcqBFirstYearsPermanentMIP">USES!$M$91</definedName>
    <definedName name="USE_AcqBGreenConsultant">USES!$M$47</definedName>
    <definedName name="USE_AcqBInsurancePremium">USES!$M$69</definedName>
    <definedName name="USE_AcqBLegalsyndicationonly">USES!$M$140</definedName>
    <definedName name="USE_AcqBMarketing">USES!$M$34</definedName>
    <definedName name="USE_AcqBMarketStudy">USES!$M$39</definedName>
    <definedName name="USE_AcqBMortgageInsurancePremium">USES!$M$70</definedName>
    <definedName name="USE_AcqBNegativeArbitrage">USES!$M$67</definedName>
    <definedName name="USE_AcqBOffSiteImprovements">USES!$M$123</definedName>
    <definedName name="USE_AcqBOffsiteInfrastructure">USES!$M$49</definedName>
    <definedName name="USE_AcqBOrganizationalCosts">USES!$M$143</definedName>
    <definedName name="USE_AcqBOther10">USES!$M$54</definedName>
    <definedName name="USE_AcqBOther11">USES!$M$55</definedName>
    <definedName name="USE_AcqBOther12">USES!$M$82</definedName>
    <definedName name="USE_AcqBOther13">USES!$M$93</definedName>
    <definedName name="USE_AcqBOther16">USES!$M$124</definedName>
    <definedName name="USE_AcqBOther17">USES!$M$125</definedName>
    <definedName name="USE_AcqBOther18">USES!$M$148</definedName>
    <definedName name="USE_AcqBOther19">USES!$M$149</definedName>
    <definedName name="USE_AcqBOther26">USES!$M$56</definedName>
    <definedName name="USE_AcqBOther27">USES!$M$57</definedName>
    <definedName name="USE_AcqBOther28">USES!$M$58</definedName>
    <definedName name="USE_AcqBOther29">USES!$M$59</definedName>
    <definedName name="USE_AcqBOther3">USES!$M$35</definedName>
    <definedName name="USE_AcqBOther30">USES!$M$60</definedName>
    <definedName name="USE_AcqBOther7">USES!$M$51</definedName>
    <definedName name="USE_AcqBOther8">USES!$M$52</definedName>
    <definedName name="USE_AcqBOther9">USES!$M$53</definedName>
    <definedName name="USE_AcqBOtherLendersLegalNonsynd">USES!$M$101</definedName>
    <definedName name="USE_AcqBOtherLendersOriginationNonsynd">USES!$M$100</definedName>
    <definedName name="USE_AcqBRealEstateAttorney">USES!$M$31</definedName>
    <definedName name="USE_AcqBRealEstateTaxes">USES!$M$68</definedName>
    <definedName name="USE_AcqBRelocationCosts">USES!$M$122</definedName>
    <definedName name="USE_AcqBSoilBorings">USES!$M$37</definedName>
    <definedName name="USE_AcqBSolarInstallation">USES!$M$50</definedName>
    <definedName name="USE_AcqBSpecialAssessment">USES!$M$120</definedName>
    <definedName name="USE_AcqBSurveys">USES!$M$36</definedName>
    <definedName name="USE_AcqBSyndicationFee">USES!$M$139</definedName>
    <definedName name="USE_AcqBTapFees">USES!$M$43</definedName>
    <definedName name="USE_AcqBTaxCreditAllocationFee">USES!$M$145</definedName>
    <definedName name="USE_AcqBTaxCreditApplicationFee">USES!$M$144</definedName>
    <definedName name="USE_AcqBTaxCreditReservationFee">USES!$M$146</definedName>
    <definedName name="USE_AcqBTitleandRecording">USES!$M$71</definedName>
    <definedName name="USE_Appraisal">USES!$J$38</definedName>
    <definedName name="USE_ArchitectReimbursableDesign">USES!$J$30</definedName>
    <definedName name="USE_ArchitectsDesignFee">USES!$J$28</definedName>
    <definedName name="USE_ArchitectsSupervisionFee">USES!$J$29</definedName>
    <definedName name="USE_BondPremium">USES!$J$14</definedName>
    <definedName name="USE_BridgeLoanFees">USES!$J$141</definedName>
    <definedName name="USE_BridgeLoanInterest">USES!$J$142</definedName>
    <definedName name="USE_BuildersGeneralOverhead">USES!$J$13</definedName>
    <definedName name="USE_BuildersProfit">USES!$J$12</definedName>
    <definedName name="USE_BuildingAcquisition">USES!$J$118</definedName>
    <definedName name="USE_BuildingPermitsandFees">USES!$J$42</definedName>
    <definedName name="USE_CarryingCharges">USES!$J$121</definedName>
    <definedName name="USE_CDAClosingFee">USES!$J$92</definedName>
    <definedName name="USE_CDAFHARiskSharingMHFAdmin">USES!$J$89</definedName>
    <definedName name="USE_CDAFHARiskSharingMHFAppFee">USES!$J$88</definedName>
    <definedName name="USE_CDAIssuerFeemonths">USES!$G$86</definedName>
    <definedName name="USE_CDAIssuerFeeXXmonthsFTEL">USES!$J$86</definedName>
    <definedName name="USE_CDALoanCommitmentFeesHOMEARP">USES!$J$79</definedName>
    <definedName name="USE_CDALoanCommitmentFeesMCF">USES!$J$77</definedName>
    <definedName name="USE_CDALoanCommitmentFeesPRHP">USES!$J$78</definedName>
    <definedName name="USE_CDALoanCommitmentFeesRHP">USES!$J$75</definedName>
    <definedName name="USE_CDALoanCommitmentFeesRHW">USES!$J$76</definedName>
    <definedName name="USE_CDALoanServicingFee">USES!$J$80</definedName>
    <definedName name="USE_CDASubsidyLayeringFee">USES!$J$81</definedName>
    <definedName name="USE_CivilEngineeringFee">USES!$J$32</definedName>
    <definedName name="USE_ConstBAccessibilityConsultant">USES!$N$45</definedName>
    <definedName name="USE_ConstBAccountingandAuditingFee">USES!$N$147</definedName>
    <definedName name="USE_ConstBAppraisal">USES!$N$38</definedName>
    <definedName name="USE_ConstBArchitectReimbursableDesign">USES!$N$30</definedName>
    <definedName name="USE_ConstBArchitectsDesignFee">USES!$N$28</definedName>
    <definedName name="USE_ConstBArchitectsSupervisionFee">USES!$N$29</definedName>
    <definedName name="USE_ConstBBondPremium">USES!$N$14</definedName>
    <definedName name="USE_ConstBBridgeLoanFees">USES!$N$141</definedName>
    <definedName name="USE_ConstBBridgeLoanInterest">USES!$N$142</definedName>
    <definedName name="USE_ConstBBuildersGeneralOverhead">USES!$N$13</definedName>
    <definedName name="USE_ConstBBuildersProfit">USES!$N$12</definedName>
    <definedName name="USE_ConstBBuildingPermitsandFees">USES!$N$42</definedName>
    <definedName name="USE_ConstBCDAClosingFee">USES!$N$92</definedName>
    <definedName name="USE_ConstBCDAFHARiskSharingMHFAdmin">USES!$N$89</definedName>
    <definedName name="USE_ConstBCDAFHARiskSharingMHFApp">USES!$N$88</definedName>
    <definedName name="USE_ConstBCDAIssuerFeeXXmonthsFTEL">USES!$N$86</definedName>
    <definedName name="USE_ConstBCDALoanCommitmentFeesHOMEARP">USES!$N$79</definedName>
    <definedName name="USE_ConstBCDALoanCommitmentFeesMCF">USES!$N$77</definedName>
    <definedName name="USE_ConstBCDALoanCommitmentFeesPRHP">USES!$N$78</definedName>
    <definedName name="USE_ConstBCDALoanCommitmentFeesRHP">USES!$N$75</definedName>
    <definedName name="USE_ConstBCDALoanCommitmentFeesRHW">USES!$N$76</definedName>
    <definedName name="USE_ConstBCDALoanServicingFee">USES!$N$80</definedName>
    <definedName name="USE_ConstBCDASubsidyLayeringFee">USES!$N$81</definedName>
    <definedName name="USE_ConstBCivilEngineeringFee">USES!$N$32</definedName>
    <definedName name="USE_ConstBConstructionContingency">USES!$N$23</definedName>
    <definedName name="USE_ConstBConstructionInterest">USES!$N$65</definedName>
    <definedName name="USE_ConstBConstructionLoanPeriodMIP">USES!$N$90</definedName>
    <definedName name="USE_ConstBCostofIssuanceCDAExpenses">USES!$N$84</definedName>
    <definedName name="USE_ConstBCostofIssuanceUnderwritersFees">USES!$N$83</definedName>
    <definedName name="USE_ConstBDeveloperFeeFundedReserve">USES!$N$159</definedName>
    <definedName name="USE_ConstBEnvironmentalConsultant">USES!$N$41</definedName>
    <definedName name="USE_ConstBEnvironmentalReport">USES!$N$40</definedName>
    <definedName name="USE_ConstBFeeonNonAcquisitionCosts">USES!$N$133</definedName>
    <definedName name="USE_ConstBFFE">USES!$N$44</definedName>
    <definedName name="USE_ConstBFHACommitmentFee">USES!$N$104</definedName>
    <definedName name="USE_ConstBFHAInspectionFee">USES!$N$105</definedName>
    <definedName name="USE_ConstBFHALenderDueDiligence">USES!$N$107</definedName>
    <definedName name="USE_ConstBFHALenderFee">USES!$N$106</definedName>
    <definedName name="USE_ConstBFHALenderLegal">USES!$N$103</definedName>
    <definedName name="USE_ConstBFHAProcessingFee">USES!$N$112</definedName>
    <definedName name="USE_ConstBFinancingsoftcostContingency">USES!$N$74</definedName>
    <definedName name="USE_ConstBFirstYearsPermanentMIP">USES!$N$91</definedName>
    <definedName name="USE_ConstBGeneralRequirements">USES!$N$11</definedName>
    <definedName name="USE_ConstBGreenConsultant">USES!$N$47</definedName>
    <definedName name="USE_ConstBInsurancePremium">USES!$N$69</definedName>
    <definedName name="USE_ConstBLegalsyndicationonly">USES!$N$140</definedName>
    <definedName name="USE_ConstBMarketing">USES!$N$34</definedName>
    <definedName name="USE_ConstBMarketStudy">USES!$N$39</definedName>
    <definedName name="USE_ConstBMortgageInsurancePremium">USES!$N$70</definedName>
    <definedName name="USE_ConstBNegativeArbitrage">USES!$N$67</definedName>
    <definedName name="USE_ConstBNetConstructionCosts">USES!$N$10</definedName>
    <definedName name="USE_ConstBOffsiteInfrastructure">USES!$N$49</definedName>
    <definedName name="USE_ConstBOrganizationalCosts">USES!$N$143</definedName>
    <definedName name="USE_ConstBOther1">USES!$N$15</definedName>
    <definedName name="USE_ConstBOther10">USES!$N$54</definedName>
    <definedName name="USE_ConstBOther11">USES!$N$55</definedName>
    <definedName name="USE_ConstBOther12">USES!$N$82</definedName>
    <definedName name="USE_ConstBOther13">USES!$N$93</definedName>
    <definedName name="USE_ConstBOther18">USES!$N$148</definedName>
    <definedName name="USE_ConstBOther19">USES!$N$149</definedName>
    <definedName name="USE_ConstBOther2">USES!$N$16</definedName>
    <definedName name="USE_ConstBOther21">USES!$N$17</definedName>
    <definedName name="USE_ConstBOther22">USES!$N$18</definedName>
    <definedName name="USE_ConstBOther23">USES!$N$19</definedName>
    <definedName name="USE_ConstBOther24">USES!$N$20</definedName>
    <definedName name="USE_ConstBOther25">USES!$N$21</definedName>
    <definedName name="USE_ConstBOther26">USES!$N$56</definedName>
    <definedName name="USE_ConstBOther27">USES!$N$57</definedName>
    <definedName name="USE_ConstBOther28">USES!$N$58</definedName>
    <definedName name="USE_ConstBOther29">USES!$N$59</definedName>
    <definedName name="USE_ConstBOther3">USES!$N$35</definedName>
    <definedName name="USE_ConstBOther30">USES!$N$60</definedName>
    <definedName name="USE_ConstBOther7">USES!$N$51</definedName>
    <definedName name="USE_ConstBOther8">USES!$N$52</definedName>
    <definedName name="USE_ConstBOther9">USES!$N$53</definedName>
    <definedName name="USE_ConstBOtherLendersLegalNonsynd">USES!$N$101</definedName>
    <definedName name="USE_ConstBOtherLendersOriginationNonsynd">USES!$N$100</definedName>
    <definedName name="USE_ConstBRealEstateAttorney">USES!$N$31</definedName>
    <definedName name="USE_ConstBRealEstateTaxes">USES!$N$68</definedName>
    <definedName name="USE_ConstBSoilBorings">USES!$N$37</definedName>
    <definedName name="USE_ConstBSolarInstallation">USES!$N$50</definedName>
    <definedName name="USE_ConstBSurveys">USES!$N$36</definedName>
    <definedName name="USE_ConstBSyndicationFee">USES!$N$139</definedName>
    <definedName name="USE_ConstBTapFees">USES!$N$43</definedName>
    <definedName name="USE_ConstBTaxCreditAllocationFee">USES!$N$145</definedName>
    <definedName name="USE_ConstBTaxCreditApplicationFee">USES!$N$144</definedName>
    <definedName name="USE_ConstBTaxCreditReservationFee">USES!$N$146</definedName>
    <definedName name="USE_ConstBTitleandRecording">USES!$N$71</definedName>
    <definedName name="USE_ConstructionContingency">USES!$J$23</definedName>
    <definedName name="USE_ConstructionGuarantee">USES!$J$154</definedName>
    <definedName name="USE_ConstructionInterest">USES!$J$65</definedName>
    <definedName name="USE_ConstructionLoanPeriodMIP">USES!$J$90</definedName>
    <definedName name="USE_ConstructionLoanPeriodMIPMonths">USES!$G$90</definedName>
    <definedName name="USE_CostofIssuanceCDAExpenses">USES!$J$84</definedName>
    <definedName name="USE_CostofIssuanceUnderwritersFees">USES!$J$83</definedName>
    <definedName name="USE_DebtServiceReserve">USES!$J$156</definedName>
    <definedName name="USE_DeveloperFeeFunded">USES!$J$159</definedName>
    <definedName name="USE_EnvironmentalConsultant">USES!$J$41</definedName>
    <definedName name="USE_EnvironmentalReport">USES!$J$40</definedName>
    <definedName name="USE_FeeonAcquisitionCosts">USES!$J$134</definedName>
    <definedName name="USE_FeeonNonAcquisitionCosts">USES!$J$133</definedName>
    <definedName name="USE_FeePercCosts10MillionorlessAcq">USES!$K$210</definedName>
    <definedName name="USE_FeePercCosts10MillionorlessNonAcq">USES!$K$203</definedName>
    <definedName name="USE_FeePercCostsover10MillionAcq">USES!$J$210</definedName>
    <definedName name="USE_FeePercCostsover10MillionNonAcq">USES!$J$203</definedName>
    <definedName name="USE_FFE">USES!$J$44</definedName>
    <definedName name="USE_FHACommitmentFee">USES!$J$104</definedName>
    <definedName name="USE_FHAInspectionFee">USES!$J$105</definedName>
    <definedName name="USE_FHALenderDueDiligence">USES!$J$107</definedName>
    <definedName name="USE_FHALenderFee">USES!$J$106</definedName>
    <definedName name="USE_FHALenderLegal">USES!$J$103</definedName>
    <definedName name="USE_FHAProcessingFee">USES!$J$112</definedName>
    <definedName name="USE_FinancingsoftcostContingency">USES!$J$74</definedName>
    <definedName name="USE_FirstYearsPermanentMIP">USES!$J$91</definedName>
    <definedName name="USE_GeneralRequirements">USES!$J$11</definedName>
    <definedName name="USE_GreenConsultant">USES!$J$47</definedName>
    <definedName name="USE_InsurancePremium">USES!$J$69</definedName>
    <definedName name="USE_LandAcquisition">USES!$J$119</definedName>
    <definedName name="USE_Legalsyndicationonly">USES!$J$140</definedName>
    <definedName name="USE_Marketing">USES!$J$34</definedName>
    <definedName name="USE_MarketStudy">USES!$J$39</definedName>
    <definedName name="USE_MortgageInsurancePremium">USES!$J$70</definedName>
    <definedName name="USE_NegativeArbitrage">USES!$J$67</definedName>
    <definedName name="USE_NetConstructionCosts">USES!$J$10</definedName>
    <definedName name="USE_OffSiteImprovements">USES!$J$123</definedName>
    <definedName name="USE_OffsiteInfrastructure">USES!$J$49</definedName>
    <definedName name="USE_OperatingReserve">USES!$J$155</definedName>
    <definedName name="USE_OrganizationalCosts">USES!$J$143</definedName>
    <definedName name="USE_Other1">USES!$J$15</definedName>
    <definedName name="USE_Other10">USES!$J$54</definedName>
    <definedName name="USE_Other10Describe">USES!$E$54</definedName>
    <definedName name="USE_Other11">USES!$J$55</definedName>
    <definedName name="USE_Other11Describe">USES!$E$55</definedName>
    <definedName name="USE_Other12">USES!$J$82</definedName>
    <definedName name="USE_Other12Describe">USES!$E$82</definedName>
    <definedName name="USE_Other13">USES!$J$93</definedName>
    <definedName name="USE_Other13Describe">USES!$E$93</definedName>
    <definedName name="USE_Other16">USES!$J$124</definedName>
    <definedName name="USE_Other16Describe">USES!$E$124</definedName>
    <definedName name="USE_Other17">USES!$J$125</definedName>
    <definedName name="USE_Other17Describe">USES!$E$125</definedName>
    <definedName name="USE_Other18">USES!$J$148</definedName>
    <definedName name="USE_Other18Describe">USES!$E$148</definedName>
    <definedName name="USE_Other19">USES!$J$149</definedName>
    <definedName name="USE_Other19Describe">USES!$E$149</definedName>
    <definedName name="USE_Other1Describe">USES!$E$15</definedName>
    <definedName name="USE_Other2">USES!$J$16</definedName>
    <definedName name="USE_Other20">USES!$J$162</definedName>
    <definedName name="USE_Other20Describe">USES!$F$162</definedName>
    <definedName name="USE_Other21">USES!$J$17</definedName>
    <definedName name="USE_Other21Describe">USES!$E$17</definedName>
    <definedName name="USE_Other22">USES!$J$18</definedName>
    <definedName name="USE_Other22Describe">USES!$E$18</definedName>
    <definedName name="USE_Other23">USES!$J$19</definedName>
    <definedName name="USE_Other23Describe">USES!$E$19</definedName>
    <definedName name="USE_Other24">USES!$J$20</definedName>
    <definedName name="USE_Other24Describe">USES!$E$20</definedName>
    <definedName name="USE_Other25">USES!$J$21</definedName>
    <definedName name="USE_Other25Describe">USES!$E$21</definedName>
    <definedName name="USE_Other26">USES!$J$56</definedName>
    <definedName name="USE_Other26Describe">USES!$E$56</definedName>
    <definedName name="USE_Other27">USES!$J$57</definedName>
    <definedName name="USE_Other27Describe">USES!$E$57</definedName>
    <definedName name="USE_Other28">USES!$J$58</definedName>
    <definedName name="USE_Other28Describe">USES!$E$58</definedName>
    <definedName name="USE_Other29">USES!$J$59</definedName>
    <definedName name="USE_Other29Describe">USES!$E$59</definedName>
    <definedName name="USE_Other2Describe">USES!$E$16</definedName>
    <definedName name="USE_Other3">USES!$J$35</definedName>
    <definedName name="USE_Other30">USES!$J$60</definedName>
    <definedName name="USE_Other30Describe">USES!$E$60</definedName>
    <definedName name="USE_Other3Describe">USES!$E$35</definedName>
    <definedName name="USE_Other7">USES!$J$51</definedName>
    <definedName name="USE_Other7Describe">USES!$E$51</definedName>
    <definedName name="USE_Other8">USES!$J$52</definedName>
    <definedName name="USE_Other8Describe">USES!$E$52</definedName>
    <definedName name="USE_Other9">USES!$J$53</definedName>
    <definedName name="USE_Other9Describe">USES!$E$53</definedName>
    <definedName name="USE_OtherLendersLegalNonsynd">USES!$J$101</definedName>
    <definedName name="USE_OtherLendersOriginationNonsynd">USES!$J$100</definedName>
    <definedName name="USE_OtherReserve">USES!$J$161</definedName>
    <definedName name="USE_OtherReserveDescribe">USES!$F$161</definedName>
    <definedName name="USE_RealEstateAttorney">USES!$J$31</definedName>
    <definedName name="USE_RealEstateTaxes">USES!$J$68</definedName>
    <definedName name="USE_RelocationCosts">USES!$J$122</definedName>
    <definedName name="USE_RentupReserve">USES!$J$157</definedName>
    <definedName name="USE_SoilBorings">USES!$J$37</definedName>
    <definedName name="USE_SolarInstallation">USES!$J$50</definedName>
    <definedName name="USE_SpecialAssessment">USES!$J$120</definedName>
    <definedName name="USE_SupportiveServicesReserve">USES!$J$158</definedName>
    <definedName name="USE_Surveys">USES!$J$36</definedName>
    <definedName name="USE_SyndicationFee">USES!$J$139</definedName>
    <definedName name="USE_TapFees">USES!$J$43</definedName>
    <definedName name="USE_TaxCreditAllocationFee">USES!$J$145</definedName>
    <definedName name="USE_TaxCreditApplicationFee">USES!$J$144</definedName>
    <definedName name="USE_TaxCreditReservationFee">USES!$J$146</definedName>
    <definedName name="USE_TitleandRecording">USES!$J$71</definedName>
    <definedName name="USE_TransitionReserve">USES!$J$160</definedName>
    <definedName name="Z_0A080B76_CAC1_49D6_A14B_9DA724D07E2A_.wvu.PrintArea" localSheetId="4" hidden="1">BUILDING!$C$3:$P$111</definedName>
    <definedName name="Z_0A080B76_CAC1_49D6_A14B_9DA724D07E2A_.wvu.PrintArea" localSheetId="6" hidden="1">'DEV TEAM'!$C$2:$J$346</definedName>
    <definedName name="Z_0A080B76_CAC1_49D6_A14B_9DA724D07E2A_.wvu.PrintArea" localSheetId="15" hidden="1">'PRO FORMA'!$C$6:$X$67</definedName>
    <definedName name="Z_0A080B76_CAC1_49D6_A14B_9DA724D07E2A_.wvu.PrintArea" localSheetId="8" hidden="1">SOURCES!$C$3:$M$77</definedName>
    <definedName name="Z_0A080B76_CAC1_49D6_A14B_9DA724D07E2A_.wvu.PrintArea" localSheetId="12" hidden="1">'TAX CREDIT'!$C$3:$N$215</definedName>
    <definedName name="Z_0A080B76_CAC1_49D6_A14B_9DA724D07E2A_.wvu.PrintArea" localSheetId="9" hidden="1">USES!$D$2:$M$190</definedName>
    <definedName name="Z_0A080B76_CAC1_49D6_A14B_9DA724D07E2A_.wvu.PrintTitles" localSheetId="15" hidden="1">'PRO FORMA'!$C:$D,'PRO FORMA'!$3:$3</definedName>
    <definedName name="Z_3659D36C_86F8_45BE_8B0F_DC260D021512_.wvu.PrintArea" localSheetId="4" hidden="1">BUILDING!$C$3:$P$111</definedName>
    <definedName name="Z_3659D36C_86F8_45BE_8B0F_DC260D021512_.wvu.PrintArea" localSheetId="6" hidden="1">'DEV TEAM'!$C$2:$J$346</definedName>
    <definedName name="Z_3659D36C_86F8_45BE_8B0F_DC260D021512_.wvu.PrintArea" localSheetId="15" hidden="1">'PRO FORMA'!$C$3:$X$67</definedName>
    <definedName name="Z_3659D36C_86F8_45BE_8B0F_DC260D021512_.wvu.PrintArea" localSheetId="8" hidden="1">SOURCES!$C$3:$M$77</definedName>
    <definedName name="Z_3659D36C_86F8_45BE_8B0F_DC260D021512_.wvu.PrintArea" localSheetId="12" hidden="1">'TAX CREDIT'!$C$3:$N$215</definedName>
    <definedName name="Z_3659D36C_86F8_45BE_8B0F_DC260D021512_.wvu.PrintArea" localSheetId="9" hidden="1">USES!$D$2:$M$190</definedName>
    <definedName name="Z_3659D36C_86F8_45BE_8B0F_DC260D021512_.wvu.PrintTitles" localSheetId="15" hidden="1">'PRO FORMA'!$C:$D,'PRO FORMA'!$3:$3</definedName>
    <definedName name="Z_3B78583D_5B6A_4751_8EF2_A2270A01FB56_.wvu.PrintArea" localSheetId="4" hidden="1">BUILDING!$C$3:$P$111</definedName>
    <definedName name="Z_3B78583D_5B6A_4751_8EF2_A2270A01FB56_.wvu.PrintArea" localSheetId="6" hidden="1">'DEV TEAM'!$C$2:$J$346</definedName>
    <definedName name="Z_3B78583D_5B6A_4751_8EF2_A2270A01FB56_.wvu.PrintArea" localSheetId="15" hidden="1">'PRO FORMA'!$C$3:$X$67</definedName>
    <definedName name="Z_3B78583D_5B6A_4751_8EF2_A2270A01FB56_.wvu.PrintArea" localSheetId="8" hidden="1">SOURCES!$C$3:$M$77</definedName>
    <definedName name="Z_3B78583D_5B6A_4751_8EF2_A2270A01FB56_.wvu.PrintArea" localSheetId="12" hidden="1">'TAX CREDIT'!$C$3:$N$215</definedName>
    <definedName name="Z_3B78583D_5B6A_4751_8EF2_A2270A01FB56_.wvu.PrintArea" localSheetId="9" hidden="1">USES!$D$2:$M$190</definedName>
    <definedName name="Z_3B78583D_5B6A_4751_8EF2_A2270A01FB56_.wvu.PrintTitles" localSheetId="15" hidden="1">'PRO FORMA'!$C:$D,'PRO FORMA'!$3:$3</definedName>
    <definedName name="Z_602BBDD0_2A0B_434E_AE8E_4C472F9AEC01_.wvu.PrintArea" localSheetId="4" hidden="1">BUILDING!$C$3:$P$111</definedName>
    <definedName name="Z_602BBDD0_2A0B_434E_AE8E_4C472F9AEC01_.wvu.PrintArea" localSheetId="6" hidden="1">'DEV TEAM'!$C$2:$J$346</definedName>
    <definedName name="Z_602BBDD0_2A0B_434E_AE8E_4C472F9AEC01_.wvu.PrintArea" localSheetId="15" hidden="1">'PRO FORMA'!$C$3:$X$67</definedName>
    <definedName name="Z_602BBDD0_2A0B_434E_AE8E_4C472F9AEC01_.wvu.PrintArea" localSheetId="8" hidden="1">SOURCES!$C$3:$M$77</definedName>
    <definedName name="Z_602BBDD0_2A0B_434E_AE8E_4C472F9AEC01_.wvu.PrintArea" localSheetId="12" hidden="1">'TAX CREDIT'!$C$3:$N$215</definedName>
    <definedName name="Z_602BBDD0_2A0B_434E_AE8E_4C472F9AEC01_.wvu.PrintArea" localSheetId="9" hidden="1">USES!$D$2:$M$190</definedName>
    <definedName name="Z_602BBDD0_2A0B_434E_AE8E_4C472F9AEC01_.wvu.PrintTitles" localSheetId="15" hidden="1">'PRO FORMA'!$C:$D,'PRO FORMA'!$3:$3</definedName>
    <definedName name="Z_714B32FB_A92F_4F7C_8495_8C3BCEB888AE_.wvu.PrintArea" localSheetId="6" hidden="1">'DEV TEAM'!$C$2:$J$346</definedName>
    <definedName name="Z_714B32FB_A92F_4F7C_8495_8C3BCEB888AE_.wvu.PrintArea" localSheetId="15" hidden="1">'PRO FORMA'!$C$6:$X$67</definedName>
    <definedName name="Z_714B32FB_A92F_4F7C_8495_8C3BCEB888AE_.wvu.PrintTitles" localSheetId="15" hidden="1">'PRO FORMA'!$C:$D,'PRO FORMA'!$3:$3</definedName>
    <definedName name="Z_76F395A0_B7E9_4489_8589_E8786779257B_.wvu.Cols" localSheetId="2" hidden="1">GENERAL!$U:$U</definedName>
    <definedName name="Z_76F395A0_B7E9_4489_8589_E8786779257B_.wvu.PrintArea" localSheetId="4" hidden="1">BUILDING!$C$3:$P$111</definedName>
    <definedName name="Z_76F395A0_B7E9_4489_8589_E8786779257B_.wvu.PrintArea" localSheetId="6" hidden="1">'DEV TEAM'!$C$2:$J$311</definedName>
    <definedName name="Z_76F395A0_B7E9_4489_8589_E8786779257B_.wvu.PrintArea" localSheetId="15" hidden="1">'PRO FORMA'!$C$3:$X$67</definedName>
    <definedName name="Z_76F395A0_B7E9_4489_8589_E8786779257B_.wvu.PrintArea" localSheetId="8" hidden="1">SOURCES!$C$3:$M$76</definedName>
    <definedName name="Z_76F395A0_B7E9_4489_8589_E8786779257B_.wvu.PrintArea" localSheetId="12" hidden="1">'TAX CREDIT'!$C$3:$N$215</definedName>
    <definedName name="Z_76F395A0_B7E9_4489_8589_E8786779257B_.wvu.PrintArea" localSheetId="9" hidden="1">USES!$D$2:$M$190</definedName>
    <definedName name="Z_76F395A0_B7E9_4489_8589_E8786779257B_.wvu.PrintTitles" localSheetId="15" hidden="1">'PRO FORMA'!$C:$D,'PRO FORMA'!$3:$3</definedName>
    <definedName name="Z_8142EFA3_2DB8_4FA0_90CC_65C61CCEFD62_.wvu.PrintArea" localSheetId="4" hidden="1">BUILDING!$C$3:$P$111</definedName>
    <definedName name="Z_8142EFA3_2DB8_4FA0_90CC_65C61CCEFD62_.wvu.PrintArea" localSheetId="6" hidden="1">'DEV TEAM'!$C$2:$J$346</definedName>
    <definedName name="Z_8142EFA3_2DB8_4FA0_90CC_65C61CCEFD62_.wvu.PrintArea" localSheetId="15" hidden="1">'PRO FORMA'!$C$3:$X$67</definedName>
    <definedName name="Z_8142EFA3_2DB8_4FA0_90CC_65C61CCEFD62_.wvu.PrintArea" localSheetId="8" hidden="1">SOURCES!$C$3:$M$77</definedName>
    <definedName name="Z_8142EFA3_2DB8_4FA0_90CC_65C61CCEFD62_.wvu.PrintArea" localSheetId="12" hidden="1">'TAX CREDIT'!$C$3:$N$215</definedName>
    <definedName name="Z_8142EFA3_2DB8_4FA0_90CC_65C61CCEFD62_.wvu.PrintArea" localSheetId="9" hidden="1">USES!$D$2:$M$190</definedName>
    <definedName name="Z_8142EFA3_2DB8_4FA0_90CC_65C61CCEFD62_.wvu.PrintTitles" localSheetId="15" hidden="1">'PRO FORMA'!$C:$D,'PRO FORMA'!$3:$3</definedName>
    <definedName name="Z_9A1BF858_0700_49AF_A308_5283E02DA063_.wvu.PrintArea" localSheetId="4" hidden="1">BUILDING!$C$3:$P$111</definedName>
    <definedName name="Z_9A1BF858_0700_49AF_A308_5283E02DA063_.wvu.PrintArea" localSheetId="6" hidden="1">'DEV TEAM'!$C$2:$J$346</definedName>
    <definedName name="Z_9A1BF858_0700_49AF_A308_5283E02DA063_.wvu.PrintArea" localSheetId="15" hidden="1">'PRO FORMA'!$C$3:$X$67</definedName>
    <definedName name="Z_9A1BF858_0700_49AF_A308_5283E02DA063_.wvu.PrintArea" localSheetId="8" hidden="1">SOURCES!$C$3:$M$77</definedName>
    <definedName name="Z_9A1BF858_0700_49AF_A308_5283E02DA063_.wvu.PrintArea" localSheetId="12" hidden="1">'TAX CREDIT'!$C$3:$N$215</definedName>
    <definedName name="Z_9A1BF858_0700_49AF_A308_5283E02DA063_.wvu.PrintArea" localSheetId="9" hidden="1">USES!$D$2:$M$190</definedName>
    <definedName name="Z_9A1BF858_0700_49AF_A308_5283E02DA063_.wvu.PrintTitles" localSheetId="15" hidden="1">'PRO FORMA'!$C:$D,'PRO FORMA'!$3:$3</definedName>
    <definedName name="Z_A1879216_4226_4AD8_8303_3842A38BCF1B_.wvu.PrintArea" localSheetId="4" hidden="1">BUILDING!$C$3:$P$111</definedName>
    <definedName name="Z_A1879216_4226_4AD8_8303_3842A38BCF1B_.wvu.PrintArea" localSheetId="6" hidden="1">'DEV TEAM'!$C$2:$J$346</definedName>
    <definedName name="Z_A1879216_4226_4AD8_8303_3842A38BCF1B_.wvu.PrintArea" localSheetId="15" hidden="1">'PRO FORMA'!$C$3:$X$67</definedName>
    <definedName name="Z_A1879216_4226_4AD8_8303_3842A38BCF1B_.wvu.PrintArea" localSheetId="8" hidden="1">SOURCES!$C$3:$M$77</definedName>
    <definedName name="Z_A1879216_4226_4AD8_8303_3842A38BCF1B_.wvu.PrintArea" localSheetId="12" hidden="1">'TAX CREDIT'!$C$3:$N$215</definedName>
    <definedName name="Z_A1879216_4226_4AD8_8303_3842A38BCF1B_.wvu.PrintArea" localSheetId="9" hidden="1">USES!$D$2:$M$190</definedName>
    <definedName name="Z_A1879216_4226_4AD8_8303_3842A38BCF1B_.wvu.PrintTitles" localSheetId="15" hidden="1">'PRO FORMA'!$C:$D,'PRO FORMA'!$3:$3</definedName>
    <definedName name="Z_C2565ED2_FB16_4AD9_AFF0_CED4C44F72DA_.wvu.PrintArea" localSheetId="4" hidden="1">BUILDING!$C$3:$P$111</definedName>
    <definedName name="Z_C2565ED2_FB16_4AD9_AFF0_CED4C44F72DA_.wvu.PrintArea" localSheetId="6" hidden="1">'DEV TEAM'!$C$2:$J$346</definedName>
    <definedName name="Z_C2565ED2_FB16_4AD9_AFF0_CED4C44F72DA_.wvu.PrintArea" localSheetId="15" hidden="1">'PRO FORMA'!$C$3:$X$67</definedName>
    <definedName name="Z_C2565ED2_FB16_4AD9_AFF0_CED4C44F72DA_.wvu.PrintArea" localSheetId="8" hidden="1">SOURCES!$C$3:$M$77</definedName>
    <definedName name="Z_C2565ED2_FB16_4AD9_AFF0_CED4C44F72DA_.wvu.PrintArea" localSheetId="12" hidden="1">'TAX CREDIT'!$C$3:$N$215</definedName>
    <definedName name="Z_C2565ED2_FB16_4AD9_AFF0_CED4C44F72DA_.wvu.PrintArea" localSheetId="9" hidden="1">USES!$D$2:$M$190</definedName>
    <definedName name="Z_C2565ED2_FB16_4AD9_AFF0_CED4C44F72DA_.wvu.PrintTitles" localSheetId="15" hidden="1">'PRO FORMA'!$C:$D,'PRO FORMA'!$3:$3</definedName>
    <definedName name="Z_C39AB591_3723_49A0_B177_B840906E8341_.wvu.PrintArea" localSheetId="4" hidden="1">BUILDING!$C$3:$P$111</definedName>
    <definedName name="Z_C39AB591_3723_49A0_B177_B840906E8341_.wvu.PrintArea" localSheetId="6" hidden="1">'DEV TEAM'!$C$2:$J$346</definedName>
    <definedName name="Z_C39AB591_3723_49A0_B177_B840906E8341_.wvu.PrintArea" localSheetId="15" hidden="1">'PRO FORMA'!$C$3:$X$67</definedName>
    <definedName name="Z_C39AB591_3723_49A0_B177_B840906E8341_.wvu.PrintArea" localSheetId="8" hidden="1">SOURCES!$C$3:$M$77</definedName>
    <definedName name="Z_C39AB591_3723_49A0_B177_B840906E8341_.wvu.PrintArea" localSheetId="12" hidden="1">'TAX CREDIT'!$C$3:$N$215</definedName>
    <definedName name="Z_C39AB591_3723_49A0_B177_B840906E8341_.wvu.PrintArea" localSheetId="9" hidden="1">USES!$D$2:$M$190</definedName>
    <definedName name="Z_C39AB591_3723_49A0_B177_B840906E8341_.wvu.PrintTitles" localSheetId="15" hidden="1">'PRO FORMA'!$C:$D,'PRO FORMA'!$3:$3</definedName>
    <definedName name="Z_C6533090_8A80_47A4_9BC4_E66215F4127C_.wvu.PrintArea" localSheetId="4" hidden="1">BUILDING!$C$3:$P$111</definedName>
    <definedName name="Z_C6533090_8A80_47A4_9BC4_E66215F4127C_.wvu.PrintArea" localSheetId="6" hidden="1">'DEV TEAM'!$C$2:$J$346</definedName>
    <definedName name="Z_C6533090_8A80_47A4_9BC4_E66215F4127C_.wvu.PrintArea" localSheetId="15" hidden="1">'PRO FORMA'!$C$3:$X$67</definedName>
    <definedName name="Z_C6533090_8A80_47A4_9BC4_E66215F4127C_.wvu.PrintArea" localSheetId="8" hidden="1">SOURCES!$C$3:$M$77</definedName>
    <definedName name="Z_C6533090_8A80_47A4_9BC4_E66215F4127C_.wvu.PrintArea" localSheetId="12" hidden="1">'TAX CREDIT'!$C$3:$N$215</definedName>
    <definedName name="Z_C6533090_8A80_47A4_9BC4_E66215F4127C_.wvu.PrintArea" localSheetId="9" hidden="1">USES!$D$2:$M$190</definedName>
    <definedName name="Z_C6533090_8A80_47A4_9BC4_E66215F4127C_.wvu.PrintTitles" localSheetId="15" hidden="1">'PRO FORMA'!$C:$D,'PRO FORMA'!$3:$3</definedName>
    <definedName name="Z_DC289960_5C22_11D6_B699_00010261CDBB_.wvu.PrintTitles" localSheetId="15" hidden="1">'PRO FORMA'!$C:$D</definedName>
    <definedName name="Z_E132EC1F_F891_4922_AB90_4FA7835D9B5A_.wvu.PrintArea" localSheetId="4" hidden="1">BUILDING!$C$3:$P$111</definedName>
    <definedName name="Z_E132EC1F_F891_4922_AB90_4FA7835D9B5A_.wvu.PrintArea" localSheetId="6" hidden="1">'DEV TEAM'!$C$2:$J$346</definedName>
    <definedName name="Z_E132EC1F_F891_4922_AB90_4FA7835D9B5A_.wvu.PrintArea" localSheetId="15" hidden="1">'PRO FORMA'!$C$3:$X$67</definedName>
    <definedName name="Z_E132EC1F_F891_4922_AB90_4FA7835D9B5A_.wvu.PrintArea" localSheetId="8" hidden="1">SOURCES!$C$3:$M$77</definedName>
    <definedName name="Z_E132EC1F_F891_4922_AB90_4FA7835D9B5A_.wvu.PrintArea" localSheetId="12" hidden="1">'TAX CREDIT'!$C$3:$N$215</definedName>
    <definedName name="Z_E132EC1F_F891_4922_AB90_4FA7835D9B5A_.wvu.PrintArea" localSheetId="9" hidden="1">USES!$D$2:$M$190</definedName>
    <definedName name="Z_E132EC1F_F891_4922_AB90_4FA7835D9B5A_.wvu.PrintTitles" localSheetId="15" hidden="1">'PRO FORMA'!$C:$D,'PRO FORMA'!$3:$3</definedName>
  </definedNames>
  <calcPr calcId="191029" iterate="1"/>
  <customWorkbookViews>
    <customWorkbookView name="Caty Waterman - Personal View" guid="{76F395A0-B7E9-4489-8589-E8786779257B}" mergeInterval="0" personalView="1" maximized="1" windowWidth="1423" windowHeight="558" tabRatio="660" activeSheetId="1"/>
    <customWorkbookView name="Robinson, Kristen - Personal View" guid="{C39AB591-3723-49A0-B177-B840906E8341}" mergeInterval="0" personalView="1" maximized="1" windowWidth="1276" windowHeight="571" tabRatio="869" activeSheetId="1"/>
    <customWorkbookView name="Cook, Turia M. - Personal View" guid="{E132EC1F-F891-4922-AB90-4FA7835D9B5A}" mergeInterval="0" personalView="1" maximized="1" windowWidth="592" windowHeight="167" tabRatio="869" activeSheetId="1"/>
    <customWorkbookView name="RentalHousing - Personal View" guid="{602BBDD0-2A0B-434E-AE8E-4C472F9AEC01}" mergeInterval="0" personalView="1" maximized="1" windowWidth="1020" windowHeight="549" tabRatio="869" activeSheetId="1"/>
    <customWorkbookView name="maneval - Personal View" guid="{C2565ED2-FB16-4AD9-AFF0-CED4C44F72DA}" mergeInterval="0" personalView="1" maximized="1" windowWidth="1020" windowHeight="565" tabRatio="869" activeSheetId="1"/>
    <customWorkbookView name="cohen - Personal View" guid="{0A080B76-CAC1-49D6-A14B-9DA724D07E2A}" mergeInterval="0" personalView="1" maximized="1" windowWidth="1020" windowHeight="579" tabRatio="869" activeSheetId="2"/>
    <customWorkbookView name="Barry Deemer - Personal View" guid="{DC289960-5C22-11D6-B699-00010261CDBB}" mergeInterval="0" personalView="1" maximized="1" windowWidth="796" windowHeight="413" tabRatio="929" activeSheetId="2"/>
    <customWorkbookView name="Mickel R. Farmer - Personal View" guid="{714B32FB-A92F-4F7C-8495-8C3BCEB888AE}" mergeInterval="0" personalView="1" maximized="1" windowWidth="994" windowHeight="605" tabRatio="869" activeSheetId="9" showComments="commIndAndComment"/>
    <customWorkbookView name="Coleman - Personal View" guid="{A1879216-4226-4AD8-8303-3842A38BCF1B}" mergeInterval="0" personalView="1" maximized="1" windowWidth="1020" windowHeight="544" tabRatio="869" activeSheetId="1"/>
    <customWorkbookView name="Roberts, Maia - Personal View" guid="{3B78583D-5B6A-4751-8EF2-A2270A01FB56}" mergeInterval="0" personalView="1" maximized="1" windowWidth="1020" windowHeight="515" tabRatio="869" activeSheetId="5"/>
    <customWorkbookView name="Cohen, Andrew B. - Personal View" guid="{9A1BF858-0700-49AF-A308-5283E02DA063}" mergeInterval="0" personalView="1" maximized="1" windowWidth="1020" windowHeight="555" tabRatio="869" activeSheetId="3"/>
    <customWorkbookView name="Talios, Diana - Personal View" guid="{C6533090-8A80-47A4-9BC4-E66215F4127C}" mergeInterval="0" personalView="1" maximized="1" windowWidth="982" windowHeight="506" tabRatio="869" activeSheetId="8"/>
    <customWorkbookView name="Cornick, Elaine - Personal View" guid="{3659D36C-86F8-45BE-8B0F-DC260D021512}" mergeInterval="0" personalView="1" maximized="1" windowWidth="796" windowHeight="377" tabRatio="869" activeSheetId="1"/>
    <customWorkbookView name="Robinson, Kristen J - Personal View" guid="{8142EFA3-2DB8-4FA0-90CC-65C61CCEFD62}" mergeInterval="0" personalView="1" maximized="1" windowWidth="1600" windowHeight="675" tabRatio="86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4" i="6" l="1"/>
  <c r="F41" i="29"/>
  <c r="F42" i="29"/>
  <c r="F43" i="29"/>
  <c r="F44" i="29"/>
  <c r="F45" i="29"/>
  <c r="F46" i="29"/>
  <c r="F47" i="29"/>
  <c r="F48" i="29"/>
  <c r="F49" i="29"/>
  <c r="F50" i="29"/>
  <c r="F51" i="29"/>
  <c r="F52" i="29"/>
  <c r="F53" i="29"/>
  <c r="F54" i="29"/>
  <c r="F55" i="29"/>
  <c r="F56" i="29"/>
  <c r="F40" i="29"/>
  <c r="F18" i="29"/>
  <c r="F19" i="29"/>
  <c r="F20" i="29"/>
  <c r="F21" i="29"/>
  <c r="F22" i="29"/>
  <c r="F23" i="29"/>
  <c r="F24" i="29"/>
  <c r="F25" i="29"/>
  <c r="F26" i="29"/>
  <c r="F27" i="29"/>
  <c r="F28" i="29"/>
  <c r="F29" i="29"/>
  <c r="F30" i="29"/>
  <c r="F31" i="29"/>
  <c r="F32" i="29"/>
  <c r="F33" i="29"/>
  <c r="F34" i="29"/>
  <c r="F35" i="29"/>
  <c r="F36" i="29"/>
  <c r="F37" i="29"/>
  <c r="F38" i="29"/>
  <c r="F39" i="29"/>
  <c r="F17" i="29"/>
  <c r="F9" i="29"/>
  <c r="F10" i="29"/>
  <c r="F11" i="29"/>
  <c r="F12" i="29"/>
  <c r="F13" i="29"/>
  <c r="F14" i="29"/>
  <c r="F15" i="29"/>
  <c r="F16" i="29"/>
  <c r="F8" i="29"/>
  <c r="F25" i="9"/>
  <c r="G9" i="9"/>
  <c r="F13" i="19"/>
  <c r="F13" i="6"/>
  <c r="L13" i="3"/>
  <c r="L11" i="3"/>
  <c r="J77" i="3"/>
  <c r="I77" i="3"/>
  <c r="F615" i="24"/>
  <c r="F610" i="24"/>
  <c r="F609" i="24"/>
  <c r="F606" i="24"/>
  <c r="F605" i="24"/>
  <c r="F604" i="24"/>
  <c r="F603" i="24"/>
  <c r="F598" i="24"/>
  <c r="F597" i="24"/>
  <c r="F594" i="24"/>
  <c r="F593" i="24"/>
  <c r="F592" i="24"/>
  <c r="F591" i="24"/>
  <c r="F586" i="24"/>
  <c r="F585" i="24"/>
  <c r="F582" i="24"/>
  <c r="F581" i="24"/>
  <c r="F580" i="24"/>
  <c r="F579" i="24"/>
  <c r="F574" i="24"/>
  <c r="F570" i="24"/>
  <c r="F569" i="24"/>
  <c r="F568" i="24"/>
  <c r="H48" i="8"/>
  <c r="H46" i="8"/>
  <c r="H47" i="8"/>
  <c r="H49" i="8"/>
  <c r="H50" i="8"/>
  <c r="H51" i="8"/>
  <c r="H52" i="8"/>
  <c r="H53" i="8"/>
  <c r="H54" i="8"/>
  <c r="H55" i="8"/>
  <c r="H56" i="8"/>
  <c r="H45" i="8"/>
  <c r="E12" i="8"/>
  <c r="I194" i="1"/>
  <c r="K45" i="8"/>
  <c r="F44" i="20"/>
  <c r="G47" i="20"/>
  <c r="C146" i="29"/>
  <c r="G60" i="29"/>
  <c r="K10" i="5"/>
  <c r="L10" i="5"/>
  <c r="G13" i="14"/>
  <c r="F18" i="1"/>
  <c r="G27" i="8" s="1"/>
  <c r="D32" i="1"/>
  <c r="F32" i="1"/>
  <c r="E12" i="16"/>
  <c r="F12" i="16"/>
  <c r="G12" i="16"/>
  <c r="G18" i="16"/>
  <c r="G13" i="10"/>
  <c r="E144" i="7"/>
  <c r="J117" i="7"/>
  <c r="J196" i="7"/>
  <c r="J176" i="7"/>
  <c r="J96" i="10"/>
  <c r="J95" i="10"/>
  <c r="J93" i="10"/>
  <c r="J92" i="10"/>
  <c r="I11" i="5"/>
  <c r="I77" i="5"/>
  <c r="L46" i="8"/>
  <c r="L47" i="8"/>
  <c r="L48" i="8"/>
  <c r="L49" i="8"/>
  <c r="L50" i="8"/>
  <c r="L51" i="8"/>
  <c r="L52" i="8"/>
  <c r="L53" i="8"/>
  <c r="L54" i="8"/>
  <c r="L55" i="8"/>
  <c r="L56" i="8"/>
  <c r="L45" i="8"/>
  <c r="K51" i="8"/>
  <c r="K56" i="8"/>
  <c r="K47" i="8"/>
  <c r="K48" i="8"/>
  <c r="K49" i="8"/>
  <c r="K50" i="8"/>
  <c r="K52" i="8"/>
  <c r="K53" i="8"/>
  <c r="K54" i="8"/>
  <c r="K55" i="8"/>
  <c r="K46" i="8"/>
  <c r="K137" i="8"/>
  <c r="K138" i="8"/>
  <c r="K139" i="8"/>
  <c r="K140" i="8"/>
  <c r="K141" i="8"/>
  <c r="K142" i="8"/>
  <c r="K143" i="8"/>
  <c r="K144" i="8"/>
  <c r="K145" i="8"/>
  <c r="D138" i="8"/>
  <c r="D139" i="8"/>
  <c r="D140" i="8"/>
  <c r="D141" i="8"/>
  <c r="D142" i="8"/>
  <c r="D143" i="8"/>
  <c r="D144" i="8"/>
  <c r="D145" i="8"/>
  <c r="D136" i="8"/>
  <c r="D137" i="8"/>
  <c r="C136" i="8"/>
  <c r="C137" i="8"/>
  <c r="I199" i="1"/>
  <c r="C11" i="5"/>
  <c r="Y595" i="24"/>
  <c r="M646" i="24"/>
  <c r="J616" i="24"/>
  <c r="Y612" i="24"/>
  <c r="Y586" i="24"/>
  <c r="Y593" i="24"/>
  <c r="M541" i="24"/>
  <c r="Y592" i="24"/>
  <c r="Y594" i="24"/>
  <c r="Y596" i="24"/>
  <c r="Y597" i="24"/>
  <c r="Y598" i="24"/>
  <c r="Y599" i="24"/>
  <c r="Y600" i="24"/>
  <c r="Y601" i="24"/>
  <c r="Y602" i="24"/>
  <c r="Y603" i="24"/>
  <c r="Y604" i="24"/>
  <c r="Y605" i="24"/>
  <c r="Y606" i="24"/>
  <c r="Y607" i="24"/>
  <c r="Y608" i="24"/>
  <c r="Y609" i="24"/>
  <c r="Y610" i="24"/>
  <c r="Y611" i="24"/>
  <c r="Y613" i="24"/>
  <c r="Y614" i="24"/>
  <c r="Y615" i="24"/>
  <c r="Y579" i="24"/>
  <c r="Y580" i="24"/>
  <c r="Y581" i="24"/>
  <c r="Y582" i="24"/>
  <c r="Y583" i="24"/>
  <c r="Y584" i="24"/>
  <c r="Y585" i="24"/>
  <c r="Y587" i="24"/>
  <c r="Y588" i="24"/>
  <c r="Y589" i="24"/>
  <c r="Y590" i="24"/>
  <c r="Y591" i="24"/>
  <c r="Y573" i="24"/>
  <c r="Y542" i="24"/>
  <c r="Y543" i="24"/>
  <c r="Y544" i="24"/>
  <c r="M581" i="24"/>
  <c r="M582" i="24"/>
  <c r="M583" i="24"/>
  <c r="M584" i="24"/>
  <c r="M585" i="24"/>
  <c r="M529" i="24"/>
  <c r="M589" i="24"/>
  <c r="M588" i="24"/>
  <c r="M587" i="24"/>
  <c r="M586" i="24"/>
  <c r="M575" i="24"/>
  <c r="J635" i="24"/>
  <c r="J631" i="24"/>
  <c r="J618" i="24"/>
  <c r="J617" i="24"/>
  <c r="F573" i="24"/>
  <c r="D617" i="24"/>
  <c r="D618" i="24"/>
  <c r="D619" i="24"/>
  <c r="D616" i="24"/>
  <c r="D612" i="24"/>
  <c r="E612" i="24"/>
  <c r="F612" i="24"/>
  <c r="D613" i="24"/>
  <c r="E613" i="24"/>
  <c r="F613" i="24"/>
  <c r="D614" i="24"/>
  <c r="E614" i="24"/>
  <c r="F614" i="24"/>
  <c r="D615" i="24"/>
  <c r="E615" i="24"/>
  <c r="M614" i="24"/>
  <c r="M613" i="24"/>
  <c r="M612" i="24"/>
  <c r="E569" i="24"/>
  <c r="E570" i="24"/>
  <c r="E571" i="24"/>
  <c r="F571" i="24"/>
  <c r="E572" i="24"/>
  <c r="F572" i="24"/>
  <c r="E573" i="24"/>
  <c r="E574" i="24"/>
  <c r="E575" i="24"/>
  <c r="F575" i="24"/>
  <c r="E576" i="24"/>
  <c r="F576" i="24"/>
  <c r="E577" i="24"/>
  <c r="F577" i="24"/>
  <c r="E578" i="24"/>
  <c r="F578" i="24"/>
  <c r="E579" i="24"/>
  <c r="E580" i="24"/>
  <c r="E581" i="24"/>
  <c r="E582" i="24"/>
  <c r="E583" i="24"/>
  <c r="F583" i="24"/>
  <c r="E584" i="24"/>
  <c r="F584" i="24"/>
  <c r="E585" i="24"/>
  <c r="E586" i="24"/>
  <c r="E587" i="24"/>
  <c r="F587" i="24"/>
  <c r="E588" i="24"/>
  <c r="F588" i="24"/>
  <c r="E589" i="24"/>
  <c r="F589" i="24"/>
  <c r="E590" i="24"/>
  <c r="F590" i="24"/>
  <c r="E591" i="24"/>
  <c r="E592" i="24"/>
  <c r="E593" i="24"/>
  <c r="E594" i="24"/>
  <c r="E595" i="24"/>
  <c r="F595" i="24"/>
  <c r="E596" i="24"/>
  <c r="F596" i="24"/>
  <c r="E597" i="24"/>
  <c r="E598" i="24"/>
  <c r="E599" i="24"/>
  <c r="F599" i="24"/>
  <c r="E600" i="24"/>
  <c r="F600" i="24"/>
  <c r="E601" i="24"/>
  <c r="F601" i="24"/>
  <c r="E602" i="24"/>
  <c r="F602" i="24"/>
  <c r="E603" i="24"/>
  <c r="E604" i="24"/>
  <c r="E605" i="24"/>
  <c r="E606" i="24"/>
  <c r="E607" i="24"/>
  <c r="F607" i="24"/>
  <c r="E608" i="24"/>
  <c r="F608" i="24"/>
  <c r="E609" i="24"/>
  <c r="E610" i="24"/>
  <c r="E611" i="24"/>
  <c r="F611" i="24"/>
  <c r="E568" i="24"/>
  <c r="D611" i="24"/>
  <c r="D569" i="24"/>
  <c r="Z569" i="24" s="1"/>
  <c r="D570" i="24"/>
  <c r="D571" i="24"/>
  <c r="J571" i="24" s="1"/>
  <c r="D572" i="24"/>
  <c r="J572" i="24" s="1"/>
  <c r="D573" i="24"/>
  <c r="D574" i="24"/>
  <c r="D575" i="24"/>
  <c r="Z575" i="24" s="1"/>
  <c r="D576" i="24"/>
  <c r="D579" i="24"/>
  <c r="D580" i="24"/>
  <c r="D581" i="24"/>
  <c r="D582" i="24"/>
  <c r="D583" i="24"/>
  <c r="D584" i="24"/>
  <c r="D585" i="24"/>
  <c r="D586" i="24"/>
  <c r="D587" i="24"/>
  <c r="D588" i="24"/>
  <c r="D589" i="24"/>
  <c r="D590" i="24"/>
  <c r="D591" i="24"/>
  <c r="D592" i="24"/>
  <c r="D593" i="24"/>
  <c r="D594" i="24"/>
  <c r="D595" i="24"/>
  <c r="D596" i="24"/>
  <c r="D597" i="24"/>
  <c r="D598" i="24"/>
  <c r="D599" i="24"/>
  <c r="D600" i="24"/>
  <c r="D601" i="24"/>
  <c r="D602" i="24"/>
  <c r="D603" i="24"/>
  <c r="D604" i="24"/>
  <c r="D605" i="24"/>
  <c r="D606" i="24"/>
  <c r="D607" i="24"/>
  <c r="D608" i="24"/>
  <c r="D609" i="24"/>
  <c r="D610" i="24"/>
  <c r="D568" i="24"/>
  <c r="E544" i="24"/>
  <c r="E543" i="24"/>
  <c r="F543" i="24"/>
  <c r="F544" i="24"/>
  <c r="F542" i="24"/>
  <c r="E542" i="24"/>
  <c r="D542" i="24"/>
  <c r="Z542" i="24" s="1"/>
  <c r="D541" i="24"/>
  <c r="F529" i="24"/>
  <c r="E529" i="24"/>
  <c r="F27" i="1"/>
  <c r="J15" i="23"/>
  <c r="K161" i="5"/>
  <c r="G8" i="10"/>
  <c r="F32" i="10"/>
  <c r="G10" i="10"/>
  <c r="G16" i="10"/>
  <c r="C26" i="29"/>
  <c r="C27" i="29"/>
  <c r="C28" i="29"/>
  <c r="C29" i="29"/>
  <c r="C30" i="29"/>
  <c r="C31" i="29"/>
  <c r="C32" i="29"/>
  <c r="C33" i="29"/>
  <c r="C34" i="29"/>
  <c r="C35" i="29"/>
  <c r="C36" i="29"/>
  <c r="C37" i="29"/>
  <c r="C38" i="29"/>
  <c r="C39" i="29"/>
  <c r="C40" i="29"/>
  <c r="C41" i="29"/>
  <c r="C42" i="29"/>
  <c r="C43" i="29"/>
  <c r="C44" i="29"/>
  <c r="C45" i="29"/>
  <c r="C46" i="29"/>
  <c r="C47" i="29"/>
  <c r="C48" i="29"/>
  <c r="C49" i="29"/>
  <c r="C50" i="29"/>
  <c r="C51" i="29"/>
  <c r="C52" i="29"/>
  <c r="C53" i="29"/>
  <c r="C54" i="29"/>
  <c r="C55" i="29"/>
  <c r="C56" i="29"/>
  <c r="C57" i="29"/>
  <c r="B57" i="29"/>
  <c r="B56" i="29"/>
  <c r="B26" i="29"/>
  <c r="B27" i="29"/>
  <c r="B28" i="29"/>
  <c r="B29" i="29"/>
  <c r="B30" i="29"/>
  <c r="B31" i="29"/>
  <c r="B32" i="29"/>
  <c r="B33" i="29"/>
  <c r="B34" i="29"/>
  <c r="B35" i="29"/>
  <c r="B36" i="29"/>
  <c r="B37" i="29"/>
  <c r="B38" i="29"/>
  <c r="B39" i="29"/>
  <c r="B40" i="29"/>
  <c r="B41" i="29"/>
  <c r="B42" i="29"/>
  <c r="B43" i="29"/>
  <c r="B44" i="29"/>
  <c r="B45" i="29"/>
  <c r="B46" i="29"/>
  <c r="B47" i="29"/>
  <c r="B48" i="29"/>
  <c r="B49" i="29"/>
  <c r="B50" i="29"/>
  <c r="B51" i="29"/>
  <c r="B52" i="29"/>
  <c r="B53" i="29"/>
  <c r="B54" i="29"/>
  <c r="B55" i="29"/>
  <c r="J13" i="20"/>
  <c r="J15" i="20" s="1"/>
  <c r="D55" i="9"/>
  <c r="L147" i="5"/>
  <c r="K146" i="5"/>
  <c r="K147" i="5"/>
  <c r="I33" i="6"/>
  <c r="I32" i="6"/>
  <c r="I31" i="6"/>
  <c r="I30" i="6"/>
  <c r="I29" i="6"/>
  <c r="J19" i="8"/>
  <c r="J18" i="8"/>
  <c r="J17" i="8"/>
  <c r="E19" i="8"/>
  <c r="I62" i="8"/>
  <c r="J568" i="24" l="1"/>
  <c r="Z573" i="24"/>
  <c r="J573" i="24"/>
  <c r="Z576" i="24"/>
  <c r="J576" i="24"/>
  <c r="R568" i="24"/>
  <c r="R574" i="24"/>
  <c r="J574" i="24"/>
  <c r="J619" i="24"/>
  <c r="S568" i="24"/>
  <c r="S603" i="24"/>
  <c r="S578" i="24"/>
  <c r="S593" i="24"/>
  <c r="J586" i="24"/>
  <c r="R593" i="24"/>
  <c r="R597" i="24"/>
  <c r="J606" i="24"/>
  <c r="R603" i="24"/>
  <c r="Z541" i="24"/>
  <c r="R571" i="24"/>
  <c r="Z568" i="24"/>
  <c r="N568" i="24"/>
  <c r="M569" i="24"/>
  <c r="M544" i="24"/>
  <c r="M542" i="24"/>
  <c r="D526" i="24"/>
  <c r="N526" i="24" s="1"/>
  <c r="N580" i="24"/>
  <c r="M580" i="24"/>
  <c r="Y569" i="24"/>
  <c r="F541" i="24"/>
  <c r="D544" i="24"/>
  <c r="Z544" i="24" s="1"/>
  <c r="D529" i="24"/>
  <c r="D528" i="24"/>
  <c r="Y529" i="24"/>
  <c r="J528" i="24" l="1"/>
  <c r="Z529" i="24"/>
  <c r="N529" i="24"/>
  <c r="Z580" i="24"/>
  <c r="D60" i="24" l="1"/>
  <c r="N60" i="24" s="1"/>
  <c r="D53" i="24"/>
  <c r="E23" i="9"/>
  <c r="C6" i="26"/>
  <c r="P5" i="23"/>
  <c r="V4" i="21"/>
  <c r="G5" i="29"/>
  <c r="E20" i="8"/>
  <c r="E18" i="8"/>
  <c r="E17" i="8"/>
  <c r="J14" i="8"/>
  <c r="E14" i="8"/>
  <c r="E48" i="26" l="1"/>
  <c r="E17" i="26"/>
  <c r="E18" i="26"/>
  <c r="E19" i="26"/>
  <c r="E20" i="26"/>
  <c r="E21" i="26"/>
  <c r="E22" i="26"/>
  <c r="E23" i="26"/>
  <c r="E24" i="26"/>
  <c r="E25" i="26"/>
  <c r="E26" i="26"/>
  <c r="E27" i="26"/>
  <c r="E28" i="26"/>
  <c r="E29" i="26"/>
  <c r="E30" i="26"/>
  <c r="E31" i="26"/>
  <c r="E32" i="26"/>
  <c r="E33" i="26"/>
  <c r="E34" i="26"/>
  <c r="E35" i="26"/>
  <c r="E36" i="26"/>
  <c r="E37" i="26"/>
  <c r="E38" i="26"/>
  <c r="E39" i="26"/>
  <c r="E40" i="26"/>
  <c r="E41" i="26"/>
  <c r="E42" i="26"/>
  <c r="E43" i="26"/>
  <c r="E44" i="26"/>
  <c r="E45" i="26"/>
  <c r="E46" i="26"/>
  <c r="E47" i="26"/>
  <c r="E16" i="26"/>
  <c r="J126" i="5"/>
  <c r="J61" i="5"/>
  <c r="J22" i="5"/>
  <c r="J24" i="5" s="1"/>
  <c r="C40" i="26"/>
  <c r="C41" i="26"/>
  <c r="C42" i="26"/>
  <c r="C43" i="26"/>
  <c r="C44" i="26"/>
  <c r="C45" i="26"/>
  <c r="C46" i="26"/>
  <c r="C47" i="26"/>
  <c r="C48" i="26"/>
  <c r="C21" i="26"/>
  <c r="C22" i="26"/>
  <c r="C23" i="26"/>
  <c r="C24" i="26"/>
  <c r="C25" i="26"/>
  <c r="C26" i="26"/>
  <c r="C27" i="26"/>
  <c r="C28" i="26"/>
  <c r="C29" i="26"/>
  <c r="C30" i="26"/>
  <c r="C31" i="26"/>
  <c r="C32" i="26"/>
  <c r="C33" i="26"/>
  <c r="C34" i="26"/>
  <c r="C35" i="26"/>
  <c r="C36" i="26"/>
  <c r="C37" i="26"/>
  <c r="C38" i="26"/>
  <c r="C39" i="26"/>
  <c r="C20" i="26"/>
  <c r="O48" i="5"/>
  <c r="K48" i="5"/>
  <c r="L48" i="5"/>
  <c r="O46" i="5"/>
  <c r="K46" i="5"/>
  <c r="L46" i="5"/>
  <c r="K35" i="5"/>
  <c r="L35" i="5"/>
  <c r="K36" i="5"/>
  <c r="L36" i="5"/>
  <c r="L33" i="5"/>
  <c r="K33" i="5"/>
  <c r="I33" i="5"/>
  <c r="I32" i="5"/>
  <c r="O33" i="5"/>
  <c r="I13" i="5"/>
  <c r="D1060" i="24"/>
  <c r="I1060" i="24" s="1"/>
  <c r="D1059" i="24"/>
  <c r="I1059" i="24" s="1"/>
  <c r="D1058" i="24"/>
  <c r="I1058" i="24" s="1"/>
  <c r="E54" i="19"/>
  <c r="D815" i="24"/>
  <c r="D814" i="24"/>
  <c r="D813" i="24"/>
  <c r="D812" i="24"/>
  <c r="D811" i="24"/>
  <c r="D810" i="24"/>
  <c r="D809" i="24"/>
  <c r="D808" i="24"/>
  <c r="D807" i="24"/>
  <c r="D806" i="24"/>
  <c r="D805" i="24"/>
  <c r="D804" i="24"/>
  <c r="D803" i="24"/>
  <c r="D802" i="24"/>
  <c r="D801" i="24"/>
  <c r="D800" i="24"/>
  <c r="D794" i="24"/>
  <c r="D791" i="24"/>
  <c r="D790" i="24"/>
  <c r="D789" i="24"/>
  <c r="D788" i="24"/>
  <c r="D787" i="24"/>
  <c r="D786" i="24"/>
  <c r="D785" i="24"/>
  <c r="D784" i="24"/>
  <c r="D783" i="24"/>
  <c r="D782" i="24"/>
  <c r="D781" i="24"/>
  <c r="D780" i="24"/>
  <c r="D779" i="24"/>
  <c r="D778" i="24"/>
  <c r="D777" i="24"/>
  <c r="D776" i="24"/>
  <c r="D775" i="24"/>
  <c r="D774" i="24"/>
  <c r="D773" i="24"/>
  <c r="D772" i="24"/>
  <c r="D771" i="24"/>
  <c r="D770" i="24"/>
  <c r="D769" i="24"/>
  <c r="D768" i="24"/>
  <c r="C38" i="9" l="1"/>
  <c r="C39" i="9"/>
  <c r="C40" i="9"/>
  <c r="C41" i="9"/>
  <c r="C42" i="9"/>
  <c r="C43" i="9"/>
  <c r="C44" i="9"/>
  <c r="C45" i="9"/>
  <c r="I14" i="6"/>
  <c r="E39" i="9" s="1"/>
  <c r="F39" i="9" s="1"/>
  <c r="G39" i="9" s="1"/>
  <c r="H39" i="9" s="1"/>
  <c r="I39" i="9" s="1"/>
  <c r="J39" i="9" s="1"/>
  <c r="K39" i="9" s="1"/>
  <c r="L39" i="9" s="1"/>
  <c r="M39" i="9" s="1"/>
  <c r="N39" i="9" s="1"/>
  <c r="O39" i="9" s="1"/>
  <c r="P39" i="9" s="1"/>
  <c r="Q39" i="9" s="1"/>
  <c r="R39" i="9" s="1"/>
  <c r="S39" i="9" s="1"/>
  <c r="T39" i="9" s="1"/>
  <c r="U39" i="9" s="1"/>
  <c r="V39" i="9" s="1"/>
  <c r="W39" i="9" s="1"/>
  <c r="X39" i="9" s="1"/>
  <c r="P23" i="6"/>
  <c r="I13" i="6"/>
  <c r="E38" i="9" s="1"/>
  <c r="F38" i="9" s="1"/>
  <c r="G38" i="9" s="1"/>
  <c r="H38" i="9" s="1"/>
  <c r="I38" i="9" s="1"/>
  <c r="J38" i="9" s="1"/>
  <c r="K38" i="9" s="1"/>
  <c r="L38" i="9" s="1"/>
  <c r="M38" i="9" s="1"/>
  <c r="N38" i="9" s="1"/>
  <c r="O38" i="9" s="1"/>
  <c r="P38" i="9" s="1"/>
  <c r="Q38" i="9" s="1"/>
  <c r="R38" i="9" s="1"/>
  <c r="S38" i="9" s="1"/>
  <c r="T38" i="9" s="1"/>
  <c r="U38" i="9" s="1"/>
  <c r="V38" i="9" s="1"/>
  <c r="W38" i="9" s="1"/>
  <c r="X38" i="9" s="1"/>
  <c r="C99" i="29" l="1"/>
  <c r="C100" i="29"/>
  <c r="C101" i="29"/>
  <c r="C102" i="29"/>
  <c r="C103" i="29"/>
  <c r="C104" i="29"/>
  <c r="C105" i="29"/>
  <c r="C106" i="29"/>
  <c r="C107" i="29"/>
  <c r="B107" i="29"/>
  <c r="B103" i="29"/>
  <c r="B104" i="29"/>
  <c r="B105" i="29"/>
  <c r="B106" i="29"/>
  <c r="H228" i="7"/>
  <c r="G228" i="7"/>
  <c r="J193" i="7" s="1"/>
  <c r="G221" i="26"/>
  <c r="H221" i="26"/>
  <c r="I221" i="26"/>
  <c r="J221" i="26"/>
  <c r="K221" i="26"/>
  <c r="L221" i="26"/>
  <c r="M221" i="26"/>
  <c r="N221" i="26"/>
  <c r="O221" i="26"/>
  <c r="P221" i="26"/>
  <c r="Q221" i="26"/>
  <c r="R221" i="26"/>
  <c r="S221" i="26"/>
  <c r="T221" i="26"/>
  <c r="U221" i="26"/>
  <c r="V221" i="26"/>
  <c r="W221" i="26"/>
  <c r="X221" i="26"/>
  <c r="Y221" i="26"/>
  <c r="Z221" i="26"/>
  <c r="AA221" i="26"/>
  <c r="AB221" i="26"/>
  <c r="AC221" i="26"/>
  <c r="AD221" i="26"/>
  <c r="AE221" i="26"/>
  <c r="AF221" i="26"/>
  <c r="AG221" i="26"/>
  <c r="AH221" i="26"/>
  <c r="AI221" i="26"/>
  <c r="AJ221" i="26"/>
  <c r="AK221" i="26"/>
  <c r="AL221" i="26"/>
  <c r="AM221" i="26"/>
  <c r="AN221" i="26"/>
  <c r="AO221" i="26"/>
  <c r="AP221" i="26"/>
  <c r="AQ221" i="26"/>
  <c r="AR221" i="26"/>
  <c r="AS221" i="26"/>
  <c r="AT221" i="26"/>
  <c r="AU221" i="26"/>
  <c r="AV221" i="26"/>
  <c r="AW221" i="26"/>
  <c r="AX221" i="26"/>
  <c r="AY221" i="26"/>
  <c r="AZ221" i="26"/>
  <c r="BA221" i="26"/>
  <c r="BB221" i="26"/>
  <c r="F221" i="26"/>
  <c r="F166" i="26"/>
  <c r="F168" i="26" s="1"/>
  <c r="F162" i="26"/>
  <c r="BC14" i="26"/>
  <c r="BC15" i="26"/>
  <c r="BD15" i="26" s="1"/>
  <c r="BC16" i="26"/>
  <c r="BC17" i="26"/>
  <c r="BC18" i="26"/>
  <c r="BD18" i="26" s="1"/>
  <c r="BC19" i="26"/>
  <c r="BD19" i="26" s="1"/>
  <c r="BC20" i="26"/>
  <c r="BD20" i="26" s="1"/>
  <c r="BC21" i="26"/>
  <c r="BC22" i="26"/>
  <c r="BD22" i="26" s="1"/>
  <c r="BC23" i="26"/>
  <c r="BC24" i="26"/>
  <c r="BC25" i="26"/>
  <c r="BC26" i="26"/>
  <c r="BD26" i="26" s="1"/>
  <c r="BC27" i="26"/>
  <c r="BD27" i="26" s="1"/>
  <c r="BC28" i="26"/>
  <c r="BD28" i="26" s="1"/>
  <c r="BC29" i="26"/>
  <c r="BC30" i="26"/>
  <c r="BD30" i="26" s="1"/>
  <c r="BC31" i="26"/>
  <c r="BC32" i="26"/>
  <c r="BC33" i="26"/>
  <c r="BC34" i="26"/>
  <c r="BD34" i="26" s="1"/>
  <c r="BC35" i="26"/>
  <c r="BD35" i="26" s="1"/>
  <c r="BC39" i="26"/>
  <c r="BD39" i="26" s="1"/>
  <c r="BC40" i="26"/>
  <c r="BC41" i="26"/>
  <c r="BD41" i="26" s="1"/>
  <c r="BC42" i="26"/>
  <c r="BC43" i="26"/>
  <c r="BC44" i="26"/>
  <c r="BC45" i="26"/>
  <c r="BD45" i="26" s="1"/>
  <c r="BC46" i="26"/>
  <c r="BD46" i="26" s="1"/>
  <c r="BC47" i="26"/>
  <c r="BD47" i="26" s="1"/>
  <c r="BC48" i="26"/>
  <c r="BC49" i="26"/>
  <c r="BD49" i="26" s="1"/>
  <c r="BC50" i="26"/>
  <c r="BC51" i="26"/>
  <c r="BC52" i="26"/>
  <c r="BC53" i="26"/>
  <c r="BC54" i="26"/>
  <c r="BC55" i="26"/>
  <c r="BC56" i="26"/>
  <c r="BC57" i="26"/>
  <c r="BC58" i="26"/>
  <c r="BC59" i="26"/>
  <c r="BC60" i="26"/>
  <c r="BC61" i="26"/>
  <c r="BC62" i="26"/>
  <c r="BC63" i="26"/>
  <c r="BC64" i="26"/>
  <c r="BC65" i="26"/>
  <c r="BC66" i="26"/>
  <c r="BC67" i="26"/>
  <c r="BC68" i="26"/>
  <c r="BC69" i="26"/>
  <c r="BC70" i="26"/>
  <c r="BC71" i="26"/>
  <c r="BC72" i="26"/>
  <c r="BC73" i="26"/>
  <c r="BC74" i="26"/>
  <c r="BC75" i="26"/>
  <c r="BC76" i="26"/>
  <c r="BC77" i="26"/>
  <c r="BC78" i="26"/>
  <c r="BC79" i="26"/>
  <c r="BC80" i="26"/>
  <c r="BC81" i="26"/>
  <c r="BC82" i="26"/>
  <c r="BC83" i="26"/>
  <c r="BC84" i="26"/>
  <c r="BC85" i="26"/>
  <c r="BC86" i="26"/>
  <c r="BC87" i="26"/>
  <c r="BC88" i="26"/>
  <c r="BC89" i="26"/>
  <c r="BC90" i="26"/>
  <c r="BC91" i="26"/>
  <c r="BC92" i="26"/>
  <c r="BC93" i="26"/>
  <c r="BC94" i="26"/>
  <c r="BC95" i="26"/>
  <c r="BC96" i="26"/>
  <c r="BC97" i="26"/>
  <c r="BC98" i="26"/>
  <c r="BD98" i="26" s="1"/>
  <c r="BC99" i="26"/>
  <c r="BC100" i="26"/>
  <c r="BC101" i="26"/>
  <c r="BC102" i="26"/>
  <c r="BC103" i="26"/>
  <c r="BC104" i="26"/>
  <c r="BC105" i="26"/>
  <c r="BC106" i="26"/>
  <c r="BC107" i="26"/>
  <c r="BD107" i="26" s="1"/>
  <c r="BC108" i="26"/>
  <c r="BC109" i="26"/>
  <c r="BC110" i="26"/>
  <c r="BD110" i="26" s="1"/>
  <c r="BC111" i="26"/>
  <c r="BC112" i="26"/>
  <c r="BC113" i="26"/>
  <c r="BC114" i="26"/>
  <c r="BC115" i="26"/>
  <c r="BC116" i="26"/>
  <c r="BC117" i="26"/>
  <c r="BC118" i="26"/>
  <c r="BC119" i="26"/>
  <c r="BC120" i="26"/>
  <c r="BC121" i="26"/>
  <c r="BC122" i="26"/>
  <c r="BD122" i="26" s="1"/>
  <c r="BC123" i="26"/>
  <c r="BC124" i="26"/>
  <c r="BC125" i="26"/>
  <c r="BC126" i="26"/>
  <c r="BC127" i="26"/>
  <c r="BC128" i="26"/>
  <c r="BC129" i="26"/>
  <c r="BC130" i="26"/>
  <c r="BC131" i="26"/>
  <c r="G132" i="26"/>
  <c r="H132" i="26"/>
  <c r="I132" i="26"/>
  <c r="J132" i="26"/>
  <c r="K132" i="26"/>
  <c r="L132" i="26"/>
  <c r="M132" i="26"/>
  <c r="N132" i="26"/>
  <c r="O132" i="26"/>
  <c r="P132" i="26"/>
  <c r="Q132" i="26"/>
  <c r="R132" i="26"/>
  <c r="S132" i="26"/>
  <c r="T132" i="26"/>
  <c r="U132" i="26"/>
  <c r="V132" i="26"/>
  <c r="W132" i="26"/>
  <c r="X132" i="26"/>
  <c r="Y132" i="26"/>
  <c r="Z132" i="26"/>
  <c r="AA132" i="26"/>
  <c r="AB132" i="26"/>
  <c r="AC132" i="26"/>
  <c r="AD132" i="26"/>
  <c r="AE132" i="26"/>
  <c r="AF132" i="26"/>
  <c r="AG132" i="26"/>
  <c r="AH132" i="26"/>
  <c r="AI132" i="26"/>
  <c r="AJ132" i="26"/>
  <c r="AK132" i="26"/>
  <c r="AL132" i="26"/>
  <c r="AM132" i="26"/>
  <c r="AN132" i="26"/>
  <c r="AO132" i="26"/>
  <c r="AP132" i="26"/>
  <c r="AQ132" i="26"/>
  <c r="AR132" i="26"/>
  <c r="AS132" i="26"/>
  <c r="AT132" i="26"/>
  <c r="AU132" i="26"/>
  <c r="AV132" i="26"/>
  <c r="AW132" i="26"/>
  <c r="AX132" i="26"/>
  <c r="AY132" i="26"/>
  <c r="AZ132" i="26"/>
  <c r="BA132" i="26"/>
  <c r="BB132" i="26"/>
  <c r="F132" i="26"/>
  <c r="C97" i="26"/>
  <c r="E97" i="26"/>
  <c r="C51" i="26"/>
  <c r="E51" i="26"/>
  <c r="C52" i="26"/>
  <c r="E52" i="26"/>
  <c r="C53" i="26"/>
  <c r="E53" i="26"/>
  <c r="C54" i="26"/>
  <c r="E54" i="26"/>
  <c r="C55" i="26"/>
  <c r="E55" i="26"/>
  <c r="C56" i="26"/>
  <c r="E56" i="26"/>
  <c r="BD56" i="26" s="1"/>
  <c r="C57" i="26"/>
  <c r="E57" i="26"/>
  <c r="C58" i="26"/>
  <c r="E58" i="26"/>
  <c r="C59" i="26"/>
  <c r="C60" i="26"/>
  <c r="C61" i="26"/>
  <c r="E61" i="26"/>
  <c r="C62" i="26"/>
  <c r="E62" i="26"/>
  <c r="C63" i="26"/>
  <c r="E63" i="26"/>
  <c r="C64" i="26"/>
  <c r="E64" i="26"/>
  <c r="C65" i="26"/>
  <c r="E65" i="26"/>
  <c r="C66" i="26"/>
  <c r="E66" i="26"/>
  <c r="C67" i="26"/>
  <c r="E67" i="26"/>
  <c r="C68" i="26"/>
  <c r="E68" i="26"/>
  <c r="C69" i="26"/>
  <c r="E69" i="26"/>
  <c r="C70" i="26"/>
  <c r="E70" i="26"/>
  <c r="C71" i="26"/>
  <c r="E71" i="26"/>
  <c r="C72" i="26"/>
  <c r="E72" i="26"/>
  <c r="C73" i="26"/>
  <c r="E73" i="26"/>
  <c r="C74" i="26"/>
  <c r="E74" i="26"/>
  <c r="C75" i="26"/>
  <c r="E75" i="26"/>
  <c r="C76" i="26"/>
  <c r="E76" i="26"/>
  <c r="C77" i="26"/>
  <c r="E77" i="26"/>
  <c r="C78" i="26"/>
  <c r="E78" i="26"/>
  <c r="C79" i="26"/>
  <c r="E79" i="26"/>
  <c r="C80" i="26"/>
  <c r="E80" i="26"/>
  <c r="C81" i="26"/>
  <c r="E81" i="26"/>
  <c r="C82" i="26"/>
  <c r="E82" i="26"/>
  <c r="C83" i="26"/>
  <c r="E83" i="26"/>
  <c r="C84" i="26"/>
  <c r="E84" i="26"/>
  <c r="C85" i="26"/>
  <c r="E85" i="26"/>
  <c r="C86" i="26"/>
  <c r="E86" i="26"/>
  <c r="C87" i="26"/>
  <c r="E87" i="26"/>
  <c r="C88" i="26"/>
  <c r="E88" i="26"/>
  <c r="C89" i="26"/>
  <c r="E89" i="26"/>
  <c r="C90" i="26"/>
  <c r="E90" i="26"/>
  <c r="C91" i="26"/>
  <c r="E91" i="26"/>
  <c r="C92" i="26"/>
  <c r="E92" i="26"/>
  <c r="C93" i="26"/>
  <c r="E93" i="26"/>
  <c r="C94" i="26"/>
  <c r="E94" i="26"/>
  <c r="C95" i="26"/>
  <c r="E95" i="26"/>
  <c r="C96" i="26"/>
  <c r="E96" i="26"/>
  <c r="O108" i="5"/>
  <c r="O109" i="5"/>
  <c r="O110" i="5"/>
  <c r="O111" i="5"/>
  <c r="O160" i="5"/>
  <c r="O161" i="5"/>
  <c r="O159" i="5"/>
  <c r="K119" i="5"/>
  <c r="L119" i="5"/>
  <c r="K120" i="5"/>
  <c r="L120" i="5"/>
  <c r="K121" i="5"/>
  <c r="L121" i="5"/>
  <c r="K122" i="5"/>
  <c r="L122" i="5"/>
  <c r="K123" i="5"/>
  <c r="L123" i="5"/>
  <c r="K124" i="5"/>
  <c r="L124" i="5"/>
  <c r="K125" i="5"/>
  <c r="L125" i="5"/>
  <c r="K111" i="5"/>
  <c r="K110" i="5"/>
  <c r="L118" i="5"/>
  <c r="K118" i="5"/>
  <c r="O106" i="5"/>
  <c r="O103" i="5"/>
  <c r="O98" i="5"/>
  <c r="O95" i="5"/>
  <c r="O90" i="5"/>
  <c r="O87" i="5"/>
  <c r="O82" i="5"/>
  <c r="O79" i="5"/>
  <c r="O72" i="5"/>
  <c r="O67" i="5"/>
  <c r="K108" i="5"/>
  <c r="L108" i="5"/>
  <c r="K109" i="5"/>
  <c r="L109" i="5"/>
  <c r="L110" i="5"/>
  <c r="L111" i="5"/>
  <c r="I74" i="8"/>
  <c r="I75" i="8"/>
  <c r="I76" i="8"/>
  <c r="I77" i="8"/>
  <c r="I78" i="8"/>
  <c r="I79" i="8"/>
  <c r="I72" i="8"/>
  <c r="I64" i="8"/>
  <c r="I63" i="8"/>
  <c r="I61" i="8"/>
  <c r="J74" i="8"/>
  <c r="J75" i="8"/>
  <c r="J76" i="8"/>
  <c r="J77" i="8"/>
  <c r="J78" i="8"/>
  <c r="J79" i="8"/>
  <c r="J72" i="8"/>
  <c r="J62" i="8"/>
  <c r="J63" i="8"/>
  <c r="J64" i="8"/>
  <c r="J61" i="8"/>
  <c r="I103" i="1"/>
  <c r="D59" i="24" s="1"/>
  <c r="N59" i="24" s="1"/>
  <c r="E207" i="26"/>
  <c r="E208" i="26"/>
  <c r="E209" i="26"/>
  <c r="E210" i="26"/>
  <c r="E211" i="26"/>
  <c r="E212" i="26"/>
  <c r="E213" i="26"/>
  <c r="E214" i="26"/>
  <c r="E215" i="26"/>
  <c r="E216" i="26"/>
  <c r="E217" i="26"/>
  <c r="E218" i="26"/>
  <c r="E219" i="26"/>
  <c r="E220" i="26"/>
  <c r="E182" i="26"/>
  <c r="E183" i="26"/>
  <c r="E184" i="26"/>
  <c r="E185" i="26"/>
  <c r="E186" i="26"/>
  <c r="E187" i="26"/>
  <c r="E188" i="26"/>
  <c r="E189" i="26"/>
  <c r="E190" i="26"/>
  <c r="E191" i="26"/>
  <c r="E192" i="26"/>
  <c r="E193" i="26"/>
  <c r="E194" i="26"/>
  <c r="E195" i="26"/>
  <c r="E196" i="26"/>
  <c r="E197" i="26"/>
  <c r="E198" i="26"/>
  <c r="E199" i="26"/>
  <c r="E200" i="26"/>
  <c r="E201" i="26"/>
  <c r="E202" i="26"/>
  <c r="E203" i="26"/>
  <c r="E181" i="26"/>
  <c r="E173" i="26"/>
  <c r="E174" i="26"/>
  <c r="E175" i="26"/>
  <c r="E176" i="26"/>
  <c r="E177" i="26"/>
  <c r="E178" i="26"/>
  <c r="E179" i="26"/>
  <c r="E180" i="26"/>
  <c r="E172" i="26"/>
  <c r="E124" i="26"/>
  <c r="E125" i="26"/>
  <c r="E126" i="26"/>
  <c r="E127" i="26"/>
  <c r="E128" i="26"/>
  <c r="E129" i="26"/>
  <c r="E130" i="26"/>
  <c r="E131" i="26"/>
  <c r="E123" i="26"/>
  <c r="E112" i="26"/>
  <c r="E113" i="26"/>
  <c r="E114" i="26"/>
  <c r="E115" i="26"/>
  <c r="E116" i="26"/>
  <c r="E117" i="26"/>
  <c r="E118" i="26"/>
  <c r="E119" i="26"/>
  <c r="E120" i="26"/>
  <c r="E121" i="26"/>
  <c r="E111" i="26"/>
  <c r="E100" i="26"/>
  <c r="E101" i="26"/>
  <c r="E102" i="26"/>
  <c r="E103" i="26"/>
  <c r="E104" i="26"/>
  <c r="E105" i="26"/>
  <c r="E106" i="26"/>
  <c r="E99" i="26"/>
  <c r="E50" i="26"/>
  <c r="E14" i="26"/>
  <c r="M70" i="9"/>
  <c r="D59" i="9"/>
  <c r="K144" i="5"/>
  <c r="O66" i="5"/>
  <c r="O68" i="5"/>
  <c r="O69" i="5"/>
  <c r="O70" i="5"/>
  <c r="O71" i="5"/>
  <c r="O73" i="5"/>
  <c r="O76" i="5"/>
  <c r="O77" i="5"/>
  <c r="O78" i="5"/>
  <c r="O80" i="5"/>
  <c r="O81" i="5"/>
  <c r="O83" i="5"/>
  <c r="O84" i="5"/>
  <c r="O85" i="5"/>
  <c r="O86" i="5"/>
  <c r="O88" i="5"/>
  <c r="O89" i="5"/>
  <c r="O91" i="5"/>
  <c r="O92" i="5"/>
  <c r="O93" i="5"/>
  <c r="O94" i="5"/>
  <c r="O96" i="5"/>
  <c r="O97" i="5"/>
  <c r="O99" i="5"/>
  <c r="O100" i="5"/>
  <c r="O101" i="5"/>
  <c r="O102" i="5"/>
  <c r="O104" i="5"/>
  <c r="O105" i="5"/>
  <c r="O107" i="5"/>
  <c r="O112" i="5"/>
  <c r="O65" i="5"/>
  <c r="K91" i="5"/>
  <c r="L91" i="5"/>
  <c r="K92" i="5"/>
  <c r="L92" i="5"/>
  <c r="K93" i="5"/>
  <c r="L93" i="5"/>
  <c r="K94" i="5"/>
  <c r="L94" i="5"/>
  <c r="K95" i="5"/>
  <c r="L95" i="5"/>
  <c r="K96" i="5"/>
  <c r="L96" i="5"/>
  <c r="K97" i="5"/>
  <c r="L97" i="5"/>
  <c r="K98" i="5"/>
  <c r="L98" i="5"/>
  <c r="K99" i="5"/>
  <c r="L99" i="5"/>
  <c r="K100" i="5"/>
  <c r="L100" i="5"/>
  <c r="K101" i="5"/>
  <c r="L101" i="5"/>
  <c r="K102" i="5"/>
  <c r="L102" i="5"/>
  <c r="K73" i="5"/>
  <c r="L73" i="5"/>
  <c r="K76" i="5"/>
  <c r="L76" i="5"/>
  <c r="K77" i="5"/>
  <c r="L77" i="5"/>
  <c r="K78" i="5"/>
  <c r="L78" i="5"/>
  <c r="K79" i="5"/>
  <c r="L79" i="5"/>
  <c r="K80" i="5"/>
  <c r="L80" i="5"/>
  <c r="K81" i="5"/>
  <c r="L81" i="5"/>
  <c r="K83" i="5"/>
  <c r="L83" i="5"/>
  <c r="K84" i="5"/>
  <c r="L84" i="5"/>
  <c r="K85" i="5"/>
  <c r="L85" i="5"/>
  <c r="K86" i="5"/>
  <c r="L86" i="5"/>
  <c r="K87" i="5"/>
  <c r="L87" i="5"/>
  <c r="K88" i="5"/>
  <c r="L88" i="5"/>
  <c r="K89" i="5"/>
  <c r="L89" i="5"/>
  <c r="K90" i="5"/>
  <c r="L90" i="5"/>
  <c r="L69" i="5"/>
  <c r="K72" i="5"/>
  <c r="K66" i="5"/>
  <c r="L66" i="5"/>
  <c r="K67" i="5"/>
  <c r="L67" i="5"/>
  <c r="K68" i="5"/>
  <c r="L68" i="5"/>
  <c r="K69" i="5"/>
  <c r="K70" i="5"/>
  <c r="L70" i="5"/>
  <c r="K71" i="5"/>
  <c r="L71" i="5"/>
  <c r="L72" i="5"/>
  <c r="C139" i="29"/>
  <c r="C140" i="29"/>
  <c r="C141" i="29"/>
  <c r="C142" i="29"/>
  <c r="C143" i="29"/>
  <c r="C144" i="29"/>
  <c r="C145" i="29"/>
  <c r="C138" i="29"/>
  <c r="B147" i="29"/>
  <c r="B139" i="29"/>
  <c r="B140" i="29"/>
  <c r="B141" i="29"/>
  <c r="B142" i="29"/>
  <c r="B143" i="29"/>
  <c r="B144" i="29"/>
  <c r="B145" i="29"/>
  <c r="B146" i="29"/>
  <c r="B138" i="29"/>
  <c r="B137" i="29"/>
  <c r="C126" i="29"/>
  <c r="C127" i="29"/>
  <c r="C128" i="29"/>
  <c r="C129" i="29"/>
  <c r="C130" i="29"/>
  <c r="C131" i="29"/>
  <c r="C132" i="29"/>
  <c r="C133" i="29"/>
  <c r="C134" i="29"/>
  <c r="C135" i="29"/>
  <c r="C125" i="29"/>
  <c r="B136" i="29"/>
  <c r="B126" i="29"/>
  <c r="B127" i="29"/>
  <c r="B128" i="29"/>
  <c r="B129" i="29"/>
  <c r="B130" i="29"/>
  <c r="B131" i="29"/>
  <c r="B132" i="29"/>
  <c r="B133" i="29"/>
  <c r="B134" i="29"/>
  <c r="B135" i="29"/>
  <c r="B125" i="29"/>
  <c r="B124" i="29"/>
  <c r="B123" i="29"/>
  <c r="C117" i="29"/>
  <c r="C111" i="29"/>
  <c r="C112" i="29"/>
  <c r="C113" i="29"/>
  <c r="C114" i="29"/>
  <c r="C115" i="29"/>
  <c r="C116" i="29"/>
  <c r="C110" i="29"/>
  <c r="C61" i="29"/>
  <c r="C62" i="29"/>
  <c r="C63" i="29"/>
  <c r="C64" i="29"/>
  <c r="C65" i="29"/>
  <c r="C66" i="29"/>
  <c r="C67" i="29"/>
  <c r="C68" i="29"/>
  <c r="C71" i="29"/>
  <c r="C72" i="29"/>
  <c r="C73" i="29"/>
  <c r="C74" i="29"/>
  <c r="C75" i="29"/>
  <c r="C76" i="29"/>
  <c r="C78" i="29"/>
  <c r="C79" i="29"/>
  <c r="C80" i="29"/>
  <c r="C81" i="29"/>
  <c r="C82" i="29"/>
  <c r="C83" i="29"/>
  <c r="C84" i="29"/>
  <c r="C87" i="29"/>
  <c r="C88" i="29"/>
  <c r="C89" i="29"/>
  <c r="C90" i="29"/>
  <c r="C91" i="29"/>
  <c r="C92" i="29"/>
  <c r="C93" i="29"/>
  <c r="C94" i="29"/>
  <c r="C95" i="29"/>
  <c r="C96" i="29"/>
  <c r="C97" i="29"/>
  <c r="C98" i="29"/>
  <c r="C60" i="29"/>
  <c r="C25" i="29"/>
  <c r="C58" i="29" s="1"/>
  <c r="C22" i="29"/>
  <c r="B122" i="29"/>
  <c r="B121" i="29"/>
  <c r="B120" i="29"/>
  <c r="B119" i="29"/>
  <c r="B116" i="29"/>
  <c r="B117" i="29"/>
  <c r="B111" i="29"/>
  <c r="B112" i="29"/>
  <c r="B113" i="29"/>
  <c r="B114" i="29"/>
  <c r="B115" i="29"/>
  <c r="B110" i="29"/>
  <c r="B109" i="29"/>
  <c r="B108" i="29"/>
  <c r="B102" i="29"/>
  <c r="B96" i="29"/>
  <c r="B97" i="29"/>
  <c r="B98" i="29"/>
  <c r="B99" i="29"/>
  <c r="B100" i="29"/>
  <c r="B101" i="29"/>
  <c r="B61" i="29"/>
  <c r="B62" i="29"/>
  <c r="B63" i="29"/>
  <c r="B64" i="29"/>
  <c r="B65" i="29"/>
  <c r="B66" i="29"/>
  <c r="B67" i="29"/>
  <c r="B68" i="29"/>
  <c r="B69" i="29"/>
  <c r="B70" i="29"/>
  <c r="B71" i="29"/>
  <c r="B72" i="29"/>
  <c r="B73" i="29"/>
  <c r="B74" i="29"/>
  <c r="B75" i="29"/>
  <c r="B76" i="29"/>
  <c r="B77" i="29"/>
  <c r="B78" i="29"/>
  <c r="B79" i="29"/>
  <c r="B80" i="29"/>
  <c r="B81" i="29"/>
  <c r="B82" i="29"/>
  <c r="B83" i="29"/>
  <c r="B84" i="29"/>
  <c r="B85" i="29"/>
  <c r="B86" i="29"/>
  <c r="B87" i="29"/>
  <c r="B88" i="29"/>
  <c r="B89" i="29"/>
  <c r="B90" i="29"/>
  <c r="B91" i="29"/>
  <c r="B92" i="29"/>
  <c r="B93" i="29"/>
  <c r="B94" i="29"/>
  <c r="B95" i="29"/>
  <c r="B60" i="29"/>
  <c r="B59" i="29"/>
  <c r="B58" i="29"/>
  <c r="B25" i="29"/>
  <c r="B24" i="29"/>
  <c r="G43" i="29"/>
  <c r="G44" i="29"/>
  <c r="G45" i="29"/>
  <c r="G46" i="29"/>
  <c r="G47" i="29"/>
  <c r="G48" i="29"/>
  <c r="G49" i="29"/>
  <c r="G50" i="29"/>
  <c r="G51" i="29"/>
  <c r="G52" i="29"/>
  <c r="G53" i="29"/>
  <c r="G54" i="29"/>
  <c r="G55" i="29"/>
  <c r="G56" i="29"/>
  <c r="G39" i="29"/>
  <c r="G18" i="29"/>
  <c r="G19" i="29"/>
  <c r="G20" i="29"/>
  <c r="G21" i="29"/>
  <c r="G22" i="29"/>
  <c r="G23" i="29"/>
  <c r="G24" i="29"/>
  <c r="G25" i="29"/>
  <c r="G26" i="29"/>
  <c r="G27" i="29"/>
  <c r="G28" i="29"/>
  <c r="G29" i="29"/>
  <c r="G30" i="29"/>
  <c r="G31" i="29"/>
  <c r="G32" i="29"/>
  <c r="G33" i="29"/>
  <c r="G34" i="29"/>
  <c r="G35" i="29"/>
  <c r="G36" i="29"/>
  <c r="G37" i="29"/>
  <c r="G38" i="29"/>
  <c r="G17" i="29"/>
  <c r="G9" i="29"/>
  <c r="G10" i="29"/>
  <c r="G11" i="29"/>
  <c r="G12" i="29"/>
  <c r="G13" i="29"/>
  <c r="G14" i="29"/>
  <c r="G15" i="29"/>
  <c r="G16" i="29"/>
  <c r="G8" i="29"/>
  <c r="C10" i="29"/>
  <c r="C11" i="29"/>
  <c r="C12" i="29"/>
  <c r="C13" i="29"/>
  <c r="C14" i="29"/>
  <c r="C15" i="29"/>
  <c r="C16" i="29"/>
  <c r="C17" i="29"/>
  <c r="C18" i="29"/>
  <c r="C19" i="29"/>
  <c r="C20" i="29"/>
  <c r="C9" i="29"/>
  <c r="B23" i="29"/>
  <c r="B21" i="29"/>
  <c r="B22" i="29"/>
  <c r="B20" i="29"/>
  <c r="B15" i="29"/>
  <c r="B16" i="29"/>
  <c r="B17" i="29"/>
  <c r="B18" i="29"/>
  <c r="B19" i="29"/>
  <c r="B10" i="29"/>
  <c r="B11" i="29"/>
  <c r="B12" i="29"/>
  <c r="B13" i="29"/>
  <c r="B14" i="29"/>
  <c r="B9" i="29"/>
  <c r="B8" i="29"/>
  <c r="E30" i="29"/>
  <c r="E31" i="29"/>
  <c r="E32" i="29"/>
  <c r="E33" i="29"/>
  <c r="E34" i="29"/>
  <c r="E35" i="29"/>
  <c r="E36" i="29"/>
  <c r="E37" i="29"/>
  <c r="E38" i="29"/>
  <c r="E39" i="29"/>
  <c r="E29" i="29"/>
  <c r="E26" i="29"/>
  <c r="E25" i="29"/>
  <c r="E16" i="29"/>
  <c r="E15" i="29"/>
  <c r="E47" i="29"/>
  <c r="E48" i="29"/>
  <c r="E49" i="29"/>
  <c r="E50" i="29"/>
  <c r="E51" i="29"/>
  <c r="E52" i="29"/>
  <c r="E53" i="29"/>
  <c r="E54" i="29"/>
  <c r="E55" i="29"/>
  <c r="E56" i="29"/>
  <c r="E46" i="29"/>
  <c r="E41" i="29"/>
  <c r="E42" i="29"/>
  <c r="E43" i="29"/>
  <c r="E44" i="29"/>
  <c r="E45" i="29"/>
  <c r="E40" i="29"/>
  <c r="E28" i="29"/>
  <c r="E18" i="29"/>
  <c r="E19" i="29"/>
  <c r="E20" i="29"/>
  <c r="E21" i="29"/>
  <c r="E22" i="29"/>
  <c r="E23" i="29"/>
  <c r="E24" i="29"/>
  <c r="E27" i="29"/>
  <c r="E17" i="29"/>
  <c r="E9" i="29"/>
  <c r="E10" i="29"/>
  <c r="E11" i="29"/>
  <c r="E12" i="29"/>
  <c r="E13" i="29"/>
  <c r="E14" i="29"/>
  <c r="E8" i="29"/>
  <c r="G4" i="29"/>
  <c r="V3" i="21"/>
  <c r="H130" i="8"/>
  <c r="H131" i="8"/>
  <c r="H132" i="8"/>
  <c r="H133" i="8"/>
  <c r="H134" i="8"/>
  <c r="H135" i="8"/>
  <c r="H136" i="8"/>
  <c r="H137" i="8"/>
  <c r="H138" i="8"/>
  <c r="H139" i="8"/>
  <c r="H140" i="8"/>
  <c r="H141" i="8"/>
  <c r="H142" i="8"/>
  <c r="H143" i="8"/>
  <c r="H144" i="8"/>
  <c r="H145" i="8"/>
  <c r="H129" i="8"/>
  <c r="C130" i="8"/>
  <c r="C131" i="8"/>
  <c r="C132" i="8"/>
  <c r="C133" i="8"/>
  <c r="C134" i="8"/>
  <c r="C135" i="8"/>
  <c r="C138" i="8"/>
  <c r="C139" i="8"/>
  <c r="C140" i="8"/>
  <c r="C141" i="8"/>
  <c r="C142" i="8"/>
  <c r="C143" i="8"/>
  <c r="C144" i="8"/>
  <c r="C145" i="8"/>
  <c r="H103" i="8"/>
  <c r="I103" i="8"/>
  <c r="K103" i="8"/>
  <c r="H104" i="8"/>
  <c r="I104" i="8"/>
  <c r="K104" i="8"/>
  <c r="H105" i="8"/>
  <c r="I105" i="8"/>
  <c r="K105" i="8"/>
  <c r="H106" i="8"/>
  <c r="I106" i="8"/>
  <c r="K106" i="8"/>
  <c r="H107" i="8"/>
  <c r="I107" i="8"/>
  <c r="J107" i="8"/>
  <c r="K107" i="8"/>
  <c r="H108" i="8"/>
  <c r="I108" i="8"/>
  <c r="J108" i="8"/>
  <c r="K108" i="8"/>
  <c r="H109" i="8"/>
  <c r="I109" i="8"/>
  <c r="J109" i="8"/>
  <c r="K109" i="8"/>
  <c r="H110" i="8"/>
  <c r="I110" i="8"/>
  <c r="J110" i="8"/>
  <c r="K110" i="8"/>
  <c r="H111" i="8"/>
  <c r="I111" i="8"/>
  <c r="J111" i="8"/>
  <c r="K111" i="8"/>
  <c r="H112" i="8"/>
  <c r="I112" i="8"/>
  <c r="J112" i="8"/>
  <c r="K112" i="8"/>
  <c r="H113" i="8"/>
  <c r="I113" i="8"/>
  <c r="J113" i="8"/>
  <c r="K113" i="8"/>
  <c r="H114" i="8"/>
  <c r="I114" i="8"/>
  <c r="J114" i="8"/>
  <c r="K114" i="8"/>
  <c r="H115" i="8"/>
  <c r="I115" i="8"/>
  <c r="J115" i="8"/>
  <c r="K115" i="8"/>
  <c r="H116" i="8"/>
  <c r="I116" i="8"/>
  <c r="J116" i="8"/>
  <c r="K116" i="8"/>
  <c r="H117" i="8"/>
  <c r="I117" i="8"/>
  <c r="J117" i="8"/>
  <c r="K117" i="8"/>
  <c r="H118" i="8"/>
  <c r="I118" i="8"/>
  <c r="J118" i="8"/>
  <c r="K118" i="8"/>
  <c r="H119" i="8"/>
  <c r="I119" i="8"/>
  <c r="J119" i="8"/>
  <c r="K119" i="8"/>
  <c r="H120" i="8"/>
  <c r="I120" i="8"/>
  <c r="J120" i="8"/>
  <c r="K120" i="8"/>
  <c r="H121" i="8"/>
  <c r="I121" i="8"/>
  <c r="J121" i="8"/>
  <c r="K121" i="8"/>
  <c r="H122" i="8"/>
  <c r="I122" i="8"/>
  <c r="J122" i="8"/>
  <c r="K122" i="8"/>
  <c r="H123" i="8"/>
  <c r="I123" i="8"/>
  <c r="J123" i="8"/>
  <c r="K123" i="8"/>
  <c r="H124" i="8"/>
  <c r="I124" i="8"/>
  <c r="J124" i="8"/>
  <c r="K124" i="8"/>
  <c r="K102" i="8"/>
  <c r="I102" i="8"/>
  <c r="H102" i="8"/>
  <c r="E102" i="8"/>
  <c r="E103" i="8"/>
  <c r="E104" i="8"/>
  <c r="E105" i="8"/>
  <c r="E106" i="8"/>
  <c r="E107" i="8"/>
  <c r="E108" i="8"/>
  <c r="E109" i="8"/>
  <c r="E110" i="8"/>
  <c r="E111" i="8"/>
  <c r="E112" i="8"/>
  <c r="E113" i="8"/>
  <c r="E114" i="8"/>
  <c r="E115" i="8"/>
  <c r="E116" i="8"/>
  <c r="E117" i="8"/>
  <c r="E118" i="8"/>
  <c r="E119" i="8"/>
  <c r="E120" i="8"/>
  <c r="E121" i="8"/>
  <c r="E122" i="8"/>
  <c r="E123" i="8"/>
  <c r="E124" i="8"/>
  <c r="C103" i="8"/>
  <c r="C104" i="8"/>
  <c r="C105" i="8"/>
  <c r="C106" i="8"/>
  <c r="C107" i="8"/>
  <c r="C108" i="8"/>
  <c r="C109" i="8"/>
  <c r="C110" i="8"/>
  <c r="C111" i="8"/>
  <c r="C112" i="8"/>
  <c r="C113" i="8"/>
  <c r="C114" i="8"/>
  <c r="C115" i="8"/>
  <c r="C116" i="8"/>
  <c r="C117" i="8"/>
  <c r="C118" i="8"/>
  <c r="C119" i="8"/>
  <c r="C120" i="8"/>
  <c r="C121" i="8"/>
  <c r="C122" i="8"/>
  <c r="C123" i="8"/>
  <c r="C124" i="8"/>
  <c r="BD63" i="26" l="1"/>
  <c r="BD87" i="26"/>
  <c r="BD117" i="26"/>
  <c r="I228" i="7"/>
  <c r="BD102" i="26"/>
  <c r="BD114" i="26"/>
  <c r="BD79" i="26"/>
  <c r="BD119" i="26"/>
  <c r="BD118" i="26"/>
  <c r="BD95" i="26"/>
  <c r="BD71" i="26"/>
  <c r="BD83" i="26"/>
  <c r="BD52" i="26"/>
  <c r="BD91" i="26"/>
  <c r="BD67" i="26"/>
  <c r="BD123" i="26"/>
  <c r="BD75" i="26"/>
  <c r="BD131" i="26"/>
  <c r="BD42" i="26"/>
  <c r="BD31" i="26"/>
  <c r="BD23" i="26"/>
  <c r="BD99" i="26"/>
  <c r="BD44" i="26"/>
  <c r="BD33" i="26"/>
  <c r="BD25" i="26"/>
  <c r="BD17" i="26"/>
  <c r="BD43" i="26"/>
  <c r="BD32" i="26"/>
  <c r="BD24" i="26"/>
  <c r="BD89" i="26"/>
  <c r="BD81" i="26"/>
  <c r="BD73" i="26"/>
  <c r="BD65" i="26"/>
  <c r="BD58" i="26"/>
  <c r="BD97" i="26"/>
  <c r="BD129" i="26"/>
  <c r="BD106" i="26"/>
  <c r="BD72" i="26"/>
  <c r="BD68" i="26"/>
  <c r="BD64" i="26"/>
  <c r="BD61" i="26"/>
  <c r="BD57" i="26"/>
  <c r="BD53" i="26"/>
  <c r="BD16" i="26"/>
  <c r="BD111" i="26"/>
  <c r="BD127" i="26"/>
  <c r="BD50" i="26"/>
  <c r="BD126" i="26"/>
  <c r="BD103" i="26"/>
  <c r="BD125" i="26"/>
  <c r="BD90" i="26"/>
  <c r="BD82" i="26"/>
  <c r="BD74" i="26"/>
  <c r="BD66" i="26"/>
  <c r="BD51" i="26"/>
  <c r="BD94" i="26"/>
  <c r="BD86" i="26"/>
  <c r="BD78" i="26"/>
  <c r="BD70" i="26"/>
  <c r="BD62" i="26"/>
  <c r="BD55" i="26"/>
  <c r="F223" i="26"/>
  <c r="BD48" i="26"/>
  <c r="BD101" i="26"/>
  <c r="BD93" i="26"/>
  <c r="BD85" i="26"/>
  <c r="BD77" i="26"/>
  <c r="BD69" i="26"/>
  <c r="BD54" i="26"/>
  <c r="BD130" i="26"/>
  <c r="BD40" i="26"/>
  <c r="BD29" i="26"/>
  <c r="BD21" i="26"/>
  <c r="BD115" i="26"/>
  <c r="BD80" i="26"/>
  <c r="BD105" i="26"/>
  <c r="BD104" i="26"/>
  <c r="BD96" i="26"/>
  <c r="BD76" i="26"/>
  <c r="BD121" i="26"/>
  <c r="BD120" i="26"/>
  <c r="BD128" i="26"/>
  <c r="BD113" i="26"/>
  <c r="BD84" i="26"/>
  <c r="BD124" i="26"/>
  <c r="BD112" i="26"/>
  <c r="BD88" i="26"/>
  <c r="BD92" i="26"/>
  <c r="BD116" i="26"/>
  <c r="BD100" i="26"/>
  <c r="BD14" i="26"/>
  <c r="C147" i="29"/>
  <c r="C136" i="29"/>
  <c r="C118" i="29"/>
  <c r="K125" i="8"/>
  <c r="L28" i="5"/>
  <c r="K11" i="5"/>
  <c r="E49" i="19" l="1"/>
  <c r="F49" i="19"/>
  <c r="F44" i="19"/>
  <c r="E44" i="19"/>
  <c r="F41" i="19"/>
  <c r="F35" i="19"/>
  <c r="E35" i="19"/>
  <c r="E30" i="19"/>
  <c r="F30" i="19"/>
  <c r="F18" i="19"/>
  <c r="E13" i="19"/>
  <c r="F54" i="19"/>
  <c r="BC160" i="26"/>
  <c r="BC161" i="26"/>
  <c r="BC163" i="26"/>
  <c r="BC165" i="26"/>
  <c r="BC167" i="26"/>
  <c r="BC159" i="26"/>
  <c r="BC154" i="26"/>
  <c r="BC155" i="26"/>
  <c r="BC156" i="26"/>
  <c r="BC153" i="26"/>
  <c r="G162" i="26"/>
  <c r="H162" i="26"/>
  <c r="I162" i="26"/>
  <c r="J162" i="26"/>
  <c r="K162" i="26"/>
  <c r="L162" i="26"/>
  <c r="M162" i="26"/>
  <c r="N162" i="26"/>
  <c r="O162" i="26"/>
  <c r="P162" i="26"/>
  <c r="Q162" i="26"/>
  <c r="R162" i="26"/>
  <c r="S162" i="26"/>
  <c r="T162" i="26"/>
  <c r="U162" i="26"/>
  <c r="V162" i="26"/>
  <c r="W162" i="26"/>
  <c r="X162" i="26"/>
  <c r="Y162" i="26"/>
  <c r="Z162" i="26"/>
  <c r="AA162" i="26"/>
  <c r="AB162" i="26"/>
  <c r="AC162" i="26"/>
  <c r="AD162" i="26"/>
  <c r="AE162" i="26"/>
  <c r="AF162" i="26"/>
  <c r="AG162" i="26"/>
  <c r="AH162" i="26"/>
  <c r="AI162" i="26"/>
  <c r="AJ162" i="26"/>
  <c r="AK162" i="26"/>
  <c r="AL162" i="26"/>
  <c r="AM162" i="26"/>
  <c r="AN162" i="26"/>
  <c r="AO162" i="26"/>
  <c r="AP162" i="26"/>
  <c r="AQ162" i="26"/>
  <c r="AR162" i="26"/>
  <c r="AS162" i="26"/>
  <c r="AT162" i="26"/>
  <c r="AU162" i="26"/>
  <c r="AV162" i="26"/>
  <c r="AW162" i="26"/>
  <c r="AX162" i="26"/>
  <c r="AY162" i="26"/>
  <c r="AZ162" i="26"/>
  <c r="BA162" i="26"/>
  <c r="BB162" i="26"/>
  <c r="G166" i="26"/>
  <c r="G168" i="26" s="1"/>
  <c r="H166" i="26"/>
  <c r="H168" i="26" s="1"/>
  <c r="I166" i="26"/>
  <c r="I168" i="26" s="1"/>
  <c r="J166" i="26"/>
  <c r="J168" i="26" s="1"/>
  <c r="K166" i="26"/>
  <c r="K168" i="26" s="1"/>
  <c r="L166" i="26"/>
  <c r="L168" i="26" s="1"/>
  <c r="M166" i="26"/>
  <c r="M168" i="26" s="1"/>
  <c r="N166" i="26"/>
  <c r="N168" i="26" s="1"/>
  <c r="O166" i="26"/>
  <c r="O168" i="26" s="1"/>
  <c r="P166" i="26"/>
  <c r="P168" i="26" s="1"/>
  <c r="Q166" i="26"/>
  <c r="Q168" i="26" s="1"/>
  <c r="R166" i="26"/>
  <c r="R168" i="26" s="1"/>
  <c r="S166" i="26"/>
  <c r="S168" i="26" s="1"/>
  <c r="T166" i="26"/>
  <c r="T168" i="26" s="1"/>
  <c r="U166" i="26"/>
  <c r="U168" i="26" s="1"/>
  <c r="V166" i="26"/>
  <c r="V168" i="26" s="1"/>
  <c r="W166" i="26"/>
  <c r="W168" i="26" s="1"/>
  <c r="X166" i="26"/>
  <c r="X168" i="26" s="1"/>
  <c r="Y166" i="26"/>
  <c r="Y168" i="26" s="1"/>
  <c r="Z166" i="26"/>
  <c r="Z168" i="26" s="1"/>
  <c r="AA166" i="26"/>
  <c r="AA168" i="26" s="1"/>
  <c r="AB166" i="26"/>
  <c r="AB168" i="26" s="1"/>
  <c r="AC166" i="26"/>
  <c r="AC168" i="26" s="1"/>
  <c r="AD166" i="26"/>
  <c r="AD168" i="26" s="1"/>
  <c r="AE166" i="26"/>
  <c r="AE168" i="26" s="1"/>
  <c r="AF166" i="26"/>
  <c r="AF168" i="26" s="1"/>
  <c r="AG166" i="26"/>
  <c r="AG168" i="26" s="1"/>
  <c r="AH166" i="26"/>
  <c r="AH168" i="26" s="1"/>
  <c r="AI166" i="26"/>
  <c r="AI168" i="26" s="1"/>
  <c r="AJ166" i="26"/>
  <c r="AJ168" i="26" s="1"/>
  <c r="AK166" i="26"/>
  <c r="AK168" i="26" s="1"/>
  <c r="AL166" i="26"/>
  <c r="AL168" i="26" s="1"/>
  <c r="AM166" i="26"/>
  <c r="AM168" i="26" s="1"/>
  <c r="AN166" i="26"/>
  <c r="AN168" i="26" s="1"/>
  <c r="AO166" i="26"/>
  <c r="AO168" i="26" s="1"/>
  <c r="AP166" i="26"/>
  <c r="AP168" i="26" s="1"/>
  <c r="AQ166" i="26"/>
  <c r="AQ168" i="26" s="1"/>
  <c r="AR166" i="26"/>
  <c r="AR168" i="26" s="1"/>
  <c r="AS166" i="26"/>
  <c r="AS168" i="26" s="1"/>
  <c r="AT166" i="26"/>
  <c r="AT168" i="26" s="1"/>
  <c r="AU166" i="26"/>
  <c r="AU168" i="26" s="1"/>
  <c r="AV166" i="26"/>
  <c r="AV168" i="26" s="1"/>
  <c r="AW166" i="26"/>
  <c r="AW168" i="26" s="1"/>
  <c r="AX166" i="26"/>
  <c r="AX168" i="26" s="1"/>
  <c r="AY166" i="26"/>
  <c r="AY168" i="26" s="1"/>
  <c r="AZ166" i="26"/>
  <c r="AZ168" i="26" s="1"/>
  <c r="BA166" i="26"/>
  <c r="BA168" i="26" s="1"/>
  <c r="BB166" i="26"/>
  <c r="BB168" i="26" s="1"/>
  <c r="C173" i="26"/>
  <c r="BC181" i="26"/>
  <c r="BD181" i="26" s="1"/>
  <c r="BC182" i="26"/>
  <c r="BD182" i="26" s="1"/>
  <c r="BC183" i="26"/>
  <c r="BD183" i="26" s="1"/>
  <c r="BC184" i="26"/>
  <c r="BD184" i="26" s="1"/>
  <c r="BC185" i="26"/>
  <c r="BD185" i="26" s="1"/>
  <c r="BC186" i="26"/>
  <c r="BD186" i="26" s="1"/>
  <c r="BC187" i="26"/>
  <c r="BD187" i="26" s="1"/>
  <c r="BC188" i="26"/>
  <c r="BD188" i="26" s="1"/>
  <c r="BC189" i="26"/>
  <c r="BD189" i="26" s="1"/>
  <c r="BC190" i="26"/>
  <c r="BD190" i="26" s="1"/>
  <c r="BC191" i="26"/>
  <c r="BD191" i="26" s="1"/>
  <c r="BC192" i="26"/>
  <c r="BD192" i="26" s="1"/>
  <c r="BC193" i="26"/>
  <c r="BD193" i="26" s="1"/>
  <c r="BC194" i="26"/>
  <c r="BD194" i="26" s="1"/>
  <c r="BC195" i="26"/>
  <c r="BD195" i="26" s="1"/>
  <c r="BC196" i="26"/>
  <c r="BD196" i="26" s="1"/>
  <c r="BC197" i="26"/>
  <c r="BD197" i="26" s="1"/>
  <c r="BC198" i="26"/>
  <c r="BD198" i="26" s="1"/>
  <c r="BC199" i="26"/>
  <c r="BD199" i="26" s="1"/>
  <c r="BC200" i="26"/>
  <c r="BD200" i="26" s="1"/>
  <c r="BC201" i="26"/>
  <c r="BD201" i="26" s="1"/>
  <c r="BC202" i="26"/>
  <c r="BD202" i="26" s="1"/>
  <c r="BC203" i="26"/>
  <c r="BD203" i="26" s="1"/>
  <c r="BC204" i="26"/>
  <c r="BC205" i="26"/>
  <c r="BC206" i="26"/>
  <c r="BC207" i="26"/>
  <c r="BD207" i="26" s="1"/>
  <c r="BC208" i="26"/>
  <c r="BD208" i="26" s="1"/>
  <c r="BC209" i="26"/>
  <c r="BD209" i="26" s="1"/>
  <c r="BC210" i="26"/>
  <c r="BD210" i="26" s="1"/>
  <c r="BC211" i="26"/>
  <c r="BD211" i="26" s="1"/>
  <c r="BC212" i="26"/>
  <c r="BD212" i="26" s="1"/>
  <c r="BC213" i="26"/>
  <c r="BD213" i="26" s="1"/>
  <c r="BC214" i="26"/>
  <c r="BD214" i="26" s="1"/>
  <c r="BC215" i="26"/>
  <c r="BD215" i="26" s="1"/>
  <c r="BC216" i="26"/>
  <c r="BD216" i="26" s="1"/>
  <c r="BC217" i="26"/>
  <c r="BD217" i="26" s="1"/>
  <c r="BC218" i="26"/>
  <c r="BD218" i="26" s="1"/>
  <c r="BC219" i="26"/>
  <c r="BD219" i="26" s="1"/>
  <c r="BC220" i="26"/>
  <c r="BD220" i="26" s="1"/>
  <c r="BC172" i="26"/>
  <c r="BD172" i="26" s="1"/>
  <c r="BC173" i="26"/>
  <c r="BD173" i="26" s="1"/>
  <c r="BC174" i="26"/>
  <c r="BD174" i="26" s="1"/>
  <c r="BC175" i="26"/>
  <c r="BD175" i="26" s="1"/>
  <c r="BC176" i="26"/>
  <c r="BD176" i="26" s="1"/>
  <c r="BC177" i="26"/>
  <c r="BD177" i="26" s="1"/>
  <c r="BC178" i="26"/>
  <c r="BD178" i="26" s="1"/>
  <c r="BC179" i="26"/>
  <c r="BD179" i="26" s="1"/>
  <c r="BC180" i="26"/>
  <c r="BD180" i="26" s="1"/>
  <c r="D211" i="26"/>
  <c r="D210" i="26"/>
  <c r="C218" i="26"/>
  <c r="C219" i="26"/>
  <c r="C220" i="26"/>
  <c r="C205" i="26"/>
  <c r="C206" i="26"/>
  <c r="C207" i="26"/>
  <c r="C208" i="26"/>
  <c r="C209" i="26"/>
  <c r="C210" i="26"/>
  <c r="C211" i="26"/>
  <c r="C212" i="26"/>
  <c r="C213" i="26"/>
  <c r="C214" i="26"/>
  <c r="C215" i="26"/>
  <c r="C216" i="26"/>
  <c r="C217" i="26"/>
  <c r="C204" i="26"/>
  <c r="C194" i="26"/>
  <c r="C195" i="26"/>
  <c r="C196" i="26"/>
  <c r="C197" i="26"/>
  <c r="C198" i="26"/>
  <c r="C199" i="26"/>
  <c r="C200" i="26"/>
  <c r="C201" i="26"/>
  <c r="C202" i="26"/>
  <c r="C203" i="26"/>
  <c r="C185" i="26"/>
  <c r="C186" i="26"/>
  <c r="C187" i="26"/>
  <c r="C188" i="26"/>
  <c r="C189" i="26"/>
  <c r="C190" i="26"/>
  <c r="C191" i="26"/>
  <c r="C192" i="26"/>
  <c r="C193" i="26"/>
  <c r="C182" i="26"/>
  <c r="C183" i="26"/>
  <c r="C184" i="26"/>
  <c r="C181" i="26"/>
  <c r="C174" i="26"/>
  <c r="C175" i="26"/>
  <c r="C176" i="26"/>
  <c r="C177" i="26"/>
  <c r="C178" i="26"/>
  <c r="C179" i="26"/>
  <c r="C180" i="26"/>
  <c r="C172" i="26"/>
  <c r="BC13" i="26"/>
  <c r="BC132" i="26" s="1"/>
  <c r="G223" i="26"/>
  <c r="V223" i="26"/>
  <c r="AE223" i="26"/>
  <c r="AT223" i="26"/>
  <c r="C124" i="26"/>
  <c r="C125" i="26"/>
  <c r="C126" i="26"/>
  <c r="C127" i="26"/>
  <c r="C128" i="26"/>
  <c r="C129" i="26"/>
  <c r="C130" i="26"/>
  <c r="C131" i="26"/>
  <c r="C123" i="26"/>
  <c r="C112" i="26"/>
  <c r="C113" i="26"/>
  <c r="C114" i="26"/>
  <c r="C115" i="26"/>
  <c r="C116" i="26"/>
  <c r="C117" i="26"/>
  <c r="C118" i="26"/>
  <c r="C119" i="26"/>
  <c r="C120" i="26"/>
  <c r="C121" i="26"/>
  <c r="C111" i="26"/>
  <c r="C109" i="26"/>
  <c r="C108" i="26"/>
  <c r="C104" i="26"/>
  <c r="C105" i="26"/>
  <c r="C106" i="26"/>
  <c r="C100" i="26"/>
  <c r="C101" i="26"/>
  <c r="C102" i="26"/>
  <c r="C103" i="26"/>
  <c r="C99" i="26"/>
  <c r="C50" i="26"/>
  <c r="C17" i="26"/>
  <c r="C18" i="26"/>
  <c r="C19" i="26"/>
  <c r="C16" i="26"/>
  <c r="G9" i="26"/>
  <c r="H9" i="26" s="1"/>
  <c r="I9" i="26" s="1"/>
  <c r="J9" i="26" s="1"/>
  <c r="K9" i="26" s="1"/>
  <c r="L9" i="26" s="1"/>
  <c r="M9" i="26" s="1"/>
  <c r="N9" i="26" s="1"/>
  <c r="O9" i="26" s="1"/>
  <c r="P9" i="26" s="1"/>
  <c r="Q9" i="26" s="1"/>
  <c r="R9" i="26" s="1"/>
  <c r="S9" i="26" s="1"/>
  <c r="T9" i="26" s="1"/>
  <c r="U9" i="26" s="1"/>
  <c r="V9" i="26" s="1"/>
  <c r="W9" i="26" s="1"/>
  <c r="X9" i="26" s="1"/>
  <c r="Y9" i="26" s="1"/>
  <c r="Z9" i="26" s="1"/>
  <c r="AA9" i="26" s="1"/>
  <c r="AB9" i="26" s="1"/>
  <c r="AC9" i="26" s="1"/>
  <c r="AD9" i="26" s="1"/>
  <c r="AE9" i="26" s="1"/>
  <c r="AF9" i="26" s="1"/>
  <c r="AG9" i="26" s="1"/>
  <c r="AH9" i="26" s="1"/>
  <c r="AI9" i="26" s="1"/>
  <c r="AJ9" i="26" s="1"/>
  <c r="AK9" i="26" s="1"/>
  <c r="AL9" i="26" s="1"/>
  <c r="AM9" i="26" s="1"/>
  <c r="AN9" i="26" s="1"/>
  <c r="AO9" i="26" s="1"/>
  <c r="AP9" i="26" s="1"/>
  <c r="AQ9" i="26" s="1"/>
  <c r="AR9" i="26" s="1"/>
  <c r="AS9" i="26" s="1"/>
  <c r="AT9" i="26" s="1"/>
  <c r="AU9" i="26" s="1"/>
  <c r="AV9" i="26" s="1"/>
  <c r="AW9" i="26" s="1"/>
  <c r="AX9" i="26" s="1"/>
  <c r="AY9" i="26" s="1"/>
  <c r="AZ9" i="26" s="1"/>
  <c r="BA9" i="26" s="1"/>
  <c r="BB9" i="26" s="1"/>
  <c r="G10" i="26"/>
  <c r="H10" i="26" s="1"/>
  <c r="I10" i="26" s="1"/>
  <c r="J10" i="26" s="1"/>
  <c r="K10" i="26" s="1"/>
  <c r="L10" i="26" s="1"/>
  <c r="M10" i="26" s="1"/>
  <c r="N10" i="26" s="1"/>
  <c r="O10" i="26" s="1"/>
  <c r="P10" i="26" s="1"/>
  <c r="Q10" i="26" s="1"/>
  <c r="R10" i="26" s="1"/>
  <c r="S10" i="26" s="1"/>
  <c r="T10" i="26" s="1"/>
  <c r="U10" i="26" s="1"/>
  <c r="V10" i="26" s="1"/>
  <c r="W10" i="26" s="1"/>
  <c r="X10" i="26" s="1"/>
  <c r="Y10" i="26" s="1"/>
  <c r="Z10" i="26" s="1"/>
  <c r="AA10" i="26" s="1"/>
  <c r="AB10" i="26" s="1"/>
  <c r="AC10" i="26" s="1"/>
  <c r="AD10" i="26" s="1"/>
  <c r="AE10" i="26" s="1"/>
  <c r="AF10" i="26" s="1"/>
  <c r="AG10" i="26" s="1"/>
  <c r="AH10" i="26" s="1"/>
  <c r="AI10" i="26" s="1"/>
  <c r="AJ10" i="26" s="1"/>
  <c r="AK10" i="26" s="1"/>
  <c r="AL10" i="26" s="1"/>
  <c r="AM10" i="26" s="1"/>
  <c r="AN10" i="26" s="1"/>
  <c r="AO10" i="26" s="1"/>
  <c r="AP10" i="26" s="1"/>
  <c r="AQ10" i="26" s="1"/>
  <c r="AR10" i="26" s="1"/>
  <c r="AS10" i="26" s="1"/>
  <c r="AT10" i="26" s="1"/>
  <c r="AU10" i="26" s="1"/>
  <c r="AV10" i="26" s="1"/>
  <c r="C5" i="26"/>
  <c r="BC171" i="26"/>
  <c r="BJ170" i="26"/>
  <c r="I170" i="26"/>
  <c r="BJ141" i="26"/>
  <c r="BJ133" i="26"/>
  <c r="BC221" i="26" l="1"/>
  <c r="AR223" i="26"/>
  <c r="T223" i="26"/>
  <c r="AW223" i="26"/>
  <c r="Y223" i="26"/>
  <c r="AQ223" i="26"/>
  <c r="S223" i="26"/>
  <c r="X223" i="26"/>
  <c r="AV223" i="26"/>
  <c r="AH223" i="26"/>
  <c r="J223" i="26"/>
  <c r="AM223" i="26"/>
  <c r="O223" i="26"/>
  <c r="AL223" i="26"/>
  <c r="N223" i="26"/>
  <c r="AK223" i="26"/>
  <c r="M223" i="26"/>
  <c r="AJ223" i="26"/>
  <c r="L223" i="26"/>
  <c r="AY223" i="26"/>
  <c r="AA223" i="26"/>
  <c r="AF223" i="26"/>
  <c r="H223" i="26"/>
  <c r="AX223" i="26"/>
  <c r="Z223" i="26"/>
  <c r="E13" i="26"/>
  <c r="C21" i="29"/>
  <c r="C23" i="29" s="1"/>
  <c r="AP223" i="26"/>
  <c r="AD223" i="26"/>
  <c r="AU223" i="26"/>
  <c r="AI223" i="26"/>
  <c r="W223" i="26"/>
  <c r="K223" i="26"/>
  <c r="BB223" i="26"/>
  <c r="R223" i="26"/>
  <c r="AO223" i="26"/>
  <c r="Q223" i="26"/>
  <c r="BA223" i="26"/>
  <c r="AC223" i="26"/>
  <c r="AS223" i="26"/>
  <c r="AG223" i="26"/>
  <c r="U223" i="26"/>
  <c r="I223" i="26"/>
  <c r="AZ223" i="26"/>
  <c r="AN223" i="26"/>
  <c r="AB223" i="26"/>
  <c r="P223" i="26"/>
  <c r="BC162" i="26"/>
  <c r="BC168" i="26"/>
  <c r="BC166" i="26"/>
  <c r="AW10" i="26"/>
  <c r="AX10" i="26" s="1"/>
  <c r="AY10" i="26" s="1"/>
  <c r="AZ10" i="26" s="1"/>
  <c r="BA10" i="26" s="1"/>
  <c r="BB10" i="26" s="1"/>
  <c r="BD13" i="26" l="1"/>
  <c r="BC223" i="26"/>
  <c r="D208" i="5" l="1"/>
  <c r="D209" i="5"/>
  <c r="D210" i="5"/>
  <c r="D211" i="5"/>
  <c r="D207" i="5"/>
  <c r="D206" i="5"/>
  <c r="D195" i="5"/>
  <c r="D197" i="5"/>
  <c r="D198" i="5"/>
  <c r="D199" i="5"/>
  <c r="D200" i="5"/>
  <c r="D201" i="5"/>
  <c r="D202" i="5"/>
  <c r="D203" i="5"/>
  <c r="D204" i="5"/>
  <c r="D196" i="5"/>
  <c r="C12" i="5"/>
  <c r="C13" i="5" s="1"/>
  <c r="C14" i="5" s="1"/>
  <c r="C15" i="5" s="1"/>
  <c r="C16" i="5" s="1"/>
  <c r="C17" i="5" s="1"/>
  <c r="C18" i="5" s="1"/>
  <c r="C19" i="5" s="1"/>
  <c r="C20" i="5" s="1"/>
  <c r="C21" i="5" s="1"/>
  <c r="C22" i="5" s="1"/>
  <c r="K71" i="4"/>
  <c r="O119" i="5"/>
  <c r="O120" i="5"/>
  <c r="O121" i="5"/>
  <c r="O122" i="5"/>
  <c r="O123" i="5"/>
  <c r="O124" i="5"/>
  <c r="O125" i="5"/>
  <c r="O118" i="5"/>
  <c r="O29" i="5"/>
  <c r="O30" i="5"/>
  <c r="O31" i="5"/>
  <c r="O32" i="5"/>
  <c r="O34" i="5"/>
  <c r="O35" i="5"/>
  <c r="O36" i="5"/>
  <c r="O37" i="5"/>
  <c r="O38" i="5"/>
  <c r="O39" i="5"/>
  <c r="O40" i="5"/>
  <c r="O41" i="5"/>
  <c r="O42" i="5"/>
  <c r="O43" i="5"/>
  <c r="O44" i="5"/>
  <c r="O45" i="5"/>
  <c r="O47" i="5"/>
  <c r="O49" i="5"/>
  <c r="O50" i="5"/>
  <c r="O51" i="5"/>
  <c r="O52" i="5"/>
  <c r="O53" i="5"/>
  <c r="O54" i="5"/>
  <c r="O55" i="5"/>
  <c r="O56" i="5"/>
  <c r="O57" i="5"/>
  <c r="O58" i="5"/>
  <c r="O59" i="5"/>
  <c r="O60" i="5"/>
  <c r="O28" i="5"/>
  <c r="O11" i="5"/>
  <c r="O12" i="5"/>
  <c r="O13" i="5"/>
  <c r="O14" i="5"/>
  <c r="O15" i="5"/>
  <c r="O16" i="5"/>
  <c r="O17" i="5"/>
  <c r="O18" i="5"/>
  <c r="O19" i="5"/>
  <c r="O20" i="5"/>
  <c r="O21" i="5"/>
  <c r="O23" i="5"/>
  <c r="O10" i="5"/>
  <c r="C23" i="5" l="1"/>
  <c r="B13" i="26"/>
  <c r="O61" i="5"/>
  <c r="O126" i="5"/>
  <c r="B14" i="26" l="1"/>
  <c r="C24" i="5"/>
  <c r="C28" i="5" s="1"/>
  <c r="D87" i="10"/>
  <c r="D62" i="10"/>
  <c r="D72" i="10" s="1"/>
  <c r="D32" i="10"/>
  <c r="H8" i="10"/>
  <c r="F94" i="10"/>
  <c r="F96" i="10" s="1"/>
  <c r="E94" i="10"/>
  <c r="E96" i="10" s="1"/>
  <c r="D94" i="10"/>
  <c r="D96" i="10" s="1"/>
  <c r="L36" i="10"/>
  <c r="L35" i="10"/>
  <c r="L34" i="10"/>
  <c r="L33" i="10"/>
  <c r="K32" i="10"/>
  <c r="J32" i="10"/>
  <c r="I32" i="10"/>
  <c r="H32" i="10"/>
  <c r="G32" i="10"/>
  <c r="F37" i="10"/>
  <c r="E32" i="10"/>
  <c r="H16" i="10"/>
  <c r="G15" i="10"/>
  <c r="H15" i="10" s="1"/>
  <c r="G14" i="10"/>
  <c r="H14" i="10" s="1"/>
  <c r="H13" i="10"/>
  <c r="G12" i="10"/>
  <c r="H12" i="10" s="1"/>
  <c r="G11" i="10"/>
  <c r="H11" i="10" s="1"/>
  <c r="H10" i="10"/>
  <c r="G9" i="10"/>
  <c r="H9" i="10" s="1"/>
  <c r="J100" i="10" l="1"/>
  <c r="J101" i="10" s="1"/>
  <c r="K37" i="10"/>
  <c r="D799" i="24"/>
  <c r="J37" i="10"/>
  <c r="D798" i="24"/>
  <c r="I37" i="10"/>
  <c r="D797" i="24"/>
  <c r="H37" i="10"/>
  <c r="D796" i="24"/>
  <c r="G37" i="10"/>
  <c r="D795" i="24"/>
  <c r="D37" i="10"/>
  <c r="D792" i="24"/>
  <c r="E37" i="10"/>
  <c r="D793" i="24"/>
  <c r="B16" i="26"/>
  <c r="C29" i="5"/>
  <c r="L32" i="10"/>
  <c r="J102" i="10" l="1"/>
  <c r="J103" i="10"/>
  <c r="L37" i="10"/>
  <c r="B17" i="26"/>
  <c r="C30" i="5"/>
  <c r="C31" i="5" l="1"/>
  <c r="B18" i="26"/>
  <c r="J168" i="7"/>
  <c r="I203" i="5"/>
  <c r="J173" i="5"/>
  <c r="C86" i="29"/>
  <c r="I200" i="1"/>
  <c r="K145" i="5"/>
  <c r="K155" i="5"/>
  <c r="K156" i="5"/>
  <c r="K157" i="5"/>
  <c r="K158" i="5"/>
  <c r="K159" i="5"/>
  <c r="K160" i="5"/>
  <c r="K162" i="5"/>
  <c r="K154" i="5"/>
  <c r="L163" i="5"/>
  <c r="M163" i="5"/>
  <c r="N163" i="5"/>
  <c r="L143" i="5"/>
  <c r="L149" i="5"/>
  <c r="L148" i="5"/>
  <c r="K149" i="5"/>
  <c r="K148" i="5"/>
  <c r="K142" i="5"/>
  <c r="L142" i="5"/>
  <c r="K143" i="5"/>
  <c r="L141" i="5"/>
  <c r="K141" i="5"/>
  <c r="K140" i="5"/>
  <c r="K139" i="5"/>
  <c r="M150" i="5"/>
  <c r="N150" i="5"/>
  <c r="L135" i="5"/>
  <c r="M126" i="5"/>
  <c r="N126" i="5"/>
  <c r="K103" i="5"/>
  <c r="L103" i="5"/>
  <c r="K104" i="5"/>
  <c r="L104" i="5"/>
  <c r="K105" i="5"/>
  <c r="L105" i="5"/>
  <c r="K106" i="5"/>
  <c r="L106" i="5"/>
  <c r="K107" i="5"/>
  <c r="L107" i="5"/>
  <c r="K112" i="5"/>
  <c r="L112" i="5"/>
  <c r="L65" i="5"/>
  <c r="K65" i="5"/>
  <c r="K29" i="5"/>
  <c r="L29" i="5"/>
  <c r="K30" i="5"/>
  <c r="L30" i="5"/>
  <c r="K31" i="5"/>
  <c r="L31" i="5"/>
  <c r="K32" i="5"/>
  <c r="L32" i="5"/>
  <c r="K34" i="5"/>
  <c r="L34" i="5"/>
  <c r="K37" i="5"/>
  <c r="L37" i="5"/>
  <c r="K38" i="5"/>
  <c r="L38" i="5"/>
  <c r="K39" i="5"/>
  <c r="L39" i="5"/>
  <c r="K40" i="5"/>
  <c r="L40" i="5"/>
  <c r="K41" i="5"/>
  <c r="L41" i="5"/>
  <c r="K42" i="5"/>
  <c r="L42" i="5"/>
  <c r="K43" i="5"/>
  <c r="L43" i="5"/>
  <c r="K44" i="5"/>
  <c r="L44" i="5"/>
  <c r="K45" i="5"/>
  <c r="L45" i="5"/>
  <c r="K47" i="5"/>
  <c r="L47" i="5"/>
  <c r="K49" i="5"/>
  <c r="L49" i="5"/>
  <c r="K50" i="5"/>
  <c r="L50" i="5"/>
  <c r="K51" i="5"/>
  <c r="L51" i="5"/>
  <c r="K52" i="5"/>
  <c r="L52" i="5"/>
  <c r="K53" i="5"/>
  <c r="L53" i="5"/>
  <c r="K54" i="5"/>
  <c r="L54" i="5"/>
  <c r="K55" i="5"/>
  <c r="L55" i="5"/>
  <c r="K56" i="5"/>
  <c r="L56" i="5"/>
  <c r="K57" i="5"/>
  <c r="L57" i="5"/>
  <c r="K58" i="5"/>
  <c r="L58" i="5"/>
  <c r="K59" i="5"/>
  <c r="L59" i="5"/>
  <c r="K60" i="5"/>
  <c r="L60" i="5"/>
  <c r="K28" i="5"/>
  <c r="L23" i="5"/>
  <c r="K23" i="5"/>
  <c r="L11" i="5"/>
  <c r="K12" i="5"/>
  <c r="L12" i="5"/>
  <c r="K13" i="5"/>
  <c r="L13" i="5"/>
  <c r="K14" i="5"/>
  <c r="L14" i="5"/>
  <c r="K15" i="5"/>
  <c r="L15" i="5"/>
  <c r="K16" i="5"/>
  <c r="L16" i="5"/>
  <c r="K17" i="5"/>
  <c r="L17" i="5"/>
  <c r="K18" i="5"/>
  <c r="L18" i="5"/>
  <c r="K19" i="5"/>
  <c r="L19" i="5"/>
  <c r="K20" i="5"/>
  <c r="L20" i="5"/>
  <c r="K21" i="5"/>
  <c r="L21" i="5"/>
  <c r="P11" i="6"/>
  <c r="P14" i="6" s="1"/>
  <c r="I16" i="6"/>
  <c r="E41" i="9" s="1"/>
  <c r="I17" i="6"/>
  <c r="E42" i="9" s="1"/>
  <c r="F42" i="9" s="1"/>
  <c r="G42" i="9" s="1"/>
  <c r="H42" i="9" s="1"/>
  <c r="I42" i="9" s="1"/>
  <c r="J42" i="9" s="1"/>
  <c r="K42" i="9" s="1"/>
  <c r="L42" i="9" s="1"/>
  <c r="M42" i="9" s="1"/>
  <c r="N42" i="9" s="1"/>
  <c r="O42" i="9" s="1"/>
  <c r="P42" i="9" s="1"/>
  <c r="Q42" i="9" s="1"/>
  <c r="R42" i="9" s="1"/>
  <c r="S42" i="9" s="1"/>
  <c r="T42" i="9" s="1"/>
  <c r="U42" i="9" s="1"/>
  <c r="V42" i="9" s="1"/>
  <c r="W42" i="9" s="1"/>
  <c r="X42" i="9" s="1"/>
  <c r="I18" i="6"/>
  <c r="E43" i="9" s="1"/>
  <c r="F43" i="9" s="1"/>
  <c r="G43" i="9" s="1"/>
  <c r="H43" i="9" s="1"/>
  <c r="I43" i="9" s="1"/>
  <c r="J43" i="9" s="1"/>
  <c r="K43" i="9" s="1"/>
  <c r="L43" i="9" s="1"/>
  <c r="M43" i="9" s="1"/>
  <c r="N43" i="9" s="1"/>
  <c r="O43" i="9" s="1"/>
  <c r="P43" i="9" s="1"/>
  <c r="Q43" i="9" s="1"/>
  <c r="R43" i="9" s="1"/>
  <c r="S43" i="9" s="1"/>
  <c r="T43" i="9" s="1"/>
  <c r="U43" i="9" s="1"/>
  <c r="V43" i="9" s="1"/>
  <c r="W43" i="9" s="1"/>
  <c r="X43" i="9" s="1"/>
  <c r="I19" i="6"/>
  <c r="E44" i="9" s="1"/>
  <c r="F44" i="9" s="1"/>
  <c r="G44" i="9" s="1"/>
  <c r="H44" i="9" s="1"/>
  <c r="I44" i="9" s="1"/>
  <c r="J44" i="9" s="1"/>
  <c r="K44" i="9" s="1"/>
  <c r="L44" i="9" s="1"/>
  <c r="M44" i="9" s="1"/>
  <c r="N44" i="9" s="1"/>
  <c r="O44" i="9" s="1"/>
  <c r="P44" i="9" s="1"/>
  <c r="Q44" i="9" s="1"/>
  <c r="R44" i="9" s="1"/>
  <c r="S44" i="9" s="1"/>
  <c r="T44" i="9" s="1"/>
  <c r="U44" i="9" s="1"/>
  <c r="V44" i="9" s="1"/>
  <c r="W44" i="9" s="1"/>
  <c r="X44" i="9" s="1"/>
  <c r="I20" i="6"/>
  <c r="E45" i="9" s="1"/>
  <c r="F45" i="9" s="1"/>
  <c r="G45" i="9" s="1"/>
  <c r="H45" i="9" s="1"/>
  <c r="I45" i="9" s="1"/>
  <c r="J45" i="9" s="1"/>
  <c r="K45" i="9" s="1"/>
  <c r="L45" i="9" s="1"/>
  <c r="M45" i="9" s="1"/>
  <c r="N45" i="9" s="1"/>
  <c r="O45" i="9" s="1"/>
  <c r="P45" i="9" s="1"/>
  <c r="Q45" i="9" s="1"/>
  <c r="R45" i="9" s="1"/>
  <c r="S45" i="9" s="1"/>
  <c r="T45" i="9" s="1"/>
  <c r="U45" i="9" s="1"/>
  <c r="V45" i="9" s="1"/>
  <c r="W45" i="9" s="1"/>
  <c r="X45" i="9" s="1"/>
  <c r="I12" i="6"/>
  <c r="E37" i="9" s="1"/>
  <c r="F37" i="9" s="1"/>
  <c r="G37" i="9" s="1"/>
  <c r="H37" i="9" s="1"/>
  <c r="I37" i="9" s="1"/>
  <c r="J37" i="9" s="1"/>
  <c r="K37" i="9" s="1"/>
  <c r="L37" i="9" s="1"/>
  <c r="M37" i="9" s="1"/>
  <c r="N37" i="9" s="1"/>
  <c r="O37" i="9" s="1"/>
  <c r="P37" i="9" s="1"/>
  <c r="Q37" i="9" s="1"/>
  <c r="R37" i="9" s="1"/>
  <c r="S37" i="9" s="1"/>
  <c r="T37" i="9" s="1"/>
  <c r="U37" i="9" s="1"/>
  <c r="V37" i="9" s="1"/>
  <c r="W37" i="9" s="1"/>
  <c r="X37" i="9" s="1"/>
  <c r="P17" i="6"/>
  <c r="P18" i="6" s="1"/>
  <c r="I15" i="6" s="1"/>
  <c r="E40" i="9" s="1"/>
  <c r="F40" i="9" s="1"/>
  <c r="G40" i="9" s="1"/>
  <c r="H40" i="9" s="1"/>
  <c r="I40" i="9" s="1"/>
  <c r="J40" i="9" s="1"/>
  <c r="K40" i="9" s="1"/>
  <c r="L40" i="9" s="1"/>
  <c r="M40" i="9" s="1"/>
  <c r="N40" i="9" s="1"/>
  <c r="O40" i="9" s="1"/>
  <c r="P40" i="9" s="1"/>
  <c r="Q40" i="9" s="1"/>
  <c r="R40" i="9" s="1"/>
  <c r="S40" i="9" s="1"/>
  <c r="T40" i="9" s="1"/>
  <c r="U40" i="9" s="1"/>
  <c r="V40" i="9" s="1"/>
  <c r="W40" i="9" s="1"/>
  <c r="X40" i="9" s="1"/>
  <c r="K4" i="4"/>
  <c r="F41" i="3"/>
  <c r="D12" i="29"/>
  <c r="J16" i="20" l="1"/>
  <c r="M16" i="20" s="1"/>
  <c r="F38" i="14"/>
  <c r="F39" i="14" s="1"/>
  <c r="F41" i="14" s="1"/>
  <c r="J22" i="4"/>
  <c r="I44" i="3" a="1"/>
  <c r="I44" i="3" s="1"/>
  <c r="P24" i="6"/>
  <c r="J11" i="8"/>
  <c r="F41" i="9"/>
  <c r="G41" i="9" s="1"/>
  <c r="H41" i="9" s="1"/>
  <c r="I41" i="9" s="1"/>
  <c r="J41" i="9" s="1"/>
  <c r="K41" i="9" s="1"/>
  <c r="L41" i="9" s="1"/>
  <c r="M41" i="9" s="1"/>
  <c r="N41" i="9" s="1"/>
  <c r="O41" i="9" s="1"/>
  <c r="P41" i="9" s="1"/>
  <c r="Q41" i="9" s="1"/>
  <c r="R41" i="9" s="1"/>
  <c r="S41" i="9" s="1"/>
  <c r="T41" i="9" s="1"/>
  <c r="U41" i="9" s="1"/>
  <c r="V41" i="9" s="1"/>
  <c r="W41" i="9" s="1"/>
  <c r="X41" i="9" s="1"/>
  <c r="E47" i="9"/>
  <c r="C85" i="29"/>
  <c r="C32" i="5"/>
  <c r="B19" i="26"/>
  <c r="K163" i="5"/>
  <c r="L150" i="5"/>
  <c r="K150" i="5"/>
  <c r="K61" i="5"/>
  <c r="L61" i="5"/>
  <c r="L22" i="5"/>
  <c r="L24" i="5" s="1"/>
  <c r="K22" i="5"/>
  <c r="K24" i="5" s="1"/>
  <c r="D18" i="29"/>
  <c r="J17" i="20" l="1"/>
  <c r="C33" i="5"/>
  <c r="B20" i="26"/>
  <c r="D33" i="1"/>
  <c r="N164" i="7"/>
  <c r="L20" i="1" s="1"/>
  <c r="C34" i="5" l="1"/>
  <c r="B21" i="26"/>
  <c r="H159" i="1"/>
  <c r="H157" i="1"/>
  <c r="H155" i="1"/>
  <c r="H153" i="1"/>
  <c r="H151" i="1"/>
  <c r="H149" i="1"/>
  <c r="H147" i="1"/>
  <c r="D8" i="1"/>
  <c r="B22" i="26" l="1"/>
  <c r="C35" i="5"/>
  <c r="C37" i="7"/>
  <c r="F37" i="7"/>
  <c r="I37" i="7"/>
  <c r="C38" i="7"/>
  <c r="F38" i="7"/>
  <c r="I38" i="7"/>
  <c r="C39" i="7"/>
  <c r="F39" i="7"/>
  <c r="I39" i="7"/>
  <c r="C40" i="7"/>
  <c r="F40" i="7"/>
  <c r="I40" i="7"/>
  <c r="C41" i="7"/>
  <c r="F41" i="7"/>
  <c r="I41" i="7"/>
  <c r="C42" i="7"/>
  <c r="F42" i="7"/>
  <c r="I42" i="7"/>
  <c r="C43" i="7"/>
  <c r="F43" i="7"/>
  <c r="I43" i="7"/>
  <c r="C44" i="7"/>
  <c r="F44" i="7"/>
  <c r="I44" i="7"/>
  <c r="C45" i="7"/>
  <c r="F45" i="7"/>
  <c r="I45" i="7"/>
  <c r="C46" i="7"/>
  <c r="F46" i="7"/>
  <c r="I46" i="7"/>
  <c r="C47" i="7"/>
  <c r="F47" i="7"/>
  <c r="I47" i="7"/>
  <c r="C48" i="7"/>
  <c r="F48" i="7"/>
  <c r="I48" i="7"/>
  <c r="C49" i="7"/>
  <c r="F49" i="7"/>
  <c r="I49" i="7"/>
  <c r="C50" i="7"/>
  <c r="F50" i="7"/>
  <c r="I50" i="7"/>
  <c r="C51" i="7"/>
  <c r="F51" i="7"/>
  <c r="I51" i="7"/>
  <c r="C52" i="7"/>
  <c r="F52" i="7"/>
  <c r="I52" i="7"/>
  <c r="C53" i="7"/>
  <c r="F53" i="7"/>
  <c r="I53" i="7"/>
  <c r="C54" i="7"/>
  <c r="F54" i="7"/>
  <c r="I54" i="7"/>
  <c r="C55" i="7"/>
  <c r="F55" i="7"/>
  <c r="I55" i="7"/>
  <c r="C56" i="7"/>
  <c r="F56" i="7"/>
  <c r="I56" i="7"/>
  <c r="C57" i="7"/>
  <c r="F57" i="7"/>
  <c r="I57" i="7"/>
  <c r="C58" i="7"/>
  <c r="F58" i="7"/>
  <c r="I58" i="7"/>
  <c r="C59" i="7"/>
  <c r="F59" i="7"/>
  <c r="I59" i="7"/>
  <c r="C60" i="7"/>
  <c r="F60" i="7"/>
  <c r="I60" i="7"/>
  <c r="C61" i="7"/>
  <c r="F61" i="7"/>
  <c r="I61" i="7"/>
  <c r="C62" i="7"/>
  <c r="F62" i="7"/>
  <c r="I62" i="7"/>
  <c r="C63" i="7"/>
  <c r="F63" i="7"/>
  <c r="I63" i="7"/>
  <c r="C64" i="7"/>
  <c r="F64" i="7"/>
  <c r="I64" i="7"/>
  <c r="C65" i="7"/>
  <c r="F65" i="7"/>
  <c r="I65" i="7"/>
  <c r="C66" i="7"/>
  <c r="F66" i="7"/>
  <c r="I66" i="7"/>
  <c r="C67" i="7"/>
  <c r="F67" i="7"/>
  <c r="I67" i="7"/>
  <c r="C68" i="7"/>
  <c r="F68" i="7"/>
  <c r="I68" i="7"/>
  <c r="C69" i="7"/>
  <c r="F69" i="7"/>
  <c r="I69" i="7"/>
  <c r="C70" i="7"/>
  <c r="F70" i="7"/>
  <c r="I70" i="7"/>
  <c r="C71" i="7"/>
  <c r="F71" i="7"/>
  <c r="I71" i="7"/>
  <c r="C72" i="7"/>
  <c r="F72" i="7"/>
  <c r="I72" i="7"/>
  <c r="C73" i="7"/>
  <c r="F73" i="7"/>
  <c r="I73" i="7"/>
  <c r="C74" i="7"/>
  <c r="F74" i="7"/>
  <c r="I74" i="7"/>
  <c r="C75" i="7"/>
  <c r="F75" i="7"/>
  <c r="I75" i="7"/>
  <c r="C76" i="7"/>
  <c r="F76" i="7"/>
  <c r="I76" i="7"/>
  <c r="C77" i="7"/>
  <c r="F77" i="7"/>
  <c r="I77" i="7"/>
  <c r="C78" i="7"/>
  <c r="F78" i="7"/>
  <c r="I78" i="7"/>
  <c r="C79" i="7"/>
  <c r="F79" i="7"/>
  <c r="I79" i="7"/>
  <c r="C80" i="7"/>
  <c r="F80" i="7"/>
  <c r="I80" i="7"/>
  <c r="C81" i="7"/>
  <c r="F81" i="7"/>
  <c r="I81" i="7"/>
  <c r="C82" i="7"/>
  <c r="F82" i="7"/>
  <c r="I82" i="7"/>
  <c r="C83" i="7"/>
  <c r="F83" i="7"/>
  <c r="I83" i="7"/>
  <c r="C84" i="7"/>
  <c r="F84" i="7"/>
  <c r="I84" i="7"/>
  <c r="C85" i="7"/>
  <c r="F85" i="7"/>
  <c r="I85" i="7"/>
  <c r="C86" i="7"/>
  <c r="F86" i="7"/>
  <c r="I86" i="7"/>
  <c r="C87" i="7"/>
  <c r="F87" i="7"/>
  <c r="I87" i="7"/>
  <c r="C88" i="7"/>
  <c r="F88" i="7"/>
  <c r="I88" i="7"/>
  <c r="C89" i="7"/>
  <c r="F89" i="7"/>
  <c r="I89" i="7"/>
  <c r="C90" i="7"/>
  <c r="F90" i="7"/>
  <c r="I90" i="7"/>
  <c r="C91" i="7"/>
  <c r="F91" i="7"/>
  <c r="I91" i="7"/>
  <c r="C92" i="7"/>
  <c r="F92" i="7"/>
  <c r="I92" i="7"/>
  <c r="C93" i="7"/>
  <c r="F93" i="7"/>
  <c r="I93" i="7"/>
  <c r="C94" i="7"/>
  <c r="F94" i="7"/>
  <c r="I94" i="7"/>
  <c r="C95" i="7"/>
  <c r="F95" i="7"/>
  <c r="I95" i="7"/>
  <c r="C96" i="7"/>
  <c r="F96" i="7"/>
  <c r="I96" i="7"/>
  <c r="C97" i="7"/>
  <c r="F97" i="7"/>
  <c r="I97" i="7"/>
  <c r="C98" i="7"/>
  <c r="F98" i="7"/>
  <c r="I98" i="7"/>
  <c r="C99" i="7"/>
  <c r="F99" i="7"/>
  <c r="I99" i="7"/>
  <c r="C100" i="7"/>
  <c r="F100" i="7"/>
  <c r="I100" i="7"/>
  <c r="C101" i="7"/>
  <c r="F101" i="7"/>
  <c r="I101" i="7"/>
  <c r="C102" i="7"/>
  <c r="F102" i="7"/>
  <c r="I102" i="7"/>
  <c r="C103" i="7"/>
  <c r="F103" i="7"/>
  <c r="I103" i="7"/>
  <c r="C104" i="7"/>
  <c r="F104" i="7"/>
  <c r="I104" i="7"/>
  <c r="C105" i="7"/>
  <c r="F105" i="7"/>
  <c r="I105" i="7"/>
  <c r="C106" i="7"/>
  <c r="F106" i="7"/>
  <c r="I106" i="7"/>
  <c r="C107" i="7"/>
  <c r="F107" i="7"/>
  <c r="I107" i="7"/>
  <c r="C108" i="7"/>
  <c r="F108" i="7"/>
  <c r="I108" i="7"/>
  <c r="C109" i="7"/>
  <c r="F109" i="7"/>
  <c r="I109" i="7"/>
  <c r="C110" i="7"/>
  <c r="F110" i="7"/>
  <c r="I110" i="7"/>
  <c r="C111" i="7"/>
  <c r="F111" i="7"/>
  <c r="I111" i="7"/>
  <c r="C112" i="7"/>
  <c r="F112" i="7"/>
  <c r="I112" i="7"/>
  <c r="C113" i="7"/>
  <c r="F113" i="7"/>
  <c r="I113" i="7"/>
  <c r="C114" i="7"/>
  <c r="F114" i="7"/>
  <c r="I114" i="7"/>
  <c r="C115" i="7"/>
  <c r="F115" i="7"/>
  <c r="I115" i="7"/>
  <c r="C116" i="7"/>
  <c r="F116" i="7"/>
  <c r="I116" i="7"/>
  <c r="F131" i="1"/>
  <c r="K132" i="1"/>
  <c r="I104" i="1" l="1"/>
  <c r="H73" i="4"/>
  <c r="B23" i="26"/>
  <c r="C36" i="5"/>
  <c r="I105" i="1"/>
  <c r="P211" i="24"/>
  <c r="AH211" i="24" s="1"/>
  <c r="Q211" i="24"/>
  <c r="AI211" i="24" s="1"/>
  <c r="R211" i="24"/>
  <c r="AJ211" i="24" s="1"/>
  <c r="P212" i="24"/>
  <c r="AH212" i="24" s="1"/>
  <c r="Q212" i="24"/>
  <c r="AI212" i="24" s="1"/>
  <c r="R212" i="24"/>
  <c r="AJ212" i="24" s="1"/>
  <c r="P213" i="24"/>
  <c r="AH213" i="24" s="1"/>
  <c r="Q213" i="24"/>
  <c r="AI213" i="24" s="1"/>
  <c r="R213" i="24"/>
  <c r="AJ213" i="24" s="1"/>
  <c r="P214" i="24"/>
  <c r="AH214" i="24" s="1"/>
  <c r="Q214" i="24"/>
  <c r="AI214" i="24" s="1"/>
  <c r="R214" i="24"/>
  <c r="AJ214" i="24" s="1"/>
  <c r="P215" i="24"/>
  <c r="AH215" i="24" s="1"/>
  <c r="Q215" i="24"/>
  <c r="AI215" i="24" s="1"/>
  <c r="R215" i="24"/>
  <c r="AJ215" i="24" s="1"/>
  <c r="P216" i="24"/>
  <c r="AH216" i="24" s="1"/>
  <c r="Q216" i="24"/>
  <c r="AI216" i="24" s="1"/>
  <c r="R216" i="24"/>
  <c r="AJ216" i="24" s="1"/>
  <c r="P217" i="24"/>
  <c r="AH217" i="24" s="1"/>
  <c r="Q217" i="24"/>
  <c r="AI217" i="24" s="1"/>
  <c r="R217" i="24"/>
  <c r="AJ217" i="24" s="1"/>
  <c r="P218" i="24"/>
  <c r="AH218" i="24" s="1"/>
  <c r="Q218" i="24"/>
  <c r="AI218" i="24" s="1"/>
  <c r="R218" i="24"/>
  <c r="AJ218" i="24" s="1"/>
  <c r="P219" i="24"/>
  <c r="AH219" i="24" s="1"/>
  <c r="Q219" i="24"/>
  <c r="AI219" i="24" s="1"/>
  <c r="R219" i="24"/>
  <c r="AJ219" i="24" s="1"/>
  <c r="P220" i="24"/>
  <c r="AH220" i="24" s="1"/>
  <c r="Q220" i="24"/>
  <c r="AI220" i="24" s="1"/>
  <c r="R220" i="24"/>
  <c r="AJ220" i="24" s="1"/>
  <c r="P221" i="24"/>
  <c r="AH221" i="24" s="1"/>
  <c r="Q221" i="24"/>
  <c r="AI221" i="24" s="1"/>
  <c r="R221" i="24"/>
  <c r="AJ221" i="24" s="1"/>
  <c r="P222" i="24"/>
  <c r="AH222" i="24" s="1"/>
  <c r="Q222" i="24"/>
  <c r="AI222" i="24" s="1"/>
  <c r="R222" i="24"/>
  <c r="AJ222" i="24" s="1"/>
  <c r="P223" i="24"/>
  <c r="AH223" i="24" s="1"/>
  <c r="Q223" i="24"/>
  <c r="AI223" i="24" s="1"/>
  <c r="R223" i="24"/>
  <c r="AJ223" i="24" s="1"/>
  <c r="P224" i="24"/>
  <c r="AH224" i="24" s="1"/>
  <c r="Q224" i="24"/>
  <c r="AI224" i="24" s="1"/>
  <c r="R224" i="24"/>
  <c r="AJ224" i="24" s="1"/>
  <c r="P225" i="24"/>
  <c r="AH225" i="24" s="1"/>
  <c r="Q225" i="24"/>
  <c r="AI225" i="24" s="1"/>
  <c r="R225" i="24"/>
  <c r="AJ225" i="24" s="1"/>
  <c r="P226" i="24"/>
  <c r="AH226" i="24" s="1"/>
  <c r="Q226" i="24"/>
  <c r="AI226" i="24" s="1"/>
  <c r="R226" i="24"/>
  <c r="AJ226" i="24" s="1"/>
  <c r="P227" i="24"/>
  <c r="AH227" i="24" s="1"/>
  <c r="Q227" i="24"/>
  <c r="AI227" i="24" s="1"/>
  <c r="R227" i="24"/>
  <c r="AJ227" i="24" s="1"/>
  <c r="P228" i="24"/>
  <c r="AH228" i="24" s="1"/>
  <c r="Q228" i="24"/>
  <c r="AI228" i="24" s="1"/>
  <c r="R228" i="24"/>
  <c r="AJ228" i="24" s="1"/>
  <c r="P229" i="24"/>
  <c r="AH229" i="24" s="1"/>
  <c r="Q229" i="24"/>
  <c r="AI229" i="24" s="1"/>
  <c r="R229" i="24"/>
  <c r="AJ229" i="24" s="1"/>
  <c r="P230" i="24"/>
  <c r="AH230" i="24" s="1"/>
  <c r="Q230" i="24"/>
  <c r="AI230" i="24" s="1"/>
  <c r="R230" i="24"/>
  <c r="AJ230" i="24" s="1"/>
  <c r="P231" i="24"/>
  <c r="AH231" i="24" s="1"/>
  <c r="Q231" i="24"/>
  <c r="AI231" i="24" s="1"/>
  <c r="R231" i="24"/>
  <c r="AJ231" i="24" s="1"/>
  <c r="P232" i="24"/>
  <c r="AH232" i="24" s="1"/>
  <c r="Q232" i="24"/>
  <c r="AI232" i="24" s="1"/>
  <c r="R232" i="24"/>
  <c r="AJ232" i="24" s="1"/>
  <c r="P233" i="24"/>
  <c r="AH233" i="24" s="1"/>
  <c r="Q233" i="24"/>
  <c r="AI233" i="24" s="1"/>
  <c r="R233" i="24"/>
  <c r="AJ233" i="24" s="1"/>
  <c r="P234" i="24"/>
  <c r="AH234" i="24" s="1"/>
  <c r="Q234" i="24"/>
  <c r="AI234" i="24" s="1"/>
  <c r="R234" i="24"/>
  <c r="AJ234" i="24" s="1"/>
  <c r="P235" i="24"/>
  <c r="AH235" i="24" s="1"/>
  <c r="Q235" i="24"/>
  <c r="AI235" i="24" s="1"/>
  <c r="R235" i="24"/>
  <c r="AJ235" i="24" s="1"/>
  <c r="P236" i="24"/>
  <c r="AH236" i="24" s="1"/>
  <c r="Q236" i="24"/>
  <c r="AI236" i="24" s="1"/>
  <c r="R236" i="24"/>
  <c r="AJ236" i="24" s="1"/>
  <c r="P237" i="24"/>
  <c r="AH237" i="24" s="1"/>
  <c r="Q237" i="24"/>
  <c r="AI237" i="24" s="1"/>
  <c r="R237" i="24"/>
  <c r="AJ237" i="24" s="1"/>
  <c r="P238" i="24"/>
  <c r="AH238" i="24" s="1"/>
  <c r="Q238" i="24"/>
  <c r="AI238" i="24" s="1"/>
  <c r="R238" i="24"/>
  <c r="AJ238" i="24" s="1"/>
  <c r="P239" i="24"/>
  <c r="AH239" i="24" s="1"/>
  <c r="Q239" i="24"/>
  <c r="AI239" i="24" s="1"/>
  <c r="R239" i="24"/>
  <c r="AJ239" i="24" s="1"/>
  <c r="P240" i="24"/>
  <c r="AH240" i="24" s="1"/>
  <c r="Q240" i="24"/>
  <c r="AI240" i="24" s="1"/>
  <c r="R240" i="24"/>
  <c r="AJ240" i="24" s="1"/>
  <c r="P241" i="24"/>
  <c r="AH241" i="24" s="1"/>
  <c r="Q241" i="24"/>
  <c r="AI241" i="24" s="1"/>
  <c r="R241" i="24"/>
  <c r="AJ241" i="24" s="1"/>
  <c r="P242" i="24"/>
  <c r="AH242" i="24" s="1"/>
  <c r="Q242" i="24"/>
  <c r="AI242" i="24" s="1"/>
  <c r="R242" i="24"/>
  <c r="AJ242" i="24" s="1"/>
  <c r="P243" i="24"/>
  <c r="AH243" i="24" s="1"/>
  <c r="Q243" i="24"/>
  <c r="AI243" i="24" s="1"/>
  <c r="R243" i="24"/>
  <c r="AJ243" i="24" s="1"/>
  <c r="P244" i="24"/>
  <c r="AH244" i="24" s="1"/>
  <c r="Q244" i="24"/>
  <c r="AI244" i="24" s="1"/>
  <c r="R244" i="24"/>
  <c r="AJ244" i="24" s="1"/>
  <c r="P245" i="24"/>
  <c r="AH245" i="24" s="1"/>
  <c r="Q245" i="24"/>
  <c r="AI245" i="24" s="1"/>
  <c r="R245" i="24"/>
  <c r="AJ245" i="24" s="1"/>
  <c r="P246" i="24"/>
  <c r="AH246" i="24" s="1"/>
  <c r="Q246" i="24"/>
  <c r="AI246" i="24" s="1"/>
  <c r="R246" i="24"/>
  <c r="AJ246" i="24" s="1"/>
  <c r="P247" i="24"/>
  <c r="AH247" i="24" s="1"/>
  <c r="Q247" i="24"/>
  <c r="AI247" i="24" s="1"/>
  <c r="R247" i="24"/>
  <c r="AJ247" i="24" s="1"/>
  <c r="P248" i="24"/>
  <c r="AH248" i="24" s="1"/>
  <c r="Q248" i="24"/>
  <c r="AI248" i="24" s="1"/>
  <c r="R248" i="24"/>
  <c r="AJ248" i="24" s="1"/>
  <c r="P249" i="24"/>
  <c r="AH249" i="24" s="1"/>
  <c r="Q249" i="24"/>
  <c r="AI249" i="24" s="1"/>
  <c r="R249" i="24"/>
  <c r="AJ249" i="24" s="1"/>
  <c r="P250" i="24"/>
  <c r="AH250" i="24" s="1"/>
  <c r="Q250" i="24"/>
  <c r="AI250" i="24" s="1"/>
  <c r="R250" i="24"/>
  <c r="AJ250" i="24" s="1"/>
  <c r="P251" i="24"/>
  <c r="AH251" i="24" s="1"/>
  <c r="Q251" i="24"/>
  <c r="AI251" i="24" s="1"/>
  <c r="R251" i="24"/>
  <c r="AJ251" i="24" s="1"/>
  <c r="P252" i="24"/>
  <c r="AH252" i="24" s="1"/>
  <c r="Q252" i="24"/>
  <c r="AI252" i="24" s="1"/>
  <c r="R252" i="24"/>
  <c r="AJ252" i="24" s="1"/>
  <c r="P253" i="24"/>
  <c r="AH253" i="24" s="1"/>
  <c r="Q253" i="24"/>
  <c r="AI253" i="24" s="1"/>
  <c r="R253" i="24"/>
  <c r="AJ253" i="24" s="1"/>
  <c r="P254" i="24"/>
  <c r="AH254" i="24" s="1"/>
  <c r="Q254" i="24"/>
  <c r="AI254" i="24" s="1"/>
  <c r="R254" i="24"/>
  <c r="AJ254" i="24" s="1"/>
  <c r="P255" i="24"/>
  <c r="AH255" i="24" s="1"/>
  <c r="Q255" i="24"/>
  <c r="AI255" i="24" s="1"/>
  <c r="R255" i="24"/>
  <c r="AJ255" i="24" s="1"/>
  <c r="P256" i="24"/>
  <c r="AH256" i="24" s="1"/>
  <c r="Q256" i="24"/>
  <c r="AI256" i="24" s="1"/>
  <c r="R256" i="24"/>
  <c r="AJ256" i="24" s="1"/>
  <c r="P257" i="24"/>
  <c r="AH257" i="24" s="1"/>
  <c r="Q257" i="24"/>
  <c r="AI257" i="24" s="1"/>
  <c r="R257" i="24"/>
  <c r="AJ257" i="24" s="1"/>
  <c r="P258" i="24"/>
  <c r="AH258" i="24" s="1"/>
  <c r="Q258" i="24"/>
  <c r="AI258" i="24" s="1"/>
  <c r="R258" i="24"/>
  <c r="AJ258" i="24" s="1"/>
  <c r="P259" i="24"/>
  <c r="AH259" i="24" s="1"/>
  <c r="Q259" i="24"/>
  <c r="AI259" i="24" s="1"/>
  <c r="R259" i="24"/>
  <c r="AJ259" i="24" s="1"/>
  <c r="P260" i="24"/>
  <c r="AH260" i="24" s="1"/>
  <c r="Q260" i="24"/>
  <c r="AI260" i="24" s="1"/>
  <c r="R260" i="24"/>
  <c r="AJ260" i="24" s="1"/>
  <c r="P261" i="24"/>
  <c r="AH261" i="24" s="1"/>
  <c r="Q261" i="24"/>
  <c r="AI261" i="24" s="1"/>
  <c r="R261" i="24"/>
  <c r="AJ261" i="24" s="1"/>
  <c r="P262" i="24"/>
  <c r="AH262" i="24" s="1"/>
  <c r="Q262" i="24"/>
  <c r="AI262" i="24" s="1"/>
  <c r="R262" i="24"/>
  <c r="AJ262" i="24" s="1"/>
  <c r="P263" i="24"/>
  <c r="AH263" i="24" s="1"/>
  <c r="Q263" i="24"/>
  <c r="AI263" i="24" s="1"/>
  <c r="R263" i="24"/>
  <c r="AJ263" i="24" s="1"/>
  <c r="P264" i="24"/>
  <c r="AH264" i="24" s="1"/>
  <c r="Q264" i="24"/>
  <c r="AI264" i="24" s="1"/>
  <c r="R264" i="24"/>
  <c r="AJ264" i="24" s="1"/>
  <c r="P265" i="24"/>
  <c r="AH265" i="24" s="1"/>
  <c r="Q265" i="24"/>
  <c r="AI265" i="24" s="1"/>
  <c r="R265" i="24"/>
  <c r="AJ265" i="24" s="1"/>
  <c r="P266" i="24"/>
  <c r="AH266" i="24" s="1"/>
  <c r="Q266" i="24"/>
  <c r="AI266" i="24" s="1"/>
  <c r="R266" i="24"/>
  <c r="AJ266" i="24" s="1"/>
  <c r="P267" i="24"/>
  <c r="AH267" i="24" s="1"/>
  <c r="Q267" i="24"/>
  <c r="AI267" i="24" s="1"/>
  <c r="R267" i="24"/>
  <c r="AJ267" i="24" s="1"/>
  <c r="P268" i="24"/>
  <c r="AH268" i="24" s="1"/>
  <c r="Q268" i="24"/>
  <c r="AI268" i="24" s="1"/>
  <c r="R268" i="24"/>
  <c r="AJ268" i="24" s="1"/>
  <c r="P269" i="24"/>
  <c r="AH269" i="24" s="1"/>
  <c r="Q269" i="24"/>
  <c r="AI269" i="24" s="1"/>
  <c r="R269" i="24"/>
  <c r="AJ269" i="24" s="1"/>
  <c r="P270" i="24"/>
  <c r="AH270" i="24" s="1"/>
  <c r="Q270" i="24"/>
  <c r="AI270" i="24" s="1"/>
  <c r="R270" i="24"/>
  <c r="AJ270" i="24" s="1"/>
  <c r="P271" i="24"/>
  <c r="AH271" i="24" s="1"/>
  <c r="Q271" i="24"/>
  <c r="AI271" i="24" s="1"/>
  <c r="R271" i="24"/>
  <c r="AJ271" i="24" s="1"/>
  <c r="P272" i="24"/>
  <c r="AH272" i="24" s="1"/>
  <c r="Q272" i="24"/>
  <c r="AI272" i="24" s="1"/>
  <c r="R272" i="24"/>
  <c r="AJ272" i="24" s="1"/>
  <c r="P273" i="24"/>
  <c r="AH273" i="24" s="1"/>
  <c r="Q273" i="24"/>
  <c r="AI273" i="24" s="1"/>
  <c r="R273" i="24"/>
  <c r="AJ273" i="24" s="1"/>
  <c r="P274" i="24"/>
  <c r="AH274" i="24" s="1"/>
  <c r="Q274" i="24"/>
  <c r="AI274" i="24" s="1"/>
  <c r="R274" i="24"/>
  <c r="AJ274" i="24" s="1"/>
  <c r="P275" i="24"/>
  <c r="AH275" i="24" s="1"/>
  <c r="Q275" i="24"/>
  <c r="AI275" i="24" s="1"/>
  <c r="R275" i="24"/>
  <c r="AJ275" i="24" s="1"/>
  <c r="P276" i="24"/>
  <c r="AH276" i="24" s="1"/>
  <c r="Q276" i="24"/>
  <c r="AI276" i="24" s="1"/>
  <c r="R276" i="24"/>
  <c r="AJ276" i="24" s="1"/>
  <c r="P277" i="24"/>
  <c r="AH277" i="24" s="1"/>
  <c r="Q277" i="24"/>
  <c r="AI277" i="24" s="1"/>
  <c r="R277" i="24"/>
  <c r="AJ277" i="24" s="1"/>
  <c r="P278" i="24"/>
  <c r="AH278" i="24" s="1"/>
  <c r="Q278" i="24"/>
  <c r="AI278" i="24" s="1"/>
  <c r="R278" i="24"/>
  <c r="AJ278" i="24" s="1"/>
  <c r="P279" i="24"/>
  <c r="AH279" i="24" s="1"/>
  <c r="Q279" i="24"/>
  <c r="AI279" i="24" s="1"/>
  <c r="R279" i="24"/>
  <c r="AJ279" i="24" s="1"/>
  <c r="P280" i="24"/>
  <c r="AH280" i="24" s="1"/>
  <c r="Q280" i="24"/>
  <c r="AI280" i="24" s="1"/>
  <c r="R280" i="24"/>
  <c r="AJ280" i="24" s="1"/>
  <c r="P281" i="24"/>
  <c r="AH281" i="24" s="1"/>
  <c r="Q281" i="24"/>
  <c r="AI281" i="24" s="1"/>
  <c r="R281" i="24"/>
  <c r="AJ281" i="24" s="1"/>
  <c r="P282" i="24"/>
  <c r="AH282" i="24" s="1"/>
  <c r="Q282" i="24"/>
  <c r="AI282" i="24" s="1"/>
  <c r="R282" i="24"/>
  <c r="AJ282" i="24" s="1"/>
  <c r="P283" i="24"/>
  <c r="AH283" i="24" s="1"/>
  <c r="Q283" i="24"/>
  <c r="AI283" i="24" s="1"/>
  <c r="R283" i="24"/>
  <c r="AJ283" i="24" s="1"/>
  <c r="P284" i="24"/>
  <c r="AH284" i="24" s="1"/>
  <c r="Q284" i="24"/>
  <c r="AI284" i="24" s="1"/>
  <c r="R284" i="24"/>
  <c r="AJ284" i="24" s="1"/>
  <c r="P285" i="24"/>
  <c r="AH285" i="24" s="1"/>
  <c r="Q285" i="24"/>
  <c r="AI285" i="24" s="1"/>
  <c r="R285" i="24"/>
  <c r="AJ285" i="24" s="1"/>
  <c r="P286" i="24"/>
  <c r="AH286" i="24" s="1"/>
  <c r="Q286" i="24"/>
  <c r="AI286" i="24" s="1"/>
  <c r="R286" i="24"/>
  <c r="AJ286" i="24" s="1"/>
  <c r="P287" i="24"/>
  <c r="AH287" i="24" s="1"/>
  <c r="Q287" i="24"/>
  <c r="AI287" i="24" s="1"/>
  <c r="R287" i="24"/>
  <c r="AJ287" i="24" s="1"/>
  <c r="P288" i="24"/>
  <c r="AH288" i="24" s="1"/>
  <c r="Q288" i="24"/>
  <c r="AI288" i="24" s="1"/>
  <c r="R288" i="24"/>
  <c r="AJ288" i="24" s="1"/>
  <c r="P289" i="24"/>
  <c r="AH289" i="24" s="1"/>
  <c r="Q289" i="24"/>
  <c r="AI289" i="24" s="1"/>
  <c r="R289" i="24"/>
  <c r="AJ289" i="24" s="1"/>
  <c r="P290" i="24"/>
  <c r="AH290" i="24" s="1"/>
  <c r="Q290" i="24"/>
  <c r="AI290" i="24" s="1"/>
  <c r="R290" i="24"/>
  <c r="AJ290" i="24" s="1"/>
  <c r="B275" i="24"/>
  <c r="U275" i="24" s="1"/>
  <c r="AK275" i="24" s="1"/>
  <c r="C275" i="24"/>
  <c r="V275" i="24" s="1"/>
  <c r="D275" i="24"/>
  <c r="W275" i="24" s="1"/>
  <c r="E275" i="24"/>
  <c r="X275" i="24" s="1"/>
  <c r="F275" i="24"/>
  <c r="Y275" i="24" s="1"/>
  <c r="G275" i="24"/>
  <c r="Z275" i="24" s="1"/>
  <c r="AG275" i="24" s="1"/>
  <c r="H275" i="24"/>
  <c r="AA275" i="24" s="1"/>
  <c r="I275" i="24"/>
  <c r="AB275" i="24" s="1"/>
  <c r="J275" i="24"/>
  <c r="AC275" i="24" s="1"/>
  <c r="L275" i="24"/>
  <c r="AE275" i="24" s="1"/>
  <c r="M275" i="24"/>
  <c r="AF275" i="24" s="1"/>
  <c r="B276" i="24"/>
  <c r="U276" i="24" s="1"/>
  <c r="AK276" i="24" s="1"/>
  <c r="C276" i="24"/>
  <c r="V276" i="24" s="1"/>
  <c r="D276" i="24"/>
  <c r="W276" i="24" s="1"/>
  <c r="E276" i="24"/>
  <c r="X276" i="24" s="1"/>
  <c r="F276" i="24"/>
  <c r="Y276" i="24" s="1"/>
  <c r="G276" i="24"/>
  <c r="Z276" i="24" s="1"/>
  <c r="AG276" i="24" s="1"/>
  <c r="H276" i="24"/>
  <c r="AA276" i="24" s="1"/>
  <c r="I276" i="24"/>
  <c r="AB276" i="24" s="1"/>
  <c r="J276" i="24"/>
  <c r="AC276" i="24" s="1"/>
  <c r="L276" i="24"/>
  <c r="AE276" i="24" s="1"/>
  <c r="M276" i="24"/>
  <c r="AF276" i="24" s="1"/>
  <c r="B277" i="24"/>
  <c r="U277" i="24" s="1"/>
  <c r="AK277" i="24" s="1"/>
  <c r="C277" i="24"/>
  <c r="V277" i="24" s="1"/>
  <c r="D277" i="24"/>
  <c r="W277" i="24" s="1"/>
  <c r="E277" i="24"/>
  <c r="X277" i="24" s="1"/>
  <c r="F277" i="24"/>
  <c r="Y277" i="24" s="1"/>
  <c r="G277" i="24"/>
  <c r="Z277" i="24" s="1"/>
  <c r="AG277" i="24" s="1"/>
  <c r="H277" i="24"/>
  <c r="AA277" i="24" s="1"/>
  <c r="I277" i="24"/>
  <c r="AB277" i="24" s="1"/>
  <c r="J277" i="24"/>
  <c r="AC277" i="24" s="1"/>
  <c r="L277" i="24"/>
  <c r="AE277" i="24" s="1"/>
  <c r="M277" i="24"/>
  <c r="AF277" i="24" s="1"/>
  <c r="B278" i="24"/>
  <c r="U278" i="24" s="1"/>
  <c r="AK278" i="24" s="1"/>
  <c r="C278" i="24"/>
  <c r="V278" i="24" s="1"/>
  <c r="D278" i="24"/>
  <c r="W278" i="24" s="1"/>
  <c r="E278" i="24"/>
  <c r="X278" i="24" s="1"/>
  <c r="F278" i="24"/>
  <c r="Y278" i="24" s="1"/>
  <c r="G278" i="24"/>
  <c r="Z278" i="24" s="1"/>
  <c r="AG278" i="24" s="1"/>
  <c r="H278" i="24"/>
  <c r="AA278" i="24" s="1"/>
  <c r="I278" i="24"/>
  <c r="AB278" i="24" s="1"/>
  <c r="J278" i="24"/>
  <c r="AC278" i="24" s="1"/>
  <c r="L278" i="24"/>
  <c r="AE278" i="24" s="1"/>
  <c r="M278" i="24"/>
  <c r="AF278" i="24" s="1"/>
  <c r="B279" i="24"/>
  <c r="U279" i="24" s="1"/>
  <c r="AK279" i="24" s="1"/>
  <c r="C279" i="24"/>
  <c r="V279" i="24" s="1"/>
  <c r="D279" i="24"/>
  <c r="W279" i="24" s="1"/>
  <c r="E279" i="24"/>
  <c r="X279" i="24" s="1"/>
  <c r="F279" i="24"/>
  <c r="Y279" i="24" s="1"/>
  <c r="G279" i="24"/>
  <c r="Z279" i="24" s="1"/>
  <c r="AG279" i="24" s="1"/>
  <c r="H279" i="24"/>
  <c r="AA279" i="24" s="1"/>
  <c r="I279" i="24"/>
  <c r="AB279" i="24" s="1"/>
  <c r="J279" i="24"/>
  <c r="AC279" i="24" s="1"/>
  <c r="L279" i="24"/>
  <c r="AE279" i="24" s="1"/>
  <c r="M279" i="24"/>
  <c r="AF279" i="24" s="1"/>
  <c r="B280" i="24"/>
  <c r="U280" i="24" s="1"/>
  <c r="AK280" i="24" s="1"/>
  <c r="C280" i="24"/>
  <c r="V280" i="24" s="1"/>
  <c r="D280" i="24"/>
  <c r="W280" i="24" s="1"/>
  <c r="E280" i="24"/>
  <c r="X280" i="24" s="1"/>
  <c r="F280" i="24"/>
  <c r="Y280" i="24" s="1"/>
  <c r="G280" i="24"/>
  <c r="Z280" i="24" s="1"/>
  <c r="AG280" i="24" s="1"/>
  <c r="H280" i="24"/>
  <c r="AA280" i="24" s="1"/>
  <c r="I280" i="24"/>
  <c r="AB280" i="24" s="1"/>
  <c r="J280" i="24"/>
  <c r="AC280" i="24" s="1"/>
  <c r="L280" i="24"/>
  <c r="AE280" i="24" s="1"/>
  <c r="M280" i="24"/>
  <c r="AF280" i="24" s="1"/>
  <c r="B281" i="24"/>
  <c r="U281" i="24" s="1"/>
  <c r="AK281" i="24" s="1"/>
  <c r="C281" i="24"/>
  <c r="V281" i="24" s="1"/>
  <c r="D281" i="24"/>
  <c r="W281" i="24" s="1"/>
  <c r="E281" i="24"/>
  <c r="X281" i="24" s="1"/>
  <c r="F281" i="24"/>
  <c r="Y281" i="24" s="1"/>
  <c r="G281" i="24"/>
  <c r="Z281" i="24" s="1"/>
  <c r="AG281" i="24" s="1"/>
  <c r="H281" i="24"/>
  <c r="AA281" i="24" s="1"/>
  <c r="I281" i="24"/>
  <c r="AB281" i="24" s="1"/>
  <c r="J281" i="24"/>
  <c r="AC281" i="24" s="1"/>
  <c r="L281" i="24"/>
  <c r="AE281" i="24" s="1"/>
  <c r="M281" i="24"/>
  <c r="AF281" i="24" s="1"/>
  <c r="B282" i="24"/>
  <c r="U282" i="24" s="1"/>
  <c r="AK282" i="24" s="1"/>
  <c r="C282" i="24"/>
  <c r="V282" i="24" s="1"/>
  <c r="D282" i="24"/>
  <c r="W282" i="24" s="1"/>
  <c r="E282" i="24"/>
  <c r="X282" i="24" s="1"/>
  <c r="F282" i="24"/>
  <c r="Y282" i="24" s="1"/>
  <c r="G282" i="24"/>
  <c r="Z282" i="24" s="1"/>
  <c r="AG282" i="24" s="1"/>
  <c r="H282" i="24"/>
  <c r="AA282" i="24" s="1"/>
  <c r="I282" i="24"/>
  <c r="AB282" i="24" s="1"/>
  <c r="J282" i="24"/>
  <c r="AC282" i="24" s="1"/>
  <c r="L282" i="24"/>
  <c r="AE282" i="24" s="1"/>
  <c r="M282" i="24"/>
  <c r="AF282" i="24" s="1"/>
  <c r="B283" i="24"/>
  <c r="U283" i="24" s="1"/>
  <c r="AK283" i="24" s="1"/>
  <c r="C283" i="24"/>
  <c r="V283" i="24" s="1"/>
  <c r="D283" i="24"/>
  <c r="W283" i="24" s="1"/>
  <c r="E283" i="24"/>
  <c r="X283" i="24" s="1"/>
  <c r="F283" i="24"/>
  <c r="Y283" i="24" s="1"/>
  <c r="G283" i="24"/>
  <c r="Z283" i="24" s="1"/>
  <c r="AG283" i="24" s="1"/>
  <c r="H283" i="24"/>
  <c r="AA283" i="24" s="1"/>
  <c r="I283" i="24"/>
  <c r="AB283" i="24" s="1"/>
  <c r="J283" i="24"/>
  <c r="AC283" i="24" s="1"/>
  <c r="L283" i="24"/>
  <c r="AE283" i="24" s="1"/>
  <c r="M283" i="24"/>
  <c r="AF283" i="24" s="1"/>
  <c r="B284" i="24"/>
  <c r="U284" i="24" s="1"/>
  <c r="AK284" i="24" s="1"/>
  <c r="C284" i="24"/>
  <c r="V284" i="24" s="1"/>
  <c r="D284" i="24"/>
  <c r="W284" i="24" s="1"/>
  <c r="E284" i="24"/>
  <c r="X284" i="24" s="1"/>
  <c r="F284" i="24"/>
  <c r="Y284" i="24" s="1"/>
  <c r="G284" i="24"/>
  <c r="Z284" i="24" s="1"/>
  <c r="AG284" i="24" s="1"/>
  <c r="H284" i="24"/>
  <c r="AA284" i="24" s="1"/>
  <c r="I284" i="24"/>
  <c r="AB284" i="24" s="1"/>
  <c r="J284" i="24"/>
  <c r="AC284" i="24" s="1"/>
  <c r="L284" i="24"/>
  <c r="AE284" i="24" s="1"/>
  <c r="M284" i="24"/>
  <c r="AF284" i="24" s="1"/>
  <c r="B285" i="24"/>
  <c r="U285" i="24" s="1"/>
  <c r="AK285" i="24" s="1"/>
  <c r="C285" i="24"/>
  <c r="V285" i="24" s="1"/>
  <c r="D285" i="24"/>
  <c r="W285" i="24" s="1"/>
  <c r="E285" i="24"/>
  <c r="X285" i="24" s="1"/>
  <c r="F285" i="24"/>
  <c r="Y285" i="24" s="1"/>
  <c r="G285" i="24"/>
  <c r="Z285" i="24" s="1"/>
  <c r="AG285" i="24" s="1"/>
  <c r="H285" i="24"/>
  <c r="AA285" i="24" s="1"/>
  <c r="I285" i="24"/>
  <c r="AB285" i="24" s="1"/>
  <c r="J285" i="24"/>
  <c r="AC285" i="24" s="1"/>
  <c r="L285" i="24"/>
  <c r="AE285" i="24" s="1"/>
  <c r="M285" i="24"/>
  <c r="AF285" i="24" s="1"/>
  <c r="B286" i="24"/>
  <c r="U286" i="24" s="1"/>
  <c r="AK286" i="24" s="1"/>
  <c r="C286" i="24"/>
  <c r="V286" i="24" s="1"/>
  <c r="D286" i="24"/>
  <c r="W286" i="24" s="1"/>
  <c r="E286" i="24"/>
  <c r="X286" i="24" s="1"/>
  <c r="F286" i="24"/>
  <c r="Y286" i="24" s="1"/>
  <c r="G286" i="24"/>
  <c r="Z286" i="24" s="1"/>
  <c r="AG286" i="24" s="1"/>
  <c r="H286" i="24"/>
  <c r="AA286" i="24" s="1"/>
  <c r="I286" i="24"/>
  <c r="AB286" i="24" s="1"/>
  <c r="J286" i="24"/>
  <c r="AC286" i="24" s="1"/>
  <c r="L286" i="24"/>
  <c r="AE286" i="24" s="1"/>
  <c r="M286" i="24"/>
  <c r="AF286" i="24" s="1"/>
  <c r="B287" i="24"/>
  <c r="U287" i="24" s="1"/>
  <c r="AK287" i="24" s="1"/>
  <c r="C287" i="24"/>
  <c r="V287" i="24" s="1"/>
  <c r="D287" i="24"/>
  <c r="W287" i="24" s="1"/>
  <c r="E287" i="24"/>
  <c r="X287" i="24" s="1"/>
  <c r="F287" i="24"/>
  <c r="Y287" i="24" s="1"/>
  <c r="G287" i="24"/>
  <c r="Z287" i="24" s="1"/>
  <c r="AG287" i="24" s="1"/>
  <c r="H287" i="24"/>
  <c r="AA287" i="24" s="1"/>
  <c r="I287" i="24"/>
  <c r="AB287" i="24" s="1"/>
  <c r="J287" i="24"/>
  <c r="AC287" i="24" s="1"/>
  <c r="L287" i="24"/>
  <c r="AE287" i="24" s="1"/>
  <c r="M287" i="24"/>
  <c r="AF287" i="24" s="1"/>
  <c r="B288" i="24"/>
  <c r="U288" i="24" s="1"/>
  <c r="AK288" i="24" s="1"/>
  <c r="C288" i="24"/>
  <c r="V288" i="24" s="1"/>
  <c r="D288" i="24"/>
  <c r="W288" i="24" s="1"/>
  <c r="E288" i="24"/>
  <c r="X288" i="24" s="1"/>
  <c r="F288" i="24"/>
  <c r="Y288" i="24" s="1"/>
  <c r="G288" i="24"/>
  <c r="Z288" i="24" s="1"/>
  <c r="AG288" i="24" s="1"/>
  <c r="H288" i="24"/>
  <c r="AA288" i="24" s="1"/>
  <c r="I288" i="24"/>
  <c r="AB288" i="24" s="1"/>
  <c r="J288" i="24"/>
  <c r="AC288" i="24" s="1"/>
  <c r="L288" i="24"/>
  <c r="AE288" i="24" s="1"/>
  <c r="M288" i="24"/>
  <c r="AF288" i="24" s="1"/>
  <c r="B289" i="24"/>
  <c r="U289" i="24" s="1"/>
  <c r="AK289" i="24" s="1"/>
  <c r="C289" i="24"/>
  <c r="V289" i="24" s="1"/>
  <c r="D289" i="24"/>
  <c r="W289" i="24" s="1"/>
  <c r="E289" i="24"/>
  <c r="X289" i="24" s="1"/>
  <c r="F289" i="24"/>
  <c r="Y289" i="24" s="1"/>
  <c r="G289" i="24"/>
  <c r="Z289" i="24" s="1"/>
  <c r="AG289" i="24" s="1"/>
  <c r="H289" i="24"/>
  <c r="AA289" i="24" s="1"/>
  <c r="I289" i="24"/>
  <c r="AB289" i="24" s="1"/>
  <c r="J289" i="24"/>
  <c r="AC289" i="24" s="1"/>
  <c r="L289" i="24"/>
  <c r="AE289" i="24" s="1"/>
  <c r="M289" i="24"/>
  <c r="AF289" i="24" s="1"/>
  <c r="B290" i="24"/>
  <c r="U290" i="24" s="1"/>
  <c r="AK290" i="24" s="1"/>
  <c r="C290" i="24"/>
  <c r="V290" i="24" s="1"/>
  <c r="D290" i="24"/>
  <c r="W290" i="24" s="1"/>
  <c r="E290" i="24"/>
  <c r="X290" i="24" s="1"/>
  <c r="F290" i="24"/>
  <c r="Y290" i="24" s="1"/>
  <c r="G290" i="24"/>
  <c r="Z290" i="24" s="1"/>
  <c r="AG290" i="24" s="1"/>
  <c r="H290" i="24"/>
  <c r="AA290" i="24" s="1"/>
  <c r="I290" i="24"/>
  <c r="AB290" i="24" s="1"/>
  <c r="J290" i="24"/>
  <c r="AC290" i="24" s="1"/>
  <c r="L290" i="24"/>
  <c r="AE290" i="24" s="1"/>
  <c r="M290" i="24"/>
  <c r="AF290" i="24" s="1"/>
  <c r="B211" i="24"/>
  <c r="U211" i="24" s="1"/>
  <c r="AK211" i="24" s="1"/>
  <c r="C211" i="24"/>
  <c r="V211" i="24" s="1"/>
  <c r="D211" i="24"/>
  <c r="W211" i="24" s="1"/>
  <c r="E211" i="24"/>
  <c r="X211" i="24" s="1"/>
  <c r="F211" i="24"/>
  <c r="Y211" i="24" s="1"/>
  <c r="G211" i="24"/>
  <c r="Z211" i="24" s="1"/>
  <c r="AG211" i="24" s="1"/>
  <c r="H211" i="24"/>
  <c r="AA211" i="24" s="1"/>
  <c r="I211" i="24"/>
  <c r="AB211" i="24" s="1"/>
  <c r="J211" i="24"/>
  <c r="AC211" i="24" s="1"/>
  <c r="L211" i="24"/>
  <c r="AE211" i="24" s="1"/>
  <c r="M211" i="24"/>
  <c r="AF211" i="24" s="1"/>
  <c r="B212" i="24"/>
  <c r="U212" i="24" s="1"/>
  <c r="AK212" i="24" s="1"/>
  <c r="C212" i="24"/>
  <c r="V212" i="24" s="1"/>
  <c r="D212" i="24"/>
  <c r="W212" i="24" s="1"/>
  <c r="E212" i="24"/>
  <c r="X212" i="24" s="1"/>
  <c r="F212" i="24"/>
  <c r="Y212" i="24" s="1"/>
  <c r="G212" i="24"/>
  <c r="Z212" i="24" s="1"/>
  <c r="AG212" i="24" s="1"/>
  <c r="H212" i="24"/>
  <c r="AA212" i="24" s="1"/>
  <c r="I212" i="24"/>
  <c r="AB212" i="24" s="1"/>
  <c r="J212" i="24"/>
  <c r="AC212" i="24" s="1"/>
  <c r="L212" i="24"/>
  <c r="AE212" i="24" s="1"/>
  <c r="M212" i="24"/>
  <c r="AF212" i="24" s="1"/>
  <c r="B213" i="24"/>
  <c r="U213" i="24" s="1"/>
  <c r="AK213" i="24" s="1"/>
  <c r="C213" i="24"/>
  <c r="V213" i="24" s="1"/>
  <c r="D213" i="24"/>
  <c r="W213" i="24" s="1"/>
  <c r="E213" i="24"/>
  <c r="X213" i="24" s="1"/>
  <c r="F213" i="24"/>
  <c r="Y213" i="24" s="1"/>
  <c r="G213" i="24"/>
  <c r="Z213" i="24" s="1"/>
  <c r="AG213" i="24" s="1"/>
  <c r="H213" i="24"/>
  <c r="AA213" i="24" s="1"/>
  <c r="I213" i="24"/>
  <c r="AB213" i="24" s="1"/>
  <c r="J213" i="24"/>
  <c r="AC213" i="24" s="1"/>
  <c r="L213" i="24"/>
  <c r="AE213" i="24" s="1"/>
  <c r="M213" i="24"/>
  <c r="AF213" i="24" s="1"/>
  <c r="B214" i="24"/>
  <c r="U214" i="24" s="1"/>
  <c r="AK214" i="24" s="1"/>
  <c r="C214" i="24"/>
  <c r="V214" i="24" s="1"/>
  <c r="D214" i="24"/>
  <c r="W214" i="24" s="1"/>
  <c r="E214" i="24"/>
  <c r="X214" i="24" s="1"/>
  <c r="F214" i="24"/>
  <c r="Y214" i="24" s="1"/>
  <c r="G214" i="24"/>
  <c r="Z214" i="24" s="1"/>
  <c r="AG214" i="24" s="1"/>
  <c r="H214" i="24"/>
  <c r="AA214" i="24" s="1"/>
  <c r="I214" i="24"/>
  <c r="AB214" i="24" s="1"/>
  <c r="J214" i="24"/>
  <c r="AC214" i="24" s="1"/>
  <c r="L214" i="24"/>
  <c r="AE214" i="24" s="1"/>
  <c r="M214" i="24"/>
  <c r="AF214" i="24" s="1"/>
  <c r="B215" i="24"/>
  <c r="U215" i="24" s="1"/>
  <c r="AK215" i="24" s="1"/>
  <c r="C215" i="24"/>
  <c r="V215" i="24" s="1"/>
  <c r="D215" i="24"/>
  <c r="W215" i="24" s="1"/>
  <c r="E215" i="24"/>
  <c r="X215" i="24" s="1"/>
  <c r="F215" i="24"/>
  <c r="Y215" i="24" s="1"/>
  <c r="G215" i="24"/>
  <c r="Z215" i="24" s="1"/>
  <c r="AG215" i="24" s="1"/>
  <c r="H215" i="24"/>
  <c r="AA215" i="24" s="1"/>
  <c r="I215" i="24"/>
  <c r="AB215" i="24" s="1"/>
  <c r="J215" i="24"/>
  <c r="AC215" i="24" s="1"/>
  <c r="L215" i="24"/>
  <c r="AE215" i="24" s="1"/>
  <c r="M215" i="24"/>
  <c r="AF215" i="24" s="1"/>
  <c r="B216" i="24"/>
  <c r="U216" i="24" s="1"/>
  <c r="AK216" i="24" s="1"/>
  <c r="C216" i="24"/>
  <c r="V216" i="24" s="1"/>
  <c r="D216" i="24"/>
  <c r="W216" i="24" s="1"/>
  <c r="E216" i="24"/>
  <c r="X216" i="24" s="1"/>
  <c r="F216" i="24"/>
  <c r="Y216" i="24" s="1"/>
  <c r="G216" i="24"/>
  <c r="Z216" i="24" s="1"/>
  <c r="AG216" i="24" s="1"/>
  <c r="H216" i="24"/>
  <c r="AA216" i="24" s="1"/>
  <c r="I216" i="24"/>
  <c r="AB216" i="24" s="1"/>
  <c r="J216" i="24"/>
  <c r="AC216" i="24" s="1"/>
  <c r="L216" i="24"/>
  <c r="AE216" i="24" s="1"/>
  <c r="M216" i="24"/>
  <c r="AF216" i="24" s="1"/>
  <c r="B217" i="24"/>
  <c r="U217" i="24" s="1"/>
  <c r="AK217" i="24" s="1"/>
  <c r="C217" i="24"/>
  <c r="V217" i="24" s="1"/>
  <c r="D217" i="24"/>
  <c r="W217" i="24" s="1"/>
  <c r="E217" i="24"/>
  <c r="X217" i="24" s="1"/>
  <c r="F217" i="24"/>
  <c r="Y217" i="24" s="1"/>
  <c r="G217" i="24"/>
  <c r="Z217" i="24" s="1"/>
  <c r="AG217" i="24" s="1"/>
  <c r="H217" i="24"/>
  <c r="AA217" i="24" s="1"/>
  <c r="I217" i="24"/>
  <c r="AB217" i="24" s="1"/>
  <c r="J217" i="24"/>
  <c r="AC217" i="24" s="1"/>
  <c r="L217" i="24"/>
  <c r="AE217" i="24" s="1"/>
  <c r="M217" i="24"/>
  <c r="AF217" i="24" s="1"/>
  <c r="B218" i="24"/>
  <c r="U218" i="24" s="1"/>
  <c r="AK218" i="24" s="1"/>
  <c r="C218" i="24"/>
  <c r="V218" i="24" s="1"/>
  <c r="D218" i="24"/>
  <c r="W218" i="24" s="1"/>
  <c r="E218" i="24"/>
  <c r="X218" i="24" s="1"/>
  <c r="F218" i="24"/>
  <c r="Y218" i="24" s="1"/>
  <c r="G218" i="24"/>
  <c r="Z218" i="24" s="1"/>
  <c r="AG218" i="24" s="1"/>
  <c r="H218" i="24"/>
  <c r="AA218" i="24" s="1"/>
  <c r="I218" i="24"/>
  <c r="AB218" i="24" s="1"/>
  <c r="J218" i="24"/>
  <c r="AC218" i="24" s="1"/>
  <c r="L218" i="24"/>
  <c r="AE218" i="24" s="1"/>
  <c r="M218" i="24"/>
  <c r="AF218" i="24" s="1"/>
  <c r="B219" i="24"/>
  <c r="U219" i="24" s="1"/>
  <c r="AK219" i="24" s="1"/>
  <c r="C219" i="24"/>
  <c r="V219" i="24" s="1"/>
  <c r="D219" i="24"/>
  <c r="W219" i="24" s="1"/>
  <c r="E219" i="24"/>
  <c r="X219" i="24" s="1"/>
  <c r="F219" i="24"/>
  <c r="Y219" i="24" s="1"/>
  <c r="G219" i="24"/>
  <c r="Z219" i="24" s="1"/>
  <c r="AG219" i="24" s="1"/>
  <c r="H219" i="24"/>
  <c r="AA219" i="24" s="1"/>
  <c r="I219" i="24"/>
  <c r="AB219" i="24" s="1"/>
  <c r="J219" i="24"/>
  <c r="AC219" i="24" s="1"/>
  <c r="L219" i="24"/>
  <c r="AE219" i="24" s="1"/>
  <c r="M219" i="24"/>
  <c r="AF219" i="24" s="1"/>
  <c r="B220" i="24"/>
  <c r="U220" i="24" s="1"/>
  <c r="AK220" i="24" s="1"/>
  <c r="C220" i="24"/>
  <c r="V220" i="24" s="1"/>
  <c r="D220" i="24"/>
  <c r="W220" i="24" s="1"/>
  <c r="E220" i="24"/>
  <c r="X220" i="24" s="1"/>
  <c r="F220" i="24"/>
  <c r="Y220" i="24" s="1"/>
  <c r="G220" i="24"/>
  <c r="Z220" i="24" s="1"/>
  <c r="AG220" i="24" s="1"/>
  <c r="H220" i="24"/>
  <c r="AA220" i="24" s="1"/>
  <c r="I220" i="24"/>
  <c r="AB220" i="24" s="1"/>
  <c r="J220" i="24"/>
  <c r="AC220" i="24" s="1"/>
  <c r="L220" i="24"/>
  <c r="AE220" i="24" s="1"/>
  <c r="M220" i="24"/>
  <c r="AF220" i="24" s="1"/>
  <c r="B221" i="24"/>
  <c r="U221" i="24" s="1"/>
  <c r="AK221" i="24" s="1"/>
  <c r="C221" i="24"/>
  <c r="V221" i="24" s="1"/>
  <c r="D221" i="24"/>
  <c r="W221" i="24" s="1"/>
  <c r="E221" i="24"/>
  <c r="X221" i="24" s="1"/>
  <c r="F221" i="24"/>
  <c r="Y221" i="24" s="1"/>
  <c r="G221" i="24"/>
  <c r="Z221" i="24" s="1"/>
  <c r="AG221" i="24" s="1"/>
  <c r="H221" i="24"/>
  <c r="AA221" i="24" s="1"/>
  <c r="I221" i="24"/>
  <c r="AB221" i="24" s="1"/>
  <c r="J221" i="24"/>
  <c r="AC221" i="24" s="1"/>
  <c r="L221" i="24"/>
  <c r="AE221" i="24" s="1"/>
  <c r="M221" i="24"/>
  <c r="AF221" i="24" s="1"/>
  <c r="B222" i="24"/>
  <c r="U222" i="24" s="1"/>
  <c r="AK222" i="24" s="1"/>
  <c r="C222" i="24"/>
  <c r="V222" i="24" s="1"/>
  <c r="D222" i="24"/>
  <c r="W222" i="24" s="1"/>
  <c r="E222" i="24"/>
  <c r="X222" i="24" s="1"/>
  <c r="F222" i="24"/>
  <c r="Y222" i="24" s="1"/>
  <c r="G222" i="24"/>
  <c r="Z222" i="24" s="1"/>
  <c r="AG222" i="24" s="1"/>
  <c r="H222" i="24"/>
  <c r="AA222" i="24" s="1"/>
  <c r="I222" i="24"/>
  <c r="AB222" i="24" s="1"/>
  <c r="J222" i="24"/>
  <c r="AC222" i="24" s="1"/>
  <c r="L222" i="24"/>
  <c r="AE222" i="24" s="1"/>
  <c r="M222" i="24"/>
  <c r="AF222" i="24" s="1"/>
  <c r="B223" i="24"/>
  <c r="U223" i="24" s="1"/>
  <c r="AK223" i="24" s="1"/>
  <c r="C223" i="24"/>
  <c r="V223" i="24" s="1"/>
  <c r="D223" i="24"/>
  <c r="W223" i="24" s="1"/>
  <c r="E223" i="24"/>
  <c r="X223" i="24" s="1"/>
  <c r="F223" i="24"/>
  <c r="Y223" i="24" s="1"/>
  <c r="G223" i="24"/>
  <c r="Z223" i="24" s="1"/>
  <c r="AG223" i="24" s="1"/>
  <c r="H223" i="24"/>
  <c r="AA223" i="24" s="1"/>
  <c r="I223" i="24"/>
  <c r="AB223" i="24" s="1"/>
  <c r="J223" i="24"/>
  <c r="AC223" i="24" s="1"/>
  <c r="L223" i="24"/>
  <c r="AE223" i="24" s="1"/>
  <c r="M223" i="24"/>
  <c r="AF223" i="24" s="1"/>
  <c r="B224" i="24"/>
  <c r="U224" i="24" s="1"/>
  <c r="AK224" i="24" s="1"/>
  <c r="C224" i="24"/>
  <c r="V224" i="24" s="1"/>
  <c r="D224" i="24"/>
  <c r="W224" i="24" s="1"/>
  <c r="E224" i="24"/>
  <c r="X224" i="24" s="1"/>
  <c r="F224" i="24"/>
  <c r="Y224" i="24" s="1"/>
  <c r="G224" i="24"/>
  <c r="Z224" i="24" s="1"/>
  <c r="AG224" i="24" s="1"/>
  <c r="H224" i="24"/>
  <c r="AA224" i="24" s="1"/>
  <c r="I224" i="24"/>
  <c r="AB224" i="24" s="1"/>
  <c r="J224" i="24"/>
  <c r="AC224" i="24" s="1"/>
  <c r="L224" i="24"/>
  <c r="AE224" i="24" s="1"/>
  <c r="M224" i="24"/>
  <c r="AF224" i="24" s="1"/>
  <c r="B225" i="24"/>
  <c r="U225" i="24" s="1"/>
  <c r="AK225" i="24" s="1"/>
  <c r="C225" i="24"/>
  <c r="V225" i="24" s="1"/>
  <c r="D225" i="24"/>
  <c r="W225" i="24" s="1"/>
  <c r="E225" i="24"/>
  <c r="X225" i="24" s="1"/>
  <c r="F225" i="24"/>
  <c r="Y225" i="24" s="1"/>
  <c r="G225" i="24"/>
  <c r="Z225" i="24" s="1"/>
  <c r="AG225" i="24" s="1"/>
  <c r="H225" i="24"/>
  <c r="AA225" i="24" s="1"/>
  <c r="I225" i="24"/>
  <c r="AB225" i="24" s="1"/>
  <c r="J225" i="24"/>
  <c r="AC225" i="24" s="1"/>
  <c r="L225" i="24"/>
  <c r="AE225" i="24" s="1"/>
  <c r="M225" i="24"/>
  <c r="AF225" i="24" s="1"/>
  <c r="B226" i="24"/>
  <c r="U226" i="24" s="1"/>
  <c r="AK226" i="24" s="1"/>
  <c r="C226" i="24"/>
  <c r="V226" i="24" s="1"/>
  <c r="D226" i="24"/>
  <c r="W226" i="24" s="1"/>
  <c r="E226" i="24"/>
  <c r="X226" i="24" s="1"/>
  <c r="F226" i="24"/>
  <c r="Y226" i="24" s="1"/>
  <c r="G226" i="24"/>
  <c r="Z226" i="24" s="1"/>
  <c r="AG226" i="24" s="1"/>
  <c r="H226" i="24"/>
  <c r="AA226" i="24" s="1"/>
  <c r="I226" i="24"/>
  <c r="AB226" i="24" s="1"/>
  <c r="J226" i="24"/>
  <c r="AC226" i="24" s="1"/>
  <c r="L226" i="24"/>
  <c r="AE226" i="24" s="1"/>
  <c r="M226" i="24"/>
  <c r="AF226" i="24" s="1"/>
  <c r="B227" i="24"/>
  <c r="U227" i="24" s="1"/>
  <c r="AK227" i="24" s="1"/>
  <c r="C227" i="24"/>
  <c r="V227" i="24" s="1"/>
  <c r="D227" i="24"/>
  <c r="W227" i="24" s="1"/>
  <c r="E227" i="24"/>
  <c r="X227" i="24" s="1"/>
  <c r="F227" i="24"/>
  <c r="Y227" i="24" s="1"/>
  <c r="G227" i="24"/>
  <c r="Z227" i="24" s="1"/>
  <c r="AG227" i="24" s="1"/>
  <c r="H227" i="24"/>
  <c r="AA227" i="24" s="1"/>
  <c r="I227" i="24"/>
  <c r="AB227" i="24" s="1"/>
  <c r="J227" i="24"/>
  <c r="AC227" i="24" s="1"/>
  <c r="L227" i="24"/>
  <c r="AE227" i="24" s="1"/>
  <c r="M227" i="24"/>
  <c r="AF227" i="24" s="1"/>
  <c r="B228" i="24"/>
  <c r="U228" i="24" s="1"/>
  <c r="AK228" i="24" s="1"/>
  <c r="C228" i="24"/>
  <c r="V228" i="24" s="1"/>
  <c r="D228" i="24"/>
  <c r="W228" i="24" s="1"/>
  <c r="E228" i="24"/>
  <c r="X228" i="24" s="1"/>
  <c r="F228" i="24"/>
  <c r="Y228" i="24" s="1"/>
  <c r="G228" i="24"/>
  <c r="Z228" i="24" s="1"/>
  <c r="AG228" i="24" s="1"/>
  <c r="H228" i="24"/>
  <c r="AA228" i="24" s="1"/>
  <c r="I228" i="24"/>
  <c r="AB228" i="24" s="1"/>
  <c r="J228" i="24"/>
  <c r="AC228" i="24" s="1"/>
  <c r="L228" i="24"/>
  <c r="AE228" i="24" s="1"/>
  <c r="M228" i="24"/>
  <c r="AF228" i="24" s="1"/>
  <c r="B229" i="24"/>
  <c r="U229" i="24" s="1"/>
  <c r="AK229" i="24" s="1"/>
  <c r="C229" i="24"/>
  <c r="V229" i="24" s="1"/>
  <c r="D229" i="24"/>
  <c r="W229" i="24" s="1"/>
  <c r="E229" i="24"/>
  <c r="X229" i="24" s="1"/>
  <c r="F229" i="24"/>
  <c r="Y229" i="24" s="1"/>
  <c r="G229" i="24"/>
  <c r="Z229" i="24" s="1"/>
  <c r="AG229" i="24" s="1"/>
  <c r="H229" i="24"/>
  <c r="AA229" i="24" s="1"/>
  <c r="I229" i="24"/>
  <c r="AB229" i="24" s="1"/>
  <c r="J229" i="24"/>
  <c r="AC229" i="24" s="1"/>
  <c r="L229" i="24"/>
  <c r="AE229" i="24" s="1"/>
  <c r="M229" i="24"/>
  <c r="AF229" i="24" s="1"/>
  <c r="B230" i="24"/>
  <c r="U230" i="24" s="1"/>
  <c r="AK230" i="24" s="1"/>
  <c r="C230" i="24"/>
  <c r="V230" i="24" s="1"/>
  <c r="D230" i="24"/>
  <c r="W230" i="24" s="1"/>
  <c r="E230" i="24"/>
  <c r="X230" i="24" s="1"/>
  <c r="F230" i="24"/>
  <c r="Y230" i="24" s="1"/>
  <c r="G230" i="24"/>
  <c r="Z230" i="24" s="1"/>
  <c r="AG230" i="24" s="1"/>
  <c r="H230" i="24"/>
  <c r="AA230" i="24" s="1"/>
  <c r="I230" i="24"/>
  <c r="AB230" i="24" s="1"/>
  <c r="J230" i="24"/>
  <c r="AC230" i="24" s="1"/>
  <c r="L230" i="24"/>
  <c r="AE230" i="24" s="1"/>
  <c r="M230" i="24"/>
  <c r="AF230" i="24" s="1"/>
  <c r="B231" i="24"/>
  <c r="U231" i="24" s="1"/>
  <c r="AK231" i="24" s="1"/>
  <c r="C231" i="24"/>
  <c r="V231" i="24" s="1"/>
  <c r="D231" i="24"/>
  <c r="W231" i="24" s="1"/>
  <c r="E231" i="24"/>
  <c r="X231" i="24" s="1"/>
  <c r="F231" i="24"/>
  <c r="Y231" i="24" s="1"/>
  <c r="G231" i="24"/>
  <c r="Z231" i="24" s="1"/>
  <c r="AG231" i="24" s="1"/>
  <c r="H231" i="24"/>
  <c r="AA231" i="24" s="1"/>
  <c r="I231" i="24"/>
  <c r="AB231" i="24" s="1"/>
  <c r="J231" i="24"/>
  <c r="AC231" i="24" s="1"/>
  <c r="L231" i="24"/>
  <c r="AE231" i="24" s="1"/>
  <c r="M231" i="24"/>
  <c r="AF231" i="24" s="1"/>
  <c r="B232" i="24"/>
  <c r="U232" i="24" s="1"/>
  <c r="AK232" i="24" s="1"/>
  <c r="C232" i="24"/>
  <c r="V232" i="24" s="1"/>
  <c r="D232" i="24"/>
  <c r="W232" i="24" s="1"/>
  <c r="E232" i="24"/>
  <c r="X232" i="24" s="1"/>
  <c r="F232" i="24"/>
  <c r="Y232" i="24" s="1"/>
  <c r="G232" i="24"/>
  <c r="Z232" i="24" s="1"/>
  <c r="AG232" i="24" s="1"/>
  <c r="H232" i="24"/>
  <c r="AA232" i="24" s="1"/>
  <c r="I232" i="24"/>
  <c r="AB232" i="24" s="1"/>
  <c r="J232" i="24"/>
  <c r="AC232" i="24" s="1"/>
  <c r="L232" i="24"/>
  <c r="AE232" i="24" s="1"/>
  <c r="M232" i="24"/>
  <c r="AF232" i="24" s="1"/>
  <c r="B233" i="24"/>
  <c r="U233" i="24" s="1"/>
  <c r="AK233" i="24" s="1"/>
  <c r="C233" i="24"/>
  <c r="V233" i="24" s="1"/>
  <c r="D233" i="24"/>
  <c r="W233" i="24" s="1"/>
  <c r="E233" i="24"/>
  <c r="X233" i="24" s="1"/>
  <c r="F233" i="24"/>
  <c r="Y233" i="24" s="1"/>
  <c r="G233" i="24"/>
  <c r="Z233" i="24" s="1"/>
  <c r="AG233" i="24" s="1"/>
  <c r="H233" i="24"/>
  <c r="AA233" i="24" s="1"/>
  <c r="I233" i="24"/>
  <c r="AB233" i="24" s="1"/>
  <c r="J233" i="24"/>
  <c r="AC233" i="24" s="1"/>
  <c r="L233" i="24"/>
  <c r="AE233" i="24" s="1"/>
  <c r="M233" i="24"/>
  <c r="AF233" i="24" s="1"/>
  <c r="B234" i="24"/>
  <c r="U234" i="24" s="1"/>
  <c r="AK234" i="24" s="1"/>
  <c r="C234" i="24"/>
  <c r="V234" i="24" s="1"/>
  <c r="D234" i="24"/>
  <c r="W234" i="24" s="1"/>
  <c r="E234" i="24"/>
  <c r="X234" i="24" s="1"/>
  <c r="F234" i="24"/>
  <c r="Y234" i="24" s="1"/>
  <c r="G234" i="24"/>
  <c r="Z234" i="24" s="1"/>
  <c r="AG234" i="24" s="1"/>
  <c r="H234" i="24"/>
  <c r="AA234" i="24" s="1"/>
  <c r="I234" i="24"/>
  <c r="AB234" i="24" s="1"/>
  <c r="J234" i="24"/>
  <c r="AC234" i="24" s="1"/>
  <c r="L234" i="24"/>
  <c r="AE234" i="24" s="1"/>
  <c r="M234" i="24"/>
  <c r="AF234" i="24" s="1"/>
  <c r="B235" i="24"/>
  <c r="U235" i="24" s="1"/>
  <c r="AK235" i="24" s="1"/>
  <c r="C235" i="24"/>
  <c r="V235" i="24" s="1"/>
  <c r="D235" i="24"/>
  <c r="W235" i="24" s="1"/>
  <c r="E235" i="24"/>
  <c r="X235" i="24" s="1"/>
  <c r="F235" i="24"/>
  <c r="Y235" i="24" s="1"/>
  <c r="G235" i="24"/>
  <c r="Z235" i="24" s="1"/>
  <c r="AG235" i="24" s="1"/>
  <c r="H235" i="24"/>
  <c r="AA235" i="24" s="1"/>
  <c r="I235" i="24"/>
  <c r="AB235" i="24" s="1"/>
  <c r="J235" i="24"/>
  <c r="AC235" i="24" s="1"/>
  <c r="L235" i="24"/>
  <c r="AE235" i="24" s="1"/>
  <c r="M235" i="24"/>
  <c r="AF235" i="24" s="1"/>
  <c r="B236" i="24"/>
  <c r="U236" i="24" s="1"/>
  <c r="AK236" i="24" s="1"/>
  <c r="C236" i="24"/>
  <c r="V236" i="24" s="1"/>
  <c r="D236" i="24"/>
  <c r="W236" i="24" s="1"/>
  <c r="E236" i="24"/>
  <c r="X236" i="24" s="1"/>
  <c r="F236" i="24"/>
  <c r="Y236" i="24" s="1"/>
  <c r="G236" i="24"/>
  <c r="Z236" i="24" s="1"/>
  <c r="AG236" i="24" s="1"/>
  <c r="H236" i="24"/>
  <c r="AA236" i="24" s="1"/>
  <c r="I236" i="24"/>
  <c r="AB236" i="24" s="1"/>
  <c r="J236" i="24"/>
  <c r="AC236" i="24" s="1"/>
  <c r="L236" i="24"/>
  <c r="AE236" i="24" s="1"/>
  <c r="M236" i="24"/>
  <c r="AF236" i="24" s="1"/>
  <c r="B237" i="24"/>
  <c r="U237" i="24" s="1"/>
  <c r="AK237" i="24" s="1"/>
  <c r="C237" i="24"/>
  <c r="V237" i="24" s="1"/>
  <c r="D237" i="24"/>
  <c r="W237" i="24" s="1"/>
  <c r="E237" i="24"/>
  <c r="X237" i="24" s="1"/>
  <c r="F237" i="24"/>
  <c r="Y237" i="24" s="1"/>
  <c r="G237" i="24"/>
  <c r="Z237" i="24" s="1"/>
  <c r="AG237" i="24" s="1"/>
  <c r="H237" i="24"/>
  <c r="AA237" i="24" s="1"/>
  <c r="I237" i="24"/>
  <c r="AB237" i="24" s="1"/>
  <c r="J237" i="24"/>
  <c r="AC237" i="24" s="1"/>
  <c r="L237" i="24"/>
  <c r="AE237" i="24" s="1"/>
  <c r="M237" i="24"/>
  <c r="AF237" i="24" s="1"/>
  <c r="B238" i="24"/>
  <c r="U238" i="24" s="1"/>
  <c r="AK238" i="24" s="1"/>
  <c r="C238" i="24"/>
  <c r="V238" i="24" s="1"/>
  <c r="D238" i="24"/>
  <c r="W238" i="24" s="1"/>
  <c r="E238" i="24"/>
  <c r="X238" i="24" s="1"/>
  <c r="F238" i="24"/>
  <c r="Y238" i="24" s="1"/>
  <c r="G238" i="24"/>
  <c r="Z238" i="24" s="1"/>
  <c r="AG238" i="24" s="1"/>
  <c r="H238" i="24"/>
  <c r="AA238" i="24" s="1"/>
  <c r="I238" i="24"/>
  <c r="AB238" i="24" s="1"/>
  <c r="J238" i="24"/>
  <c r="AC238" i="24" s="1"/>
  <c r="L238" i="24"/>
  <c r="AE238" i="24" s="1"/>
  <c r="M238" i="24"/>
  <c r="AF238" i="24" s="1"/>
  <c r="B239" i="24"/>
  <c r="U239" i="24" s="1"/>
  <c r="AK239" i="24" s="1"/>
  <c r="C239" i="24"/>
  <c r="V239" i="24" s="1"/>
  <c r="D239" i="24"/>
  <c r="W239" i="24" s="1"/>
  <c r="E239" i="24"/>
  <c r="X239" i="24" s="1"/>
  <c r="F239" i="24"/>
  <c r="Y239" i="24" s="1"/>
  <c r="G239" i="24"/>
  <c r="Z239" i="24" s="1"/>
  <c r="AG239" i="24" s="1"/>
  <c r="H239" i="24"/>
  <c r="AA239" i="24" s="1"/>
  <c r="I239" i="24"/>
  <c r="AB239" i="24" s="1"/>
  <c r="J239" i="24"/>
  <c r="AC239" i="24" s="1"/>
  <c r="L239" i="24"/>
  <c r="AE239" i="24" s="1"/>
  <c r="M239" i="24"/>
  <c r="AF239" i="24" s="1"/>
  <c r="B240" i="24"/>
  <c r="U240" i="24" s="1"/>
  <c r="AK240" i="24" s="1"/>
  <c r="C240" i="24"/>
  <c r="V240" i="24" s="1"/>
  <c r="D240" i="24"/>
  <c r="W240" i="24" s="1"/>
  <c r="E240" i="24"/>
  <c r="X240" i="24" s="1"/>
  <c r="F240" i="24"/>
  <c r="Y240" i="24" s="1"/>
  <c r="G240" i="24"/>
  <c r="Z240" i="24" s="1"/>
  <c r="AG240" i="24" s="1"/>
  <c r="H240" i="24"/>
  <c r="AA240" i="24" s="1"/>
  <c r="I240" i="24"/>
  <c r="AB240" i="24" s="1"/>
  <c r="J240" i="24"/>
  <c r="AC240" i="24" s="1"/>
  <c r="L240" i="24"/>
  <c r="AE240" i="24" s="1"/>
  <c r="M240" i="24"/>
  <c r="AF240" i="24" s="1"/>
  <c r="B241" i="24"/>
  <c r="U241" i="24" s="1"/>
  <c r="AK241" i="24" s="1"/>
  <c r="C241" i="24"/>
  <c r="V241" i="24" s="1"/>
  <c r="D241" i="24"/>
  <c r="W241" i="24" s="1"/>
  <c r="E241" i="24"/>
  <c r="X241" i="24" s="1"/>
  <c r="F241" i="24"/>
  <c r="Y241" i="24" s="1"/>
  <c r="G241" i="24"/>
  <c r="Z241" i="24" s="1"/>
  <c r="AG241" i="24" s="1"/>
  <c r="H241" i="24"/>
  <c r="AA241" i="24" s="1"/>
  <c r="I241" i="24"/>
  <c r="AB241" i="24" s="1"/>
  <c r="J241" i="24"/>
  <c r="AC241" i="24" s="1"/>
  <c r="L241" i="24"/>
  <c r="AE241" i="24" s="1"/>
  <c r="M241" i="24"/>
  <c r="AF241" i="24" s="1"/>
  <c r="B242" i="24"/>
  <c r="U242" i="24" s="1"/>
  <c r="AK242" i="24" s="1"/>
  <c r="C242" i="24"/>
  <c r="V242" i="24" s="1"/>
  <c r="D242" i="24"/>
  <c r="W242" i="24" s="1"/>
  <c r="E242" i="24"/>
  <c r="X242" i="24" s="1"/>
  <c r="F242" i="24"/>
  <c r="Y242" i="24" s="1"/>
  <c r="G242" i="24"/>
  <c r="Z242" i="24" s="1"/>
  <c r="AG242" i="24" s="1"/>
  <c r="H242" i="24"/>
  <c r="AA242" i="24" s="1"/>
  <c r="I242" i="24"/>
  <c r="AB242" i="24" s="1"/>
  <c r="J242" i="24"/>
  <c r="AC242" i="24" s="1"/>
  <c r="L242" i="24"/>
  <c r="AE242" i="24" s="1"/>
  <c r="M242" i="24"/>
  <c r="AF242" i="24" s="1"/>
  <c r="B243" i="24"/>
  <c r="U243" i="24" s="1"/>
  <c r="AK243" i="24" s="1"/>
  <c r="C243" i="24"/>
  <c r="V243" i="24" s="1"/>
  <c r="D243" i="24"/>
  <c r="W243" i="24" s="1"/>
  <c r="E243" i="24"/>
  <c r="X243" i="24" s="1"/>
  <c r="F243" i="24"/>
  <c r="Y243" i="24" s="1"/>
  <c r="G243" i="24"/>
  <c r="Z243" i="24" s="1"/>
  <c r="AG243" i="24" s="1"/>
  <c r="H243" i="24"/>
  <c r="AA243" i="24" s="1"/>
  <c r="I243" i="24"/>
  <c r="AB243" i="24" s="1"/>
  <c r="J243" i="24"/>
  <c r="AC243" i="24" s="1"/>
  <c r="L243" i="24"/>
  <c r="AE243" i="24" s="1"/>
  <c r="M243" i="24"/>
  <c r="AF243" i="24" s="1"/>
  <c r="B244" i="24"/>
  <c r="U244" i="24" s="1"/>
  <c r="AK244" i="24" s="1"/>
  <c r="C244" i="24"/>
  <c r="V244" i="24" s="1"/>
  <c r="D244" i="24"/>
  <c r="W244" i="24" s="1"/>
  <c r="E244" i="24"/>
  <c r="X244" i="24" s="1"/>
  <c r="F244" i="24"/>
  <c r="Y244" i="24" s="1"/>
  <c r="G244" i="24"/>
  <c r="Z244" i="24" s="1"/>
  <c r="AG244" i="24" s="1"/>
  <c r="H244" i="24"/>
  <c r="AA244" i="24" s="1"/>
  <c r="I244" i="24"/>
  <c r="AB244" i="24" s="1"/>
  <c r="J244" i="24"/>
  <c r="AC244" i="24" s="1"/>
  <c r="L244" i="24"/>
  <c r="AE244" i="24" s="1"/>
  <c r="M244" i="24"/>
  <c r="AF244" i="24" s="1"/>
  <c r="B245" i="24"/>
  <c r="U245" i="24" s="1"/>
  <c r="AK245" i="24" s="1"/>
  <c r="C245" i="24"/>
  <c r="V245" i="24" s="1"/>
  <c r="D245" i="24"/>
  <c r="W245" i="24" s="1"/>
  <c r="E245" i="24"/>
  <c r="X245" i="24" s="1"/>
  <c r="F245" i="24"/>
  <c r="Y245" i="24" s="1"/>
  <c r="G245" i="24"/>
  <c r="Z245" i="24" s="1"/>
  <c r="AG245" i="24" s="1"/>
  <c r="H245" i="24"/>
  <c r="AA245" i="24" s="1"/>
  <c r="I245" i="24"/>
  <c r="AB245" i="24" s="1"/>
  <c r="J245" i="24"/>
  <c r="AC245" i="24" s="1"/>
  <c r="L245" i="24"/>
  <c r="AE245" i="24" s="1"/>
  <c r="M245" i="24"/>
  <c r="AF245" i="24" s="1"/>
  <c r="B246" i="24"/>
  <c r="U246" i="24" s="1"/>
  <c r="AK246" i="24" s="1"/>
  <c r="C246" i="24"/>
  <c r="V246" i="24" s="1"/>
  <c r="D246" i="24"/>
  <c r="W246" i="24" s="1"/>
  <c r="E246" i="24"/>
  <c r="X246" i="24" s="1"/>
  <c r="F246" i="24"/>
  <c r="Y246" i="24" s="1"/>
  <c r="G246" i="24"/>
  <c r="Z246" i="24" s="1"/>
  <c r="AG246" i="24" s="1"/>
  <c r="H246" i="24"/>
  <c r="AA246" i="24" s="1"/>
  <c r="I246" i="24"/>
  <c r="AB246" i="24" s="1"/>
  <c r="J246" i="24"/>
  <c r="AC246" i="24" s="1"/>
  <c r="L246" i="24"/>
  <c r="AE246" i="24" s="1"/>
  <c r="M246" i="24"/>
  <c r="AF246" i="24" s="1"/>
  <c r="B247" i="24"/>
  <c r="U247" i="24" s="1"/>
  <c r="AK247" i="24" s="1"/>
  <c r="C247" i="24"/>
  <c r="V247" i="24" s="1"/>
  <c r="D247" i="24"/>
  <c r="W247" i="24" s="1"/>
  <c r="E247" i="24"/>
  <c r="X247" i="24" s="1"/>
  <c r="F247" i="24"/>
  <c r="Y247" i="24" s="1"/>
  <c r="G247" i="24"/>
  <c r="Z247" i="24" s="1"/>
  <c r="AG247" i="24" s="1"/>
  <c r="H247" i="24"/>
  <c r="AA247" i="24" s="1"/>
  <c r="I247" i="24"/>
  <c r="AB247" i="24" s="1"/>
  <c r="J247" i="24"/>
  <c r="AC247" i="24" s="1"/>
  <c r="L247" i="24"/>
  <c r="AE247" i="24" s="1"/>
  <c r="M247" i="24"/>
  <c r="AF247" i="24" s="1"/>
  <c r="B248" i="24"/>
  <c r="U248" i="24" s="1"/>
  <c r="AK248" i="24" s="1"/>
  <c r="C248" i="24"/>
  <c r="V248" i="24" s="1"/>
  <c r="D248" i="24"/>
  <c r="W248" i="24" s="1"/>
  <c r="E248" i="24"/>
  <c r="X248" i="24" s="1"/>
  <c r="F248" i="24"/>
  <c r="Y248" i="24" s="1"/>
  <c r="G248" i="24"/>
  <c r="Z248" i="24" s="1"/>
  <c r="AG248" i="24" s="1"/>
  <c r="H248" i="24"/>
  <c r="AA248" i="24" s="1"/>
  <c r="I248" i="24"/>
  <c r="AB248" i="24" s="1"/>
  <c r="J248" i="24"/>
  <c r="AC248" i="24" s="1"/>
  <c r="L248" i="24"/>
  <c r="AE248" i="24" s="1"/>
  <c r="M248" i="24"/>
  <c r="AF248" i="24" s="1"/>
  <c r="B249" i="24"/>
  <c r="U249" i="24" s="1"/>
  <c r="AK249" i="24" s="1"/>
  <c r="C249" i="24"/>
  <c r="V249" i="24" s="1"/>
  <c r="D249" i="24"/>
  <c r="W249" i="24" s="1"/>
  <c r="E249" i="24"/>
  <c r="X249" i="24" s="1"/>
  <c r="F249" i="24"/>
  <c r="Y249" i="24" s="1"/>
  <c r="G249" i="24"/>
  <c r="Z249" i="24" s="1"/>
  <c r="AG249" i="24" s="1"/>
  <c r="H249" i="24"/>
  <c r="AA249" i="24" s="1"/>
  <c r="I249" i="24"/>
  <c r="AB249" i="24" s="1"/>
  <c r="J249" i="24"/>
  <c r="AC249" i="24" s="1"/>
  <c r="L249" i="24"/>
  <c r="AE249" i="24" s="1"/>
  <c r="M249" i="24"/>
  <c r="AF249" i="24" s="1"/>
  <c r="B250" i="24"/>
  <c r="U250" i="24" s="1"/>
  <c r="AK250" i="24" s="1"/>
  <c r="C250" i="24"/>
  <c r="V250" i="24" s="1"/>
  <c r="D250" i="24"/>
  <c r="W250" i="24" s="1"/>
  <c r="E250" i="24"/>
  <c r="X250" i="24" s="1"/>
  <c r="F250" i="24"/>
  <c r="Y250" i="24" s="1"/>
  <c r="G250" i="24"/>
  <c r="Z250" i="24" s="1"/>
  <c r="AG250" i="24" s="1"/>
  <c r="H250" i="24"/>
  <c r="AA250" i="24" s="1"/>
  <c r="I250" i="24"/>
  <c r="AB250" i="24" s="1"/>
  <c r="J250" i="24"/>
  <c r="AC250" i="24" s="1"/>
  <c r="L250" i="24"/>
  <c r="AE250" i="24" s="1"/>
  <c r="M250" i="24"/>
  <c r="AF250" i="24" s="1"/>
  <c r="B251" i="24"/>
  <c r="U251" i="24" s="1"/>
  <c r="AK251" i="24" s="1"/>
  <c r="C251" i="24"/>
  <c r="V251" i="24" s="1"/>
  <c r="D251" i="24"/>
  <c r="W251" i="24" s="1"/>
  <c r="E251" i="24"/>
  <c r="X251" i="24" s="1"/>
  <c r="F251" i="24"/>
  <c r="Y251" i="24" s="1"/>
  <c r="G251" i="24"/>
  <c r="Z251" i="24" s="1"/>
  <c r="AG251" i="24" s="1"/>
  <c r="H251" i="24"/>
  <c r="AA251" i="24" s="1"/>
  <c r="I251" i="24"/>
  <c r="AB251" i="24" s="1"/>
  <c r="J251" i="24"/>
  <c r="AC251" i="24" s="1"/>
  <c r="L251" i="24"/>
  <c r="AE251" i="24" s="1"/>
  <c r="M251" i="24"/>
  <c r="AF251" i="24" s="1"/>
  <c r="B252" i="24"/>
  <c r="U252" i="24" s="1"/>
  <c r="AK252" i="24" s="1"/>
  <c r="C252" i="24"/>
  <c r="V252" i="24" s="1"/>
  <c r="D252" i="24"/>
  <c r="W252" i="24" s="1"/>
  <c r="E252" i="24"/>
  <c r="X252" i="24" s="1"/>
  <c r="F252" i="24"/>
  <c r="Y252" i="24" s="1"/>
  <c r="G252" i="24"/>
  <c r="Z252" i="24" s="1"/>
  <c r="AG252" i="24" s="1"/>
  <c r="H252" i="24"/>
  <c r="AA252" i="24" s="1"/>
  <c r="I252" i="24"/>
  <c r="AB252" i="24" s="1"/>
  <c r="J252" i="24"/>
  <c r="AC252" i="24" s="1"/>
  <c r="L252" i="24"/>
  <c r="AE252" i="24" s="1"/>
  <c r="M252" i="24"/>
  <c r="AF252" i="24" s="1"/>
  <c r="B253" i="24"/>
  <c r="U253" i="24" s="1"/>
  <c r="AK253" i="24" s="1"/>
  <c r="C253" i="24"/>
  <c r="V253" i="24" s="1"/>
  <c r="D253" i="24"/>
  <c r="W253" i="24" s="1"/>
  <c r="E253" i="24"/>
  <c r="X253" i="24" s="1"/>
  <c r="F253" i="24"/>
  <c r="Y253" i="24" s="1"/>
  <c r="G253" i="24"/>
  <c r="Z253" i="24" s="1"/>
  <c r="AG253" i="24" s="1"/>
  <c r="H253" i="24"/>
  <c r="AA253" i="24" s="1"/>
  <c r="I253" i="24"/>
  <c r="AB253" i="24" s="1"/>
  <c r="J253" i="24"/>
  <c r="AC253" i="24" s="1"/>
  <c r="L253" i="24"/>
  <c r="AE253" i="24" s="1"/>
  <c r="M253" i="24"/>
  <c r="AF253" i="24" s="1"/>
  <c r="B254" i="24"/>
  <c r="U254" i="24" s="1"/>
  <c r="AK254" i="24" s="1"/>
  <c r="C254" i="24"/>
  <c r="V254" i="24" s="1"/>
  <c r="D254" i="24"/>
  <c r="W254" i="24" s="1"/>
  <c r="E254" i="24"/>
  <c r="X254" i="24" s="1"/>
  <c r="F254" i="24"/>
  <c r="Y254" i="24" s="1"/>
  <c r="G254" i="24"/>
  <c r="Z254" i="24" s="1"/>
  <c r="AG254" i="24" s="1"/>
  <c r="H254" i="24"/>
  <c r="AA254" i="24" s="1"/>
  <c r="I254" i="24"/>
  <c r="AB254" i="24" s="1"/>
  <c r="J254" i="24"/>
  <c r="AC254" i="24" s="1"/>
  <c r="L254" i="24"/>
  <c r="AE254" i="24" s="1"/>
  <c r="M254" i="24"/>
  <c r="AF254" i="24" s="1"/>
  <c r="B255" i="24"/>
  <c r="U255" i="24" s="1"/>
  <c r="AK255" i="24" s="1"/>
  <c r="C255" i="24"/>
  <c r="V255" i="24" s="1"/>
  <c r="D255" i="24"/>
  <c r="W255" i="24" s="1"/>
  <c r="E255" i="24"/>
  <c r="X255" i="24" s="1"/>
  <c r="F255" i="24"/>
  <c r="Y255" i="24" s="1"/>
  <c r="G255" i="24"/>
  <c r="Z255" i="24" s="1"/>
  <c r="AG255" i="24" s="1"/>
  <c r="H255" i="24"/>
  <c r="AA255" i="24" s="1"/>
  <c r="I255" i="24"/>
  <c r="AB255" i="24" s="1"/>
  <c r="J255" i="24"/>
  <c r="AC255" i="24" s="1"/>
  <c r="L255" i="24"/>
  <c r="AE255" i="24" s="1"/>
  <c r="M255" i="24"/>
  <c r="AF255" i="24" s="1"/>
  <c r="B256" i="24"/>
  <c r="U256" i="24" s="1"/>
  <c r="AK256" i="24" s="1"/>
  <c r="C256" i="24"/>
  <c r="V256" i="24" s="1"/>
  <c r="D256" i="24"/>
  <c r="W256" i="24" s="1"/>
  <c r="E256" i="24"/>
  <c r="X256" i="24" s="1"/>
  <c r="F256" i="24"/>
  <c r="Y256" i="24" s="1"/>
  <c r="G256" i="24"/>
  <c r="Z256" i="24" s="1"/>
  <c r="AG256" i="24" s="1"/>
  <c r="H256" i="24"/>
  <c r="AA256" i="24" s="1"/>
  <c r="I256" i="24"/>
  <c r="AB256" i="24" s="1"/>
  <c r="J256" i="24"/>
  <c r="AC256" i="24" s="1"/>
  <c r="L256" i="24"/>
  <c r="AE256" i="24" s="1"/>
  <c r="M256" i="24"/>
  <c r="AF256" i="24" s="1"/>
  <c r="B257" i="24"/>
  <c r="U257" i="24" s="1"/>
  <c r="AK257" i="24" s="1"/>
  <c r="C257" i="24"/>
  <c r="V257" i="24" s="1"/>
  <c r="D257" i="24"/>
  <c r="W257" i="24" s="1"/>
  <c r="E257" i="24"/>
  <c r="X257" i="24" s="1"/>
  <c r="F257" i="24"/>
  <c r="Y257" i="24" s="1"/>
  <c r="G257" i="24"/>
  <c r="Z257" i="24" s="1"/>
  <c r="AG257" i="24" s="1"/>
  <c r="H257" i="24"/>
  <c r="AA257" i="24" s="1"/>
  <c r="I257" i="24"/>
  <c r="AB257" i="24" s="1"/>
  <c r="J257" i="24"/>
  <c r="AC257" i="24" s="1"/>
  <c r="L257" i="24"/>
  <c r="AE257" i="24" s="1"/>
  <c r="M257" i="24"/>
  <c r="AF257" i="24" s="1"/>
  <c r="B258" i="24"/>
  <c r="U258" i="24" s="1"/>
  <c r="AK258" i="24" s="1"/>
  <c r="C258" i="24"/>
  <c r="V258" i="24" s="1"/>
  <c r="D258" i="24"/>
  <c r="W258" i="24" s="1"/>
  <c r="E258" i="24"/>
  <c r="X258" i="24" s="1"/>
  <c r="F258" i="24"/>
  <c r="Y258" i="24" s="1"/>
  <c r="G258" i="24"/>
  <c r="Z258" i="24" s="1"/>
  <c r="AG258" i="24" s="1"/>
  <c r="H258" i="24"/>
  <c r="AA258" i="24" s="1"/>
  <c r="I258" i="24"/>
  <c r="AB258" i="24" s="1"/>
  <c r="J258" i="24"/>
  <c r="AC258" i="24" s="1"/>
  <c r="L258" i="24"/>
  <c r="AE258" i="24" s="1"/>
  <c r="M258" i="24"/>
  <c r="AF258" i="24" s="1"/>
  <c r="B259" i="24"/>
  <c r="U259" i="24" s="1"/>
  <c r="AK259" i="24" s="1"/>
  <c r="C259" i="24"/>
  <c r="V259" i="24" s="1"/>
  <c r="D259" i="24"/>
  <c r="W259" i="24" s="1"/>
  <c r="E259" i="24"/>
  <c r="X259" i="24" s="1"/>
  <c r="F259" i="24"/>
  <c r="Y259" i="24" s="1"/>
  <c r="G259" i="24"/>
  <c r="Z259" i="24" s="1"/>
  <c r="AG259" i="24" s="1"/>
  <c r="H259" i="24"/>
  <c r="AA259" i="24" s="1"/>
  <c r="I259" i="24"/>
  <c r="AB259" i="24" s="1"/>
  <c r="J259" i="24"/>
  <c r="AC259" i="24" s="1"/>
  <c r="L259" i="24"/>
  <c r="AE259" i="24" s="1"/>
  <c r="M259" i="24"/>
  <c r="AF259" i="24" s="1"/>
  <c r="B260" i="24"/>
  <c r="U260" i="24" s="1"/>
  <c r="AK260" i="24" s="1"/>
  <c r="C260" i="24"/>
  <c r="V260" i="24" s="1"/>
  <c r="D260" i="24"/>
  <c r="W260" i="24" s="1"/>
  <c r="E260" i="24"/>
  <c r="X260" i="24" s="1"/>
  <c r="F260" i="24"/>
  <c r="Y260" i="24" s="1"/>
  <c r="G260" i="24"/>
  <c r="Z260" i="24" s="1"/>
  <c r="AG260" i="24" s="1"/>
  <c r="H260" i="24"/>
  <c r="AA260" i="24" s="1"/>
  <c r="I260" i="24"/>
  <c r="AB260" i="24" s="1"/>
  <c r="J260" i="24"/>
  <c r="AC260" i="24" s="1"/>
  <c r="L260" i="24"/>
  <c r="AE260" i="24" s="1"/>
  <c r="M260" i="24"/>
  <c r="AF260" i="24" s="1"/>
  <c r="B261" i="24"/>
  <c r="U261" i="24" s="1"/>
  <c r="AK261" i="24" s="1"/>
  <c r="C261" i="24"/>
  <c r="V261" i="24" s="1"/>
  <c r="D261" i="24"/>
  <c r="W261" i="24" s="1"/>
  <c r="E261" i="24"/>
  <c r="X261" i="24" s="1"/>
  <c r="F261" i="24"/>
  <c r="Y261" i="24" s="1"/>
  <c r="G261" i="24"/>
  <c r="Z261" i="24" s="1"/>
  <c r="AG261" i="24" s="1"/>
  <c r="H261" i="24"/>
  <c r="AA261" i="24" s="1"/>
  <c r="I261" i="24"/>
  <c r="AB261" i="24" s="1"/>
  <c r="J261" i="24"/>
  <c r="AC261" i="24" s="1"/>
  <c r="L261" i="24"/>
  <c r="AE261" i="24" s="1"/>
  <c r="M261" i="24"/>
  <c r="AF261" i="24" s="1"/>
  <c r="B262" i="24"/>
  <c r="U262" i="24" s="1"/>
  <c r="AK262" i="24" s="1"/>
  <c r="C262" i="24"/>
  <c r="V262" i="24" s="1"/>
  <c r="D262" i="24"/>
  <c r="W262" i="24" s="1"/>
  <c r="E262" i="24"/>
  <c r="X262" i="24" s="1"/>
  <c r="F262" i="24"/>
  <c r="Y262" i="24" s="1"/>
  <c r="G262" i="24"/>
  <c r="Z262" i="24" s="1"/>
  <c r="AG262" i="24" s="1"/>
  <c r="H262" i="24"/>
  <c r="AA262" i="24" s="1"/>
  <c r="I262" i="24"/>
  <c r="AB262" i="24" s="1"/>
  <c r="J262" i="24"/>
  <c r="AC262" i="24" s="1"/>
  <c r="L262" i="24"/>
  <c r="AE262" i="24" s="1"/>
  <c r="M262" i="24"/>
  <c r="AF262" i="24" s="1"/>
  <c r="B263" i="24"/>
  <c r="U263" i="24" s="1"/>
  <c r="AK263" i="24" s="1"/>
  <c r="C263" i="24"/>
  <c r="V263" i="24" s="1"/>
  <c r="D263" i="24"/>
  <c r="W263" i="24" s="1"/>
  <c r="E263" i="24"/>
  <c r="X263" i="24" s="1"/>
  <c r="F263" i="24"/>
  <c r="Y263" i="24" s="1"/>
  <c r="G263" i="24"/>
  <c r="Z263" i="24" s="1"/>
  <c r="AG263" i="24" s="1"/>
  <c r="H263" i="24"/>
  <c r="AA263" i="24" s="1"/>
  <c r="I263" i="24"/>
  <c r="AB263" i="24" s="1"/>
  <c r="J263" i="24"/>
  <c r="AC263" i="24" s="1"/>
  <c r="L263" i="24"/>
  <c r="AE263" i="24" s="1"/>
  <c r="M263" i="24"/>
  <c r="AF263" i="24" s="1"/>
  <c r="B264" i="24"/>
  <c r="U264" i="24" s="1"/>
  <c r="AK264" i="24" s="1"/>
  <c r="C264" i="24"/>
  <c r="V264" i="24" s="1"/>
  <c r="D264" i="24"/>
  <c r="W264" i="24" s="1"/>
  <c r="E264" i="24"/>
  <c r="X264" i="24" s="1"/>
  <c r="F264" i="24"/>
  <c r="Y264" i="24" s="1"/>
  <c r="G264" i="24"/>
  <c r="Z264" i="24" s="1"/>
  <c r="AG264" i="24" s="1"/>
  <c r="H264" i="24"/>
  <c r="AA264" i="24" s="1"/>
  <c r="I264" i="24"/>
  <c r="AB264" i="24" s="1"/>
  <c r="J264" i="24"/>
  <c r="AC264" i="24" s="1"/>
  <c r="L264" i="24"/>
  <c r="AE264" i="24" s="1"/>
  <c r="M264" i="24"/>
  <c r="AF264" i="24" s="1"/>
  <c r="B265" i="24"/>
  <c r="U265" i="24" s="1"/>
  <c r="AK265" i="24" s="1"/>
  <c r="C265" i="24"/>
  <c r="V265" i="24" s="1"/>
  <c r="D265" i="24"/>
  <c r="W265" i="24" s="1"/>
  <c r="E265" i="24"/>
  <c r="X265" i="24" s="1"/>
  <c r="F265" i="24"/>
  <c r="Y265" i="24" s="1"/>
  <c r="G265" i="24"/>
  <c r="Z265" i="24" s="1"/>
  <c r="AG265" i="24" s="1"/>
  <c r="H265" i="24"/>
  <c r="AA265" i="24" s="1"/>
  <c r="I265" i="24"/>
  <c r="AB265" i="24" s="1"/>
  <c r="J265" i="24"/>
  <c r="AC265" i="24" s="1"/>
  <c r="L265" i="24"/>
  <c r="AE265" i="24" s="1"/>
  <c r="M265" i="24"/>
  <c r="AF265" i="24" s="1"/>
  <c r="B266" i="24"/>
  <c r="U266" i="24" s="1"/>
  <c r="AK266" i="24" s="1"/>
  <c r="C266" i="24"/>
  <c r="V266" i="24" s="1"/>
  <c r="D266" i="24"/>
  <c r="W266" i="24" s="1"/>
  <c r="E266" i="24"/>
  <c r="X266" i="24" s="1"/>
  <c r="F266" i="24"/>
  <c r="Y266" i="24" s="1"/>
  <c r="G266" i="24"/>
  <c r="Z266" i="24" s="1"/>
  <c r="AG266" i="24" s="1"/>
  <c r="H266" i="24"/>
  <c r="AA266" i="24" s="1"/>
  <c r="I266" i="24"/>
  <c r="AB266" i="24" s="1"/>
  <c r="J266" i="24"/>
  <c r="AC266" i="24" s="1"/>
  <c r="L266" i="24"/>
  <c r="AE266" i="24" s="1"/>
  <c r="M266" i="24"/>
  <c r="AF266" i="24" s="1"/>
  <c r="B267" i="24"/>
  <c r="U267" i="24" s="1"/>
  <c r="AK267" i="24" s="1"/>
  <c r="C267" i="24"/>
  <c r="V267" i="24" s="1"/>
  <c r="D267" i="24"/>
  <c r="W267" i="24" s="1"/>
  <c r="E267" i="24"/>
  <c r="X267" i="24" s="1"/>
  <c r="F267" i="24"/>
  <c r="Y267" i="24" s="1"/>
  <c r="G267" i="24"/>
  <c r="Z267" i="24" s="1"/>
  <c r="AG267" i="24" s="1"/>
  <c r="H267" i="24"/>
  <c r="AA267" i="24" s="1"/>
  <c r="I267" i="24"/>
  <c r="AB267" i="24" s="1"/>
  <c r="J267" i="24"/>
  <c r="AC267" i="24" s="1"/>
  <c r="L267" i="24"/>
  <c r="AE267" i="24" s="1"/>
  <c r="M267" i="24"/>
  <c r="AF267" i="24" s="1"/>
  <c r="B268" i="24"/>
  <c r="U268" i="24" s="1"/>
  <c r="AK268" i="24" s="1"/>
  <c r="C268" i="24"/>
  <c r="V268" i="24" s="1"/>
  <c r="D268" i="24"/>
  <c r="W268" i="24" s="1"/>
  <c r="E268" i="24"/>
  <c r="X268" i="24" s="1"/>
  <c r="F268" i="24"/>
  <c r="Y268" i="24" s="1"/>
  <c r="G268" i="24"/>
  <c r="Z268" i="24" s="1"/>
  <c r="AG268" i="24" s="1"/>
  <c r="H268" i="24"/>
  <c r="AA268" i="24" s="1"/>
  <c r="I268" i="24"/>
  <c r="AB268" i="24" s="1"/>
  <c r="J268" i="24"/>
  <c r="AC268" i="24" s="1"/>
  <c r="L268" i="24"/>
  <c r="AE268" i="24" s="1"/>
  <c r="M268" i="24"/>
  <c r="AF268" i="24" s="1"/>
  <c r="B269" i="24"/>
  <c r="U269" i="24" s="1"/>
  <c r="AK269" i="24" s="1"/>
  <c r="C269" i="24"/>
  <c r="V269" i="24" s="1"/>
  <c r="D269" i="24"/>
  <c r="W269" i="24" s="1"/>
  <c r="E269" i="24"/>
  <c r="X269" i="24" s="1"/>
  <c r="F269" i="24"/>
  <c r="Y269" i="24" s="1"/>
  <c r="G269" i="24"/>
  <c r="Z269" i="24" s="1"/>
  <c r="AG269" i="24" s="1"/>
  <c r="H269" i="24"/>
  <c r="AA269" i="24" s="1"/>
  <c r="I269" i="24"/>
  <c r="AB269" i="24" s="1"/>
  <c r="J269" i="24"/>
  <c r="AC269" i="24" s="1"/>
  <c r="L269" i="24"/>
  <c r="AE269" i="24" s="1"/>
  <c r="M269" i="24"/>
  <c r="AF269" i="24" s="1"/>
  <c r="B270" i="24"/>
  <c r="U270" i="24" s="1"/>
  <c r="AK270" i="24" s="1"/>
  <c r="C270" i="24"/>
  <c r="V270" i="24" s="1"/>
  <c r="D270" i="24"/>
  <c r="W270" i="24" s="1"/>
  <c r="E270" i="24"/>
  <c r="X270" i="24" s="1"/>
  <c r="F270" i="24"/>
  <c r="Y270" i="24" s="1"/>
  <c r="G270" i="24"/>
  <c r="Z270" i="24" s="1"/>
  <c r="AG270" i="24" s="1"/>
  <c r="H270" i="24"/>
  <c r="AA270" i="24" s="1"/>
  <c r="I270" i="24"/>
  <c r="AB270" i="24" s="1"/>
  <c r="J270" i="24"/>
  <c r="AC270" i="24" s="1"/>
  <c r="L270" i="24"/>
  <c r="AE270" i="24" s="1"/>
  <c r="M270" i="24"/>
  <c r="AF270" i="24" s="1"/>
  <c r="B271" i="24"/>
  <c r="U271" i="24" s="1"/>
  <c r="AK271" i="24" s="1"/>
  <c r="C271" i="24"/>
  <c r="V271" i="24" s="1"/>
  <c r="D271" i="24"/>
  <c r="W271" i="24" s="1"/>
  <c r="E271" i="24"/>
  <c r="X271" i="24" s="1"/>
  <c r="F271" i="24"/>
  <c r="Y271" i="24" s="1"/>
  <c r="G271" i="24"/>
  <c r="Z271" i="24" s="1"/>
  <c r="AG271" i="24" s="1"/>
  <c r="H271" i="24"/>
  <c r="AA271" i="24" s="1"/>
  <c r="I271" i="24"/>
  <c r="AB271" i="24" s="1"/>
  <c r="J271" i="24"/>
  <c r="AC271" i="24" s="1"/>
  <c r="L271" i="24"/>
  <c r="AE271" i="24" s="1"/>
  <c r="M271" i="24"/>
  <c r="AF271" i="24" s="1"/>
  <c r="B272" i="24"/>
  <c r="U272" i="24" s="1"/>
  <c r="AK272" i="24" s="1"/>
  <c r="C272" i="24"/>
  <c r="V272" i="24" s="1"/>
  <c r="D272" i="24"/>
  <c r="W272" i="24" s="1"/>
  <c r="E272" i="24"/>
  <c r="X272" i="24" s="1"/>
  <c r="F272" i="24"/>
  <c r="Y272" i="24" s="1"/>
  <c r="G272" i="24"/>
  <c r="Z272" i="24" s="1"/>
  <c r="AG272" i="24" s="1"/>
  <c r="H272" i="24"/>
  <c r="AA272" i="24" s="1"/>
  <c r="I272" i="24"/>
  <c r="AB272" i="24" s="1"/>
  <c r="J272" i="24"/>
  <c r="AC272" i="24" s="1"/>
  <c r="L272" i="24"/>
  <c r="AE272" i="24" s="1"/>
  <c r="M272" i="24"/>
  <c r="AF272" i="24" s="1"/>
  <c r="B273" i="24"/>
  <c r="U273" i="24" s="1"/>
  <c r="AK273" i="24" s="1"/>
  <c r="C273" i="24"/>
  <c r="V273" i="24" s="1"/>
  <c r="D273" i="24"/>
  <c r="W273" i="24" s="1"/>
  <c r="E273" i="24"/>
  <c r="X273" i="24" s="1"/>
  <c r="F273" i="24"/>
  <c r="Y273" i="24" s="1"/>
  <c r="G273" i="24"/>
  <c r="Z273" i="24" s="1"/>
  <c r="AG273" i="24" s="1"/>
  <c r="H273" i="24"/>
  <c r="AA273" i="24" s="1"/>
  <c r="I273" i="24"/>
  <c r="AB273" i="24" s="1"/>
  <c r="J273" i="24"/>
  <c r="AC273" i="24" s="1"/>
  <c r="L273" i="24"/>
  <c r="AE273" i="24" s="1"/>
  <c r="M273" i="24"/>
  <c r="AF273" i="24" s="1"/>
  <c r="B274" i="24"/>
  <c r="U274" i="24" s="1"/>
  <c r="AK274" i="24" s="1"/>
  <c r="C274" i="24"/>
  <c r="V274" i="24" s="1"/>
  <c r="D274" i="24"/>
  <c r="W274" i="24" s="1"/>
  <c r="E274" i="24"/>
  <c r="X274" i="24" s="1"/>
  <c r="F274" i="24"/>
  <c r="Y274" i="24" s="1"/>
  <c r="G274" i="24"/>
  <c r="Z274" i="24" s="1"/>
  <c r="AG274" i="24" s="1"/>
  <c r="H274" i="24"/>
  <c r="AA274" i="24" s="1"/>
  <c r="I274" i="24"/>
  <c r="AB274" i="24" s="1"/>
  <c r="J274" i="24"/>
  <c r="AC274" i="24" s="1"/>
  <c r="L274" i="24"/>
  <c r="AE274" i="24" s="1"/>
  <c r="M274" i="24"/>
  <c r="AF274" i="24" s="1"/>
  <c r="J30" i="23"/>
  <c r="M30" i="23"/>
  <c r="J31" i="23"/>
  <c r="M31" i="23"/>
  <c r="J32" i="23"/>
  <c r="M32" i="23"/>
  <c r="N32" i="23" s="1"/>
  <c r="K213" i="24" s="1"/>
  <c r="AD213" i="24" s="1"/>
  <c r="J33" i="23"/>
  <c r="M33" i="23"/>
  <c r="J34" i="23"/>
  <c r="M34" i="23"/>
  <c r="J35" i="23"/>
  <c r="N35" i="23" s="1"/>
  <c r="K216" i="24" s="1"/>
  <c r="AD216" i="24" s="1"/>
  <c r="M35" i="23"/>
  <c r="J36" i="23"/>
  <c r="M36" i="23"/>
  <c r="N36" i="23" s="1"/>
  <c r="K217" i="24" s="1"/>
  <c r="AD217" i="24" s="1"/>
  <c r="J37" i="23"/>
  <c r="N37" i="23" s="1"/>
  <c r="K218" i="24" s="1"/>
  <c r="AD218" i="24" s="1"/>
  <c r="M37" i="23"/>
  <c r="J38" i="23"/>
  <c r="M38" i="23"/>
  <c r="J39" i="23"/>
  <c r="M39" i="23"/>
  <c r="J40" i="23"/>
  <c r="M40" i="23"/>
  <c r="N40" i="23" s="1"/>
  <c r="K221" i="24" s="1"/>
  <c r="AD221" i="24" s="1"/>
  <c r="J41" i="23"/>
  <c r="M41" i="23"/>
  <c r="J42" i="23"/>
  <c r="M42" i="23"/>
  <c r="J43" i="23"/>
  <c r="M43" i="23"/>
  <c r="J44" i="23"/>
  <c r="M44" i="23"/>
  <c r="N44" i="23" s="1"/>
  <c r="K225" i="24" s="1"/>
  <c r="AD225" i="24" s="1"/>
  <c r="J45" i="23"/>
  <c r="M45" i="23"/>
  <c r="J46" i="23"/>
  <c r="M46" i="23"/>
  <c r="J47" i="23"/>
  <c r="M47" i="23"/>
  <c r="J48" i="23"/>
  <c r="M48" i="23"/>
  <c r="N48" i="23" s="1"/>
  <c r="K229" i="24" s="1"/>
  <c r="AD229" i="24" s="1"/>
  <c r="J49" i="23"/>
  <c r="M49" i="23"/>
  <c r="J50" i="23"/>
  <c r="M50" i="23"/>
  <c r="J51" i="23"/>
  <c r="M51" i="23"/>
  <c r="J52" i="23"/>
  <c r="M52" i="23"/>
  <c r="N52" i="23" s="1"/>
  <c r="K233" i="24" s="1"/>
  <c r="AD233" i="24" s="1"/>
  <c r="J53" i="23"/>
  <c r="M53" i="23"/>
  <c r="J54" i="23"/>
  <c r="M54" i="23"/>
  <c r="J55" i="23"/>
  <c r="M55" i="23"/>
  <c r="J56" i="23"/>
  <c r="M56" i="23"/>
  <c r="J57" i="23"/>
  <c r="N57" i="23" s="1"/>
  <c r="K238" i="24" s="1"/>
  <c r="AD238" i="24" s="1"/>
  <c r="M57" i="23"/>
  <c r="J58" i="23"/>
  <c r="M58" i="23"/>
  <c r="J59" i="23"/>
  <c r="M59" i="23"/>
  <c r="J60" i="23"/>
  <c r="M60" i="23"/>
  <c r="J61" i="23"/>
  <c r="M61" i="23"/>
  <c r="J62" i="23"/>
  <c r="M62" i="23"/>
  <c r="J63" i="23"/>
  <c r="M63" i="23"/>
  <c r="J64" i="23"/>
  <c r="M64" i="23"/>
  <c r="N64" i="23" s="1"/>
  <c r="K245" i="24" s="1"/>
  <c r="AD245" i="24" s="1"/>
  <c r="J65" i="23"/>
  <c r="M65" i="23"/>
  <c r="N65" i="23"/>
  <c r="K246" i="24" s="1"/>
  <c r="AD246" i="24" s="1"/>
  <c r="J66" i="23"/>
  <c r="M66" i="23"/>
  <c r="J67" i="23"/>
  <c r="M67" i="23"/>
  <c r="J68" i="23"/>
  <c r="M68" i="23"/>
  <c r="J69" i="23"/>
  <c r="M69" i="23"/>
  <c r="N69" i="23"/>
  <c r="K250" i="24" s="1"/>
  <c r="AD250" i="24" s="1"/>
  <c r="J70" i="23"/>
  <c r="M70" i="23"/>
  <c r="J71" i="23"/>
  <c r="M71" i="23"/>
  <c r="J72" i="23"/>
  <c r="M72" i="23"/>
  <c r="J73" i="23"/>
  <c r="M73" i="23"/>
  <c r="J74" i="23"/>
  <c r="M74" i="23"/>
  <c r="J75" i="23"/>
  <c r="M75" i="23"/>
  <c r="J76" i="23"/>
  <c r="M76" i="23"/>
  <c r="N76" i="23" s="1"/>
  <c r="K257" i="24" s="1"/>
  <c r="AD257" i="24" s="1"/>
  <c r="J77" i="23"/>
  <c r="M77" i="23"/>
  <c r="J78" i="23"/>
  <c r="M78" i="23"/>
  <c r="J79" i="23"/>
  <c r="M79" i="23"/>
  <c r="J80" i="23"/>
  <c r="M80" i="23"/>
  <c r="N80" i="23" s="1"/>
  <c r="K261" i="24" s="1"/>
  <c r="AD261" i="24" s="1"/>
  <c r="J81" i="23"/>
  <c r="M81" i="23"/>
  <c r="J82" i="23"/>
  <c r="M82" i="23"/>
  <c r="J83" i="23"/>
  <c r="M83" i="23"/>
  <c r="J84" i="23"/>
  <c r="M84" i="23"/>
  <c r="N84" i="23" s="1"/>
  <c r="K265" i="24" s="1"/>
  <c r="AD265" i="24" s="1"/>
  <c r="J85" i="23"/>
  <c r="M85" i="23"/>
  <c r="J86" i="23"/>
  <c r="M86" i="23"/>
  <c r="J87" i="23"/>
  <c r="M87" i="23"/>
  <c r="J88" i="23"/>
  <c r="M88" i="23"/>
  <c r="J89" i="23"/>
  <c r="N89" i="23" s="1"/>
  <c r="K270" i="24" s="1"/>
  <c r="AD270" i="24" s="1"/>
  <c r="M89" i="23"/>
  <c r="J90" i="23"/>
  <c r="M90" i="23"/>
  <c r="J91" i="23"/>
  <c r="M91" i="23"/>
  <c r="J92" i="23"/>
  <c r="M92" i="23"/>
  <c r="J93" i="23"/>
  <c r="M93" i="23"/>
  <c r="J94" i="23"/>
  <c r="M94" i="23"/>
  <c r="J95" i="23"/>
  <c r="M95" i="23"/>
  <c r="J96" i="23"/>
  <c r="M96" i="23"/>
  <c r="N96" i="23" s="1"/>
  <c r="K277" i="24" s="1"/>
  <c r="AD277" i="24" s="1"/>
  <c r="J97" i="23"/>
  <c r="M97" i="23"/>
  <c r="J98" i="23"/>
  <c r="M98" i="23"/>
  <c r="J99" i="23"/>
  <c r="M99" i="23"/>
  <c r="J100" i="23"/>
  <c r="M100" i="23"/>
  <c r="N100" i="23" s="1"/>
  <c r="K281" i="24" s="1"/>
  <c r="AD281" i="24" s="1"/>
  <c r="J101" i="23"/>
  <c r="M101" i="23"/>
  <c r="N101" i="23"/>
  <c r="K282" i="24" s="1"/>
  <c r="AD282" i="24" s="1"/>
  <c r="J102" i="23"/>
  <c r="M102" i="23"/>
  <c r="J103" i="23"/>
  <c r="M103" i="23"/>
  <c r="J104" i="23"/>
  <c r="M104" i="23"/>
  <c r="J105" i="23"/>
  <c r="M105" i="23"/>
  <c r="J106" i="23"/>
  <c r="M106" i="23"/>
  <c r="J107" i="23"/>
  <c r="M107" i="23"/>
  <c r="J108" i="23"/>
  <c r="M108" i="23"/>
  <c r="J109" i="23"/>
  <c r="M109" i="23"/>
  <c r="N33" i="23" l="1"/>
  <c r="K214" i="24" s="1"/>
  <c r="AD214" i="24" s="1"/>
  <c r="N41" i="23"/>
  <c r="K222" i="24" s="1"/>
  <c r="AD222" i="24" s="1"/>
  <c r="N73" i="23"/>
  <c r="K254" i="24" s="1"/>
  <c r="AD254" i="24" s="1"/>
  <c r="B24" i="26"/>
  <c r="C37" i="5"/>
  <c r="N109" i="23"/>
  <c r="K290" i="24" s="1"/>
  <c r="AD290" i="24" s="1"/>
  <c r="N105" i="23"/>
  <c r="K286" i="24" s="1"/>
  <c r="AD286" i="24" s="1"/>
  <c r="N74" i="23"/>
  <c r="K255" i="24" s="1"/>
  <c r="AD255" i="24" s="1"/>
  <c r="N67" i="23"/>
  <c r="K248" i="24" s="1"/>
  <c r="AD248" i="24" s="1"/>
  <c r="N42" i="23"/>
  <c r="K223" i="24" s="1"/>
  <c r="AD223" i="24" s="1"/>
  <c r="N108" i="23"/>
  <c r="K289" i="24" s="1"/>
  <c r="AD289" i="24" s="1"/>
  <c r="N97" i="23"/>
  <c r="K278" i="24" s="1"/>
  <c r="AD278" i="24" s="1"/>
  <c r="N93" i="23"/>
  <c r="K274" i="24" s="1"/>
  <c r="AD274" i="24" s="1"/>
  <c r="N68" i="23"/>
  <c r="K249" i="24" s="1"/>
  <c r="AD249" i="24" s="1"/>
  <c r="N61" i="23"/>
  <c r="K242" i="24" s="1"/>
  <c r="AD242" i="24" s="1"/>
  <c r="N63" i="23"/>
  <c r="K244" i="24" s="1"/>
  <c r="AD244" i="24" s="1"/>
  <c r="N77" i="23"/>
  <c r="K258" i="24" s="1"/>
  <c r="AD258" i="24" s="1"/>
  <c r="N106" i="23"/>
  <c r="K287" i="24" s="1"/>
  <c r="AD287" i="24" s="1"/>
  <c r="N104" i="23"/>
  <c r="K285" i="24" s="1"/>
  <c r="AD285" i="24" s="1"/>
  <c r="N53" i="23"/>
  <c r="K234" i="24" s="1"/>
  <c r="AD234" i="24" s="1"/>
  <c r="N49" i="23"/>
  <c r="K230" i="24" s="1"/>
  <c r="AD230" i="24" s="1"/>
  <c r="N45" i="23"/>
  <c r="K226" i="24" s="1"/>
  <c r="AD226" i="24" s="1"/>
  <c r="N70" i="23"/>
  <c r="K251" i="24" s="1"/>
  <c r="AD251" i="24" s="1"/>
  <c r="N81" i="23"/>
  <c r="K262" i="24" s="1"/>
  <c r="AD262" i="24" s="1"/>
  <c r="N102" i="23"/>
  <c r="K283" i="24" s="1"/>
  <c r="AD283" i="24" s="1"/>
  <c r="N95" i="23"/>
  <c r="K276" i="24" s="1"/>
  <c r="AD276" i="24" s="1"/>
  <c r="N72" i="23"/>
  <c r="K253" i="24" s="1"/>
  <c r="AD253" i="24" s="1"/>
  <c r="N85" i="23"/>
  <c r="K266" i="24" s="1"/>
  <c r="AD266" i="24" s="1"/>
  <c r="N99" i="23"/>
  <c r="K280" i="24" s="1"/>
  <c r="AD280" i="24" s="1"/>
  <c r="N38" i="23"/>
  <c r="K219" i="24" s="1"/>
  <c r="AD219" i="24" s="1"/>
  <c r="N31" i="23"/>
  <c r="K212" i="24" s="1"/>
  <c r="AD212" i="24" s="1"/>
  <c r="N98" i="23"/>
  <c r="K279" i="24" s="1"/>
  <c r="AD279" i="24" s="1"/>
  <c r="N59" i="23"/>
  <c r="K240" i="24" s="1"/>
  <c r="AD240" i="24" s="1"/>
  <c r="N62" i="23"/>
  <c r="K243" i="24" s="1"/>
  <c r="AD243" i="24" s="1"/>
  <c r="N88" i="23"/>
  <c r="K269" i="24" s="1"/>
  <c r="AD269" i="24" s="1"/>
  <c r="N56" i="23"/>
  <c r="K237" i="24" s="1"/>
  <c r="AD237" i="24" s="1"/>
  <c r="N55" i="23"/>
  <c r="K236" i="24" s="1"/>
  <c r="AD236" i="24" s="1"/>
  <c r="N83" i="23"/>
  <c r="K264" i="24" s="1"/>
  <c r="AD264" i="24" s="1"/>
  <c r="N51" i="23"/>
  <c r="K232" i="24" s="1"/>
  <c r="AD232" i="24" s="1"/>
  <c r="N34" i="23"/>
  <c r="K215" i="24" s="1"/>
  <c r="AD215" i="24" s="1"/>
  <c r="N94" i="23"/>
  <c r="K275" i="24" s="1"/>
  <c r="AD275" i="24" s="1"/>
  <c r="N30" i="23"/>
  <c r="K211" i="24" s="1"/>
  <c r="AD211" i="24" s="1"/>
  <c r="N58" i="23"/>
  <c r="K239" i="24" s="1"/>
  <c r="AD239" i="24" s="1"/>
  <c r="N86" i="23"/>
  <c r="K267" i="24" s="1"/>
  <c r="AD267" i="24" s="1"/>
  <c r="N107" i="23"/>
  <c r="K288" i="24" s="1"/>
  <c r="AD288" i="24" s="1"/>
  <c r="N82" i="23"/>
  <c r="K263" i="24" s="1"/>
  <c r="AD263" i="24" s="1"/>
  <c r="N43" i="23"/>
  <c r="K224" i="24" s="1"/>
  <c r="AD224" i="24" s="1"/>
  <c r="N91" i="23"/>
  <c r="K272" i="24" s="1"/>
  <c r="AD272" i="24" s="1"/>
  <c r="N66" i="23"/>
  <c r="K247" i="24" s="1"/>
  <c r="AD247" i="24" s="1"/>
  <c r="N87" i="23"/>
  <c r="K268" i="24" s="1"/>
  <c r="AD268" i="24" s="1"/>
  <c r="N90" i="23"/>
  <c r="K271" i="24" s="1"/>
  <c r="AD271" i="24" s="1"/>
  <c r="N79" i="23"/>
  <c r="K260" i="24" s="1"/>
  <c r="AD260" i="24" s="1"/>
  <c r="N54" i="23"/>
  <c r="K235" i="24" s="1"/>
  <c r="AD235" i="24" s="1"/>
  <c r="N47" i="23"/>
  <c r="K228" i="24" s="1"/>
  <c r="AD228" i="24" s="1"/>
  <c r="N75" i="23"/>
  <c r="K256" i="24" s="1"/>
  <c r="AD256" i="24" s="1"/>
  <c r="N50" i="23"/>
  <c r="K231" i="24" s="1"/>
  <c r="AD231" i="24" s="1"/>
  <c r="N103" i="23"/>
  <c r="K284" i="24" s="1"/>
  <c r="AD284" i="24" s="1"/>
  <c r="N92" i="23"/>
  <c r="K273" i="24" s="1"/>
  <c r="AD273" i="24" s="1"/>
  <c r="N78" i="23"/>
  <c r="K259" i="24" s="1"/>
  <c r="AD259" i="24" s="1"/>
  <c r="N71" i="23"/>
  <c r="K252" i="24" s="1"/>
  <c r="AD252" i="24" s="1"/>
  <c r="N60" i="23"/>
  <c r="K241" i="24" s="1"/>
  <c r="AD241" i="24" s="1"/>
  <c r="N46" i="23"/>
  <c r="K227" i="24" s="1"/>
  <c r="AD227" i="24" s="1"/>
  <c r="N39" i="23"/>
  <c r="K220" i="24" s="1"/>
  <c r="AD220" i="24" s="1"/>
  <c r="D96" i="24"/>
  <c r="N96" i="24" s="1"/>
  <c r="E890" i="24"/>
  <c r="E889" i="24"/>
  <c r="E888" i="24"/>
  <c r="M52" i="6"/>
  <c r="B25" i="26" l="1"/>
  <c r="C38" i="5"/>
  <c r="E892" i="24"/>
  <c r="N22" i="5"/>
  <c r="M22" i="5"/>
  <c r="B26" i="26" l="1"/>
  <c r="C39" i="5"/>
  <c r="O22" i="5"/>
  <c r="D1057" i="24"/>
  <c r="I1057" i="24" s="1"/>
  <c r="D1056" i="24"/>
  <c r="D1055" i="24"/>
  <c r="D1054" i="24"/>
  <c r="D1053" i="24"/>
  <c r="D1052" i="24"/>
  <c r="D1051" i="24"/>
  <c r="D1049" i="24"/>
  <c r="D1048" i="24"/>
  <c r="D1047" i="24"/>
  <c r="D1046" i="24"/>
  <c r="D1045" i="24"/>
  <c r="D1044" i="24"/>
  <c r="D1043" i="24"/>
  <c r="D1042" i="24"/>
  <c r="D1041" i="24"/>
  <c r="L498" i="24"/>
  <c r="L497" i="24"/>
  <c r="L496" i="24"/>
  <c r="Y496" i="24" s="1"/>
  <c r="L495" i="24"/>
  <c r="L494" i="24"/>
  <c r="E498" i="24"/>
  <c r="E497" i="24"/>
  <c r="E496" i="24"/>
  <c r="E495" i="24"/>
  <c r="E494" i="24"/>
  <c r="D498" i="24"/>
  <c r="D497" i="24"/>
  <c r="D496" i="24"/>
  <c r="D495" i="24"/>
  <c r="D494" i="24"/>
  <c r="Z494" i="24"/>
  <c r="Z495" i="24"/>
  <c r="Z496" i="24"/>
  <c r="Z497" i="24"/>
  <c r="Z498" i="24"/>
  <c r="L481" i="24"/>
  <c r="Y481" i="24" s="1"/>
  <c r="L480" i="24"/>
  <c r="L479" i="24"/>
  <c r="L478" i="24"/>
  <c r="Y478" i="24" s="1"/>
  <c r="L477" i="24"/>
  <c r="C477" i="24" s="1"/>
  <c r="P477" i="24" s="1"/>
  <c r="K481" i="24"/>
  <c r="K480" i="24"/>
  <c r="K479" i="24"/>
  <c r="K478" i="24"/>
  <c r="K477" i="24"/>
  <c r="J481" i="24"/>
  <c r="J480" i="24"/>
  <c r="J479" i="24"/>
  <c r="J478" i="24"/>
  <c r="J477" i="24"/>
  <c r="I481" i="24"/>
  <c r="I480" i="24"/>
  <c r="I479" i="24"/>
  <c r="I478" i="24"/>
  <c r="I477" i="24"/>
  <c r="F481" i="24"/>
  <c r="F480" i="24"/>
  <c r="F479" i="24"/>
  <c r="F478" i="24"/>
  <c r="F477" i="24"/>
  <c r="E481" i="24"/>
  <c r="E480" i="24"/>
  <c r="E479" i="24"/>
  <c r="E478" i="24"/>
  <c r="E477" i="24"/>
  <c r="D477" i="24"/>
  <c r="Z477" i="24"/>
  <c r="D478" i="24"/>
  <c r="Z478" i="24"/>
  <c r="D479" i="24"/>
  <c r="Z479" i="24"/>
  <c r="D480" i="24"/>
  <c r="Z480" i="24"/>
  <c r="D481" i="24"/>
  <c r="Z481" i="24"/>
  <c r="Y563" i="24"/>
  <c r="Y564" i="24"/>
  <c r="Y565" i="24"/>
  <c r="Y566" i="24"/>
  <c r="Y567" i="24"/>
  <c r="M563" i="24"/>
  <c r="M564" i="24"/>
  <c r="M565" i="24"/>
  <c r="M566" i="24"/>
  <c r="M567" i="24"/>
  <c r="D567" i="24"/>
  <c r="N567" i="24" s="1"/>
  <c r="D566" i="24"/>
  <c r="Z566" i="24" s="1"/>
  <c r="D565" i="24"/>
  <c r="N565" i="24" s="1"/>
  <c r="D564" i="24"/>
  <c r="Z564" i="24" s="1"/>
  <c r="D563" i="24"/>
  <c r="Z563" i="24" s="1"/>
  <c r="Y552" i="24"/>
  <c r="Y553" i="24"/>
  <c r="Y554" i="24"/>
  <c r="Y555" i="24"/>
  <c r="Y556" i="24"/>
  <c r="M552" i="24"/>
  <c r="M553" i="24"/>
  <c r="M554" i="24"/>
  <c r="M555" i="24"/>
  <c r="M556" i="24"/>
  <c r="F556" i="24"/>
  <c r="F555" i="24"/>
  <c r="F554" i="24"/>
  <c r="F553" i="24"/>
  <c r="F552" i="24"/>
  <c r="E556" i="24"/>
  <c r="E555" i="24"/>
  <c r="E554" i="24"/>
  <c r="E553" i="24"/>
  <c r="E550" i="24"/>
  <c r="E552" i="24"/>
  <c r="D556" i="24"/>
  <c r="N556" i="24" s="1"/>
  <c r="D555" i="24"/>
  <c r="Z555" i="24" s="1"/>
  <c r="D554" i="24"/>
  <c r="Z554" i="24" s="1"/>
  <c r="D553" i="24"/>
  <c r="Z553" i="24" s="1"/>
  <c r="D552" i="24"/>
  <c r="Z552" i="24" s="1"/>
  <c r="Y523" i="24"/>
  <c r="Y522" i="24"/>
  <c r="Y521" i="24"/>
  <c r="Y520" i="24"/>
  <c r="Y519" i="24"/>
  <c r="Y518" i="24"/>
  <c r="Y517" i="24"/>
  <c r="M523" i="24"/>
  <c r="M522" i="24"/>
  <c r="M521" i="24"/>
  <c r="M520" i="24"/>
  <c r="M519" i="24"/>
  <c r="M515" i="24"/>
  <c r="M514" i="24"/>
  <c r="M513" i="24"/>
  <c r="M512" i="24"/>
  <c r="M511" i="24"/>
  <c r="B27" i="26" l="1"/>
  <c r="C40" i="5"/>
  <c r="S477" i="24"/>
  <c r="R480" i="24"/>
  <c r="R477" i="24"/>
  <c r="W481" i="24"/>
  <c r="R481" i="24"/>
  <c r="Q481" i="24"/>
  <c r="C481" i="24"/>
  <c r="P481" i="24" s="1"/>
  <c r="Q495" i="24"/>
  <c r="X480" i="24"/>
  <c r="Q494" i="24"/>
  <c r="R497" i="24"/>
  <c r="S481" i="24"/>
  <c r="Q498" i="24"/>
  <c r="N564" i="24"/>
  <c r="N555" i="24"/>
  <c r="R498" i="24"/>
  <c r="C498" i="24"/>
  <c r="P498" i="24" s="1"/>
  <c r="Y498" i="24"/>
  <c r="R495" i="24"/>
  <c r="Y495" i="24"/>
  <c r="C495" i="24"/>
  <c r="P495" i="24" s="1"/>
  <c r="Q496" i="24"/>
  <c r="Q497" i="24"/>
  <c r="R494" i="24"/>
  <c r="Y494" i="24"/>
  <c r="C494" i="24"/>
  <c r="P494" i="24" s="1"/>
  <c r="Y497" i="24"/>
  <c r="C497" i="24"/>
  <c r="P497" i="24" s="1"/>
  <c r="R496" i="24"/>
  <c r="C496" i="24"/>
  <c r="P496" i="24" s="1"/>
  <c r="X481" i="24"/>
  <c r="N563" i="24"/>
  <c r="V481" i="24"/>
  <c r="Q480" i="24"/>
  <c r="X479" i="24"/>
  <c r="V479" i="24"/>
  <c r="C479" i="24"/>
  <c r="P479" i="24" s="1"/>
  <c r="S479" i="24"/>
  <c r="W479" i="24"/>
  <c r="Q479" i="24"/>
  <c r="R479" i="24"/>
  <c r="V478" i="24"/>
  <c r="S478" i="24"/>
  <c r="R478" i="24"/>
  <c r="C478" i="24"/>
  <c r="P478" i="24" s="1"/>
  <c r="X478" i="24"/>
  <c r="W478" i="24"/>
  <c r="Q478" i="24"/>
  <c r="Q477" i="24"/>
  <c r="W480" i="24"/>
  <c r="V480" i="24"/>
  <c r="C480" i="24"/>
  <c r="P480" i="24" s="1"/>
  <c r="Y477" i="24"/>
  <c r="S480" i="24"/>
  <c r="X477" i="24"/>
  <c r="Y480" i="24"/>
  <c r="Y479" i="24"/>
  <c r="W477" i="24"/>
  <c r="V477" i="24"/>
  <c r="Z565" i="24"/>
  <c r="N566" i="24"/>
  <c r="Z567" i="24"/>
  <c r="N554" i="24"/>
  <c r="Z556" i="24"/>
  <c r="N553" i="24"/>
  <c r="N552" i="24"/>
  <c r="F515" i="24"/>
  <c r="F514" i="24"/>
  <c r="F513" i="24"/>
  <c r="F512" i="24"/>
  <c r="F511" i="24"/>
  <c r="D513" i="24"/>
  <c r="D514" i="24"/>
  <c r="D515" i="24"/>
  <c r="D512" i="24"/>
  <c r="D511" i="24"/>
  <c r="B28" i="26" l="1"/>
  <c r="C41" i="5"/>
  <c r="N513" i="24"/>
  <c r="Z513" i="24"/>
  <c r="N511" i="24"/>
  <c r="Z511" i="24"/>
  <c r="N512" i="24"/>
  <c r="Z512" i="24"/>
  <c r="Z515" i="24"/>
  <c r="N515" i="24"/>
  <c r="Z514" i="24"/>
  <c r="N514" i="24"/>
  <c r="D523" i="24"/>
  <c r="D522" i="24"/>
  <c r="D521" i="24"/>
  <c r="D520" i="24"/>
  <c r="D519" i="24"/>
  <c r="I1049" i="24"/>
  <c r="I1056" i="24"/>
  <c r="I1055" i="24"/>
  <c r="I1054" i="24"/>
  <c r="I1053" i="24"/>
  <c r="I1052" i="24"/>
  <c r="I1051" i="24"/>
  <c r="I1048" i="24"/>
  <c r="I1047" i="24"/>
  <c r="I1046" i="24"/>
  <c r="I1045" i="24"/>
  <c r="I1044" i="24"/>
  <c r="I1043" i="24"/>
  <c r="I1042" i="24"/>
  <c r="I1041" i="24"/>
  <c r="D1040" i="24"/>
  <c r="I1040" i="24" s="1"/>
  <c r="D1039" i="24"/>
  <c r="I1039" i="24" s="1"/>
  <c r="D1038" i="24"/>
  <c r="I1038" i="24" s="1"/>
  <c r="D1037" i="24"/>
  <c r="I1037" i="24" s="1"/>
  <c r="Y651" i="24"/>
  <c r="M651" i="24"/>
  <c r="D651" i="24"/>
  <c r="Z651" i="24" s="1"/>
  <c r="X83" i="9"/>
  <c r="W83" i="9"/>
  <c r="V83" i="9"/>
  <c r="U83" i="9"/>
  <c r="T83" i="9"/>
  <c r="S83" i="9"/>
  <c r="R83" i="9"/>
  <c r="Q83" i="9"/>
  <c r="P83" i="9"/>
  <c r="O83" i="9"/>
  <c r="N83" i="9"/>
  <c r="M83" i="9"/>
  <c r="L83" i="9"/>
  <c r="K83" i="9"/>
  <c r="J83" i="9"/>
  <c r="I83" i="9"/>
  <c r="H83" i="9"/>
  <c r="G83" i="9"/>
  <c r="F83" i="9"/>
  <c r="E83" i="9"/>
  <c r="E82" i="9"/>
  <c r="D715" i="24"/>
  <c r="I715" i="24" s="1"/>
  <c r="D714" i="24"/>
  <c r="I714" i="24" s="1"/>
  <c r="D713" i="24"/>
  <c r="I713" i="24" s="1"/>
  <c r="D712" i="24"/>
  <c r="I712" i="24" s="1"/>
  <c r="D705" i="24"/>
  <c r="I705" i="24" s="1"/>
  <c r="D704" i="24"/>
  <c r="I704" i="24" s="1"/>
  <c r="D703" i="24"/>
  <c r="I703" i="24" s="1"/>
  <c r="D702" i="24"/>
  <c r="I702" i="24" s="1"/>
  <c r="D695" i="24"/>
  <c r="I695" i="24" s="1"/>
  <c r="D694" i="24"/>
  <c r="I694" i="24" s="1"/>
  <c r="D693" i="24"/>
  <c r="I693" i="24" s="1"/>
  <c r="D692" i="24"/>
  <c r="I692" i="24" s="1"/>
  <c r="C31" i="8"/>
  <c r="C40" i="8"/>
  <c r="F31" i="1"/>
  <c r="G39" i="8" s="1"/>
  <c r="C31" i="1"/>
  <c r="C39" i="8" s="1"/>
  <c r="E210" i="24"/>
  <c r="X210" i="24" s="1"/>
  <c r="D210" i="24"/>
  <c r="W210" i="24" s="1"/>
  <c r="C210" i="24"/>
  <c r="V210" i="24" s="1"/>
  <c r="E209" i="24"/>
  <c r="X209" i="24" s="1"/>
  <c r="D209" i="24"/>
  <c r="W209" i="24" s="1"/>
  <c r="C209" i="24"/>
  <c r="V209" i="24" s="1"/>
  <c r="E208" i="24"/>
  <c r="X208" i="24" s="1"/>
  <c r="D208" i="24"/>
  <c r="W208" i="24" s="1"/>
  <c r="C208" i="24"/>
  <c r="V208" i="24" s="1"/>
  <c r="E207" i="24"/>
  <c r="X207" i="24" s="1"/>
  <c r="D207" i="24"/>
  <c r="W207" i="24" s="1"/>
  <c r="C207" i="24"/>
  <c r="V207" i="24" s="1"/>
  <c r="E206" i="24"/>
  <c r="X206" i="24" s="1"/>
  <c r="D206" i="24"/>
  <c r="W206" i="24" s="1"/>
  <c r="C206" i="24"/>
  <c r="V206" i="24" s="1"/>
  <c r="E205" i="24"/>
  <c r="X205" i="24" s="1"/>
  <c r="D205" i="24"/>
  <c r="W205" i="24" s="1"/>
  <c r="C205" i="24"/>
  <c r="V205" i="24" s="1"/>
  <c r="E204" i="24"/>
  <c r="X204" i="24" s="1"/>
  <c r="D204" i="24"/>
  <c r="W204" i="24" s="1"/>
  <c r="C204" i="24"/>
  <c r="V204" i="24" s="1"/>
  <c r="E203" i="24"/>
  <c r="X203" i="24" s="1"/>
  <c r="D203" i="24"/>
  <c r="W203" i="24" s="1"/>
  <c r="C203" i="24"/>
  <c r="V203" i="24" s="1"/>
  <c r="E202" i="24"/>
  <c r="X202" i="24" s="1"/>
  <c r="D202" i="24"/>
  <c r="W202" i="24" s="1"/>
  <c r="C202" i="24"/>
  <c r="V202" i="24" s="1"/>
  <c r="E201" i="24"/>
  <c r="X201" i="24" s="1"/>
  <c r="D201" i="24"/>
  <c r="W201" i="24" s="1"/>
  <c r="C201" i="24"/>
  <c r="V201" i="24" s="1"/>
  <c r="E200" i="24"/>
  <c r="X200" i="24" s="1"/>
  <c r="D200" i="24"/>
  <c r="W200" i="24" s="1"/>
  <c r="C200" i="24"/>
  <c r="V200" i="24" s="1"/>
  <c r="E199" i="24"/>
  <c r="X199" i="24" s="1"/>
  <c r="D199" i="24"/>
  <c r="W199" i="24" s="1"/>
  <c r="C199" i="24"/>
  <c r="V199" i="24" s="1"/>
  <c r="E198" i="24"/>
  <c r="X198" i="24" s="1"/>
  <c r="D198" i="24"/>
  <c r="W198" i="24" s="1"/>
  <c r="C198" i="24"/>
  <c r="V198" i="24" s="1"/>
  <c r="E197" i="24"/>
  <c r="X197" i="24" s="1"/>
  <c r="D197" i="24"/>
  <c r="W197" i="24" s="1"/>
  <c r="C197" i="24"/>
  <c r="V197" i="24" s="1"/>
  <c r="E196" i="24"/>
  <c r="X196" i="24" s="1"/>
  <c r="D196" i="24"/>
  <c r="W196" i="24" s="1"/>
  <c r="C196" i="24"/>
  <c r="V196" i="24" s="1"/>
  <c r="E195" i="24"/>
  <c r="X195" i="24" s="1"/>
  <c r="D195" i="24"/>
  <c r="W195" i="24" s="1"/>
  <c r="C195" i="24"/>
  <c r="V195" i="24" s="1"/>
  <c r="E194" i="24"/>
  <c r="X194" i="24" s="1"/>
  <c r="D194" i="24"/>
  <c r="W194" i="24" s="1"/>
  <c r="C194" i="24"/>
  <c r="V194" i="24" s="1"/>
  <c r="E193" i="24"/>
  <c r="X193" i="24" s="1"/>
  <c r="D193" i="24"/>
  <c r="W193" i="24" s="1"/>
  <c r="C193" i="24"/>
  <c r="V193" i="24" s="1"/>
  <c r="E192" i="24"/>
  <c r="X192" i="24" s="1"/>
  <c r="D192" i="24"/>
  <c r="W192" i="24" s="1"/>
  <c r="C192" i="24"/>
  <c r="V192" i="24" s="1"/>
  <c r="E191" i="24"/>
  <c r="X191" i="24" s="1"/>
  <c r="D191" i="24"/>
  <c r="W191" i="24" s="1"/>
  <c r="C191" i="24"/>
  <c r="V191" i="24" s="1"/>
  <c r="N324" i="24"/>
  <c r="M324" i="24"/>
  <c r="N323" i="24"/>
  <c r="M323" i="24"/>
  <c r="N322" i="24"/>
  <c r="M322" i="24"/>
  <c r="N321" i="24"/>
  <c r="M321" i="24"/>
  <c r="N320" i="24"/>
  <c r="M320" i="24"/>
  <c r="N319" i="24"/>
  <c r="M319" i="24"/>
  <c r="N318" i="24"/>
  <c r="M318" i="24"/>
  <c r="N317" i="24"/>
  <c r="M317" i="24"/>
  <c r="N316" i="24"/>
  <c r="M316" i="24"/>
  <c r="N315" i="24"/>
  <c r="M315" i="24"/>
  <c r="N314" i="24"/>
  <c r="M314" i="24"/>
  <c r="N313" i="24"/>
  <c r="M313" i="24"/>
  <c r="N312" i="24"/>
  <c r="M312" i="24"/>
  <c r="N311" i="24"/>
  <c r="M311" i="24"/>
  <c r="N310" i="24"/>
  <c r="M310" i="24"/>
  <c r="N309" i="24"/>
  <c r="M309" i="24"/>
  <c r="N308" i="24"/>
  <c r="M308" i="24"/>
  <c r="N307" i="24"/>
  <c r="M307" i="24"/>
  <c r="N306" i="24"/>
  <c r="M306" i="24"/>
  <c r="N305" i="24"/>
  <c r="M305" i="24"/>
  <c r="N304" i="24"/>
  <c r="M304" i="24"/>
  <c r="N303" i="24"/>
  <c r="M303" i="24"/>
  <c r="N302" i="24"/>
  <c r="M302" i="24"/>
  <c r="N301" i="24"/>
  <c r="M301" i="24"/>
  <c r="N300" i="24"/>
  <c r="M300" i="24"/>
  <c r="N299" i="24"/>
  <c r="M299" i="24"/>
  <c r="N298" i="24"/>
  <c r="M298" i="24"/>
  <c r="N297" i="24"/>
  <c r="M297" i="24"/>
  <c r="N296" i="24"/>
  <c r="M296" i="24"/>
  <c r="N295" i="24"/>
  <c r="M295" i="24"/>
  <c r="J210" i="24"/>
  <c r="AC210" i="24" s="1"/>
  <c r="I210" i="24"/>
  <c r="AB210" i="24" s="1"/>
  <c r="J209" i="24"/>
  <c r="AC209" i="24" s="1"/>
  <c r="I209" i="24"/>
  <c r="AB209" i="24" s="1"/>
  <c r="J208" i="24"/>
  <c r="AC208" i="24" s="1"/>
  <c r="I208" i="24"/>
  <c r="AB208" i="24" s="1"/>
  <c r="J207" i="24"/>
  <c r="AC207" i="24" s="1"/>
  <c r="I207" i="24"/>
  <c r="AB207" i="24" s="1"/>
  <c r="J206" i="24"/>
  <c r="AC206" i="24" s="1"/>
  <c r="I206" i="24"/>
  <c r="AB206" i="24" s="1"/>
  <c r="J205" i="24"/>
  <c r="AC205" i="24" s="1"/>
  <c r="I205" i="24"/>
  <c r="AB205" i="24" s="1"/>
  <c r="J204" i="24"/>
  <c r="AC204" i="24" s="1"/>
  <c r="I204" i="24"/>
  <c r="AB204" i="24" s="1"/>
  <c r="J203" i="24"/>
  <c r="AC203" i="24" s="1"/>
  <c r="I203" i="24"/>
  <c r="AB203" i="24" s="1"/>
  <c r="J202" i="24"/>
  <c r="AC202" i="24" s="1"/>
  <c r="I202" i="24"/>
  <c r="AB202" i="24" s="1"/>
  <c r="J201" i="24"/>
  <c r="AC201" i="24" s="1"/>
  <c r="I201" i="24"/>
  <c r="AB201" i="24" s="1"/>
  <c r="J200" i="24"/>
  <c r="AC200" i="24" s="1"/>
  <c r="I200" i="24"/>
  <c r="AB200" i="24" s="1"/>
  <c r="J199" i="24"/>
  <c r="AC199" i="24" s="1"/>
  <c r="I199" i="24"/>
  <c r="AB199" i="24" s="1"/>
  <c r="J198" i="24"/>
  <c r="AC198" i="24" s="1"/>
  <c r="I198" i="24"/>
  <c r="AB198" i="24" s="1"/>
  <c r="J197" i="24"/>
  <c r="AC197" i="24" s="1"/>
  <c r="I197" i="24"/>
  <c r="AB197" i="24" s="1"/>
  <c r="J196" i="24"/>
  <c r="AC196" i="24" s="1"/>
  <c r="I196" i="24"/>
  <c r="AB196" i="24" s="1"/>
  <c r="J195" i="24"/>
  <c r="AC195" i="24" s="1"/>
  <c r="I195" i="24"/>
  <c r="AB195" i="24" s="1"/>
  <c r="J194" i="24"/>
  <c r="AC194" i="24" s="1"/>
  <c r="I194" i="24"/>
  <c r="AB194" i="24" s="1"/>
  <c r="J193" i="24"/>
  <c r="AC193" i="24" s="1"/>
  <c r="I193" i="24"/>
  <c r="AB193" i="24" s="1"/>
  <c r="J192" i="24"/>
  <c r="AC192" i="24" s="1"/>
  <c r="I192" i="24"/>
  <c r="AB192" i="24" s="1"/>
  <c r="J191" i="24"/>
  <c r="AC191" i="24" s="1"/>
  <c r="I191" i="24"/>
  <c r="AB191" i="24" s="1"/>
  <c r="M29" i="23"/>
  <c r="M28" i="23"/>
  <c r="M27" i="23"/>
  <c r="M26" i="23"/>
  <c r="M25" i="23"/>
  <c r="M24" i="23"/>
  <c r="M23" i="23"/>
  <c r="M22" i="23"/>
  <c r="M21" i="23"/>
  <c r="M20" i="23"/>
  <c r="M19" i="23"/>
  <c r="M18" i="23"/>
  <c r="M17" i="23"/>
  <c r="M16" i="23"/>
  <c r="M15" i="23"/>
  <c r="M14" i="23"/>
  <c r="M13" i="23"/>
  <c r="M12" i="23"/>
  <c r="M11" i="23"/>
  <c r="M10" i="23"/>
  <c r="J29" i="23"/>
  <c r="N29" i="23" s="1"/>
  <c r="J28" i="23"/>
  <c r="N28" i="23" s="1"/>
  <c r="J27" i="23"/>
  <c r="J26" i="23"/>
  <c r="J25" i="23"/>
  <c r="J24" i="23"/>
  <c r="J23" i="23"/>
  <c r="J22" i="23"/>
  <c r="J21" i="23"/>
  <c r="J20" i="23"/>
  <c r="N20" i="23" s="1"/>
  <c r="J19" i="23"/>
  <c r="J18" i="23"/>
  <c r="J17" i="23"/>
  <c r="J16" i="23"/>
  <c r="J14" i="23"/>
  <c r="J13" i="23"/>
  <c r="J12" i="23"/>
  <c r="J11" i="23"/>
  <c r="J10" i="23"/>
  <c r="N10" i="23" l="1"/>
  <c r="B29" i="26"/>
  <c r="C42" i="5"/>
  <c r="N15" i="23"/>
  <c r="N11" i="23"/>
  <c r="N27" i="23"/>
  <c r="E84" i="9"/>
  <c r="F82" i="9" s="1"/>
  <c r="F84" i="9" s="1"/>
  <c r="N17" i="23"/>
  <c r="N26" i="23"/>
  <c r="N18" i="23"/>
  <c r="N19" i="23"/>
  <c r="N23" i="23"/>
  <c r="N13" i="23"/>
  <c r="N16" i="23"/>
  <c r="N24" i="23"/>
  <c r="N25" i="23"/>
  <c r="N14" i="23"/>
  <c r="N22" i="23"/>
  <c r="N520" i="24"/>
  <c r="Z520" i="24"/>
  <c r="Z521" i="24"/>
  <c r="N521" i="24"/>
  <c r="Z522" i="24"/>
  <c r="N522" i="24"/>
  <c r="N523" i="24"/>
  <c r="Z523" i="24"/>
  <c r="Z519" i="24"/>
  <c r="N519" i="24"/>
  <c r="N651" i="24"/>
  <c r="N12" i="23"/>
  <c r="N21" i="23"/>
  <c r="C4" i="2"/>
  <c r="C89" i="1"/>
  <c r="B30" i="26" l="1"/>
  <c r="C43" i="5"/>
  <c r="G82" i="9"/>
  <c r="G84" i="9" s="1"/>
  <c r="D131" i="24"/>
  <c r="D130" i="24"/>
  <c r="D129" i="24"/>
  <c r="D128" i="24"/>
  <c r="D127" i="24"/>
  <c r="D126" i="24"/>
  <c r="D125" i="24"/>
  <c r="D124" i="24"/>
  <c r="D123" i="24"/>
  <c r="D122" i="24"/>
  <c r="D121" i="24"/>
  <c r="D120" i="24"/>
  <c r="D119" i="24"/>
  <c r="D118" i="24"/>
  <c r="F892" i="24"/>
  <c r="G892" i="24" s="1"/>
  <c r="H892" i="24" s="1"/>
  <c r="I892" i="24" s="1"/>
  <c r="J892" i="24" s="1"/>
  <c r="K892" i="24" s="1"/>
  <c r="L892" i="24" s="1"/>
  <c r="M892" i="24" s="1"/>
  <c r="N892" i="24" s="1"/>
  <c r="O892" i="24" s="1"/>
  <c r="P892" i="24" s="1"/>
  <c r="Q892" i="24" s="1"/>
  <c r="R892" i="24" s="1"/>
  <c r="S892" i="24" s="1"/>
  <c r="T892" i="24" s="1"/>
  <c r="U892" i="24" s="1"/>
  <c r="V892" i="24" s="1"/>
  <c r="W892" i="24" s="1"/>
  <c r="X892" i="24" s="1"/>
  <c r="B31" i="26" l="1"/>
  <c r="C44" i="5"/>
  <c r="H82" i="9"/>
  <c r="H84" i="9" s="1"/>
  <c r="E881" i="24"/>
  <c r="E946" i="24" s="1"/>
  <c r="E880" i="24"/>
  <c r="E879" i="24"/>
  <c r="E945" i="24" s="1"/>
  <c r="E878" i="24"/>
  <c r="E944" i="24" s="1"/>
  <c r="E877" i="24"/>
  <c r="E943" i="24" s="1"/>
  <c r="E876" i="24"/>
  <c r="E942" i="24" s="1"/>
  <c r="E875" i="24"/>
  <c r="E941" i="24" s="1"/>
  <c r="E874" i="24"/>
  <c r="E873" i="24"/>
  <c r="E939" i="24" s="1"/>
  <c r="E872" i="24"/>
  <c r="E871" i="24"/>
  <c r="E870" i="24"/>
  <c r="E869" i="24"/>
  <c r="E868" i="24"/>
  <c r="E936" i="24" s="1"/>
  <c r="E867" i="24"/>
  <c r="E935" i="24" s="1"/>
  <c r="E866" i="24"/>
  <c r="E934" i="24" s="1"/>
  <c r="E865" i="24"/>
  <c r="E933" i="24" s="1"/>
  <c r="E864" i="24"/>
  <c r="E932" i="24" s="1"/>
  <c r="E863" i="24"/>
  <c r="E931" i="24" s="1"/>
  <c r="E862" i="24"/>
  <c r="E930" i="24" s="1"/>
  <c r="E861" i="24"/>
  <c r="E929" i="24" s="1"/>
  <c r="E860" i="24"/>
  <c r="E928" i="24" s="1"/>
  <c r="E859" i="24"/>
  <c r="E927" i="24" s="1"/>
  <c r="E858" i="24"/>
  <c r="E926" i="24" s="1"/>
  <c r="E857" i="24"/>
  <c r="E925" i="24" s="1"/>
  <c r="E856" i="24"/>
  <c r="E924" i="24" s="1"/>
  <c r="E855" i="24"/>
  <c r="E923" i="24" s="1"/>
  <c r="E854" i="24"/>
  <c r="E922" i="24" s="1"/>
  <c r="E853" i="24"/>
  <c r="E921" i="24" s="1"/>
  <c r="E852" i="24"/>
  <c r="E920" i="24" s="1"/>
  <c r="E851" i="24"/>
  <c r="E919" i="24" s="1"/>
  <c r="E850" i="24"/>
  <c r="E918" i="24" s="1"/>
  <c r="E849" i="24"/>
  <c r="E917" i="24" s="1"/>
  <c r="E848" i="24"/>
  <c r="E916" i="24" s="1"/>
  <c r="E847" i="24"/>
  <c r="E915" i="24" s="1"/>
  <c r="E846" i="24"/>
  <c r="E914" i="24" s="1"/>
  <c r="E845" i="24"/>
  <c r="E913" i="24" s="1"/>
  <c r="E844" i="24"/>
  <c r="E912" i="24" s="1"/>
  <c r="E843" i="24"/>
  <c r="E842" i="24"/>
  <c r="E841" i="24"/>
  <c r="E840" i="24"/>
  <c r="E910" i="24" s="1"/>
  <c r="E839" i="24"/>
  <c r="E909" i="24" s="1"/>
  <c r="E838" i="24"/>
  <c r="E908" i="24" s="1"/>
  <c r="E837" i="24"/>
  <c r="E907" i="24" s="1"/>
  <c r="E836" i="24"/>
  <c r="E906" i="24" s="1"/>
  <c r="E835" i="24"/>
  <c r="E905" i="24" s="1"/>
  <c r="E833" i="24"/>
  <c r="E903" i="24" s="1"/>
  <c r="E832" i="24"/>
  <c r="E902" i="24" s="1"/>
  <c r="E831" i="24"/>
  <c r="E901" i="24" s="1"/>
  <c r="E830" i="24"/>
  <c r="E900" i="24" s="1"/>
  <c r="C881" i="24"/>
  <c r="C880" i="24"/>
  <c r="C879" i="24"/>
  <c r="C878" i="24"/>
  <c r="C877" i="24"/>
  <c r="C876" i="24"/>
  <c r="C875" i="24"/>
  <c r="C874" i="24"/>
  <c r="C873" i="24"/>
  <c r="C872" i="24"/>
  <c r="C871" i="24"/>
  <c r="C870" i="24"/>
  <c r="C869" i="24"/>
  <c r="C868" i="24"/>
  <c r="C867" i="24"/>
  <c r="C866" i="24"/>
  <c r="C865" i="24"/>
  <c r="C864" i="24"/>
  <c r="C863" i="24"/>
  <c r="C862" i="24"/>
  <c r="C861" i="24"/>
  <c r="C860" i="24"/>
  <c r="C859" i="24"/>
  <c r="C858" i="24"/>
  <c r="C857" i="24"/>
  <c r="C856" i="24"/>
  <c r="C855" i="24"/>
  <c r="C854" i="24"/>
  <c r="C853" i="24"/>
  <c r="C852" i="24"/>
  <c r="C851" i="24"/>
  <c r="C850" i="24"/>
  <c r="C849" i="24"/>
  <c r="C848" i="24"/>
  <c r="C847" i="24"/>
  <c r="C846" i="24"/>
  <c r="C845" i="24"/>
  <c r="C844" i="24"/>
  <c r="C843" i="24"/>
  <c r="C842" i="24"/>
  <c r="C841" i="24"/>
  <c r="C840" i="24"/>
  <c r="C839" i="24"/>
  <c r="C838" i="24"/>
  <c r="C837" i="24"/>
  <c r="C836" i="24"/>
  <c r="C835" i="24"/>
  <c r="C834" i="24"/>
  <c r="C833" i="24"/>
  <c r="C832" i="24"/>
  <c r="C831" i="24"/>
  <c r="C830" i="24"/>
  <c r="D876" i="24"/>
  <c r="D842" i="24"/>
  <c r="B32" i="26" l="1"/>
  <c r="C45" i="5"/>
  <c r="I82" i="9"/>
  <c r="I84" i="9" s="1"/>
  <c r="E940" i="24"/>
  <c r="E938" i="24"/>
  <c r="E911" i="24"/>
  <c r="E937" i="24"/>
  <c r="F876" i="24"/>
  <c r="F842" i="24"/>
  <c r="G842" i="24" s="1"/>
  <c r="H842" i="24" s="1"/>
  <c r="I842" i="24" s="1"/>
  <c r="J842" i="24" s="1"/>
  <c r="K842" i="24" s="1"/>
  <c r="L842" i="24" s="1"/>
  <c r="M842" i="24" s="1"/>
  <c r="N842" i="24" s="1"/>
  <c r="O842" i="24" s="1"/>
  <c r="P842" i="24" s="1"/>
  <c r="Q842" i="24" s="1"/>
  <c r="R842" i="24" s="1"/>
  <c r="S842" i="24" s="1"/>
  <c r="T842" i="24" s="1"/>
  <c r="U842" i="24" s="1"/>
  <c r="V842" i="24" s="1"/>
  <c r="W842" i="24" s="1"/>
  <c r="X842" i="24" s="1"/>
  <c r="E822" i="24"/>
  <c r="E895" i="24" s="1"/>
  <c r="E821" i="24"/>
  <c r="C46" i="5" l="1"/>
  <c r="B33" i="26"/>
  <c r="J82" i="9"/>
  <c r="J84" i="9" s="1"/>
  <c r="G876" i="24"/>
  <c r="F942" i="24"/>
  <c r="D881" i="24"/>
  <c r="F881" i="24" s="1"/>
  <c r="D880" i="24"/>
  <c r="F880" i="24" s="1"/>
  <c r="D879" i="24"/>
  <c r="F879" i="24" s="1"/>
  <c r="D878" i="24"/>
  <c r="F878" i="24" s="1"/>
  <c r="D877" i="24"/>
  <c r="F877" i="24" s="1"/>
  <c r="D875" i="24"/>
  <c r="F875" i="24" s="1"/>
  <c r="D874" i="24"/>
  <c r="F874" i="24" s="1"/>
  <c r="D873" i="24"/>
  <c r="F873" i="24" s="1"/>
  <c r="D872" i="24"/>
  <c r="F872" i="24" s="1"/>
  <c r="G872" i="24" s="1"/>
  <c r="H872" i="24" s="1"/>
  <c r="I872" i="24" s="1"/>
  <c r="J872" i="24" s="1"/>
  <c r="K872" i="24" s="1"/>
  <c r="L872" i="24" s="1"/>
  <c r="M872" i="24" s="1"/>
  <c r="N872" i="24" s="1"/>
  <c r="O872" i="24" s="1"/>
  <c r="P872" i="24" s="1"/>
  <c r="Q872" i="24" s="1"/>
  <c r="R872" i="24" s="1"/>
  <c r="S872" i="24" s="1"/>
  <c r="T872" i="24" s="1"/>
  <c r="U872" i="24" s="1"/>
  <c r="V872" i="24" s="1"/>
  <c r="W872" i="24" s="1"/>
  <c r="X872" i="24" s="1"/>
  <c r="D871" i="24"/>
  <c r="F871" i="24" s="1"/>
  <c r="D870" i="24"/>
  <c r="F870" i="24" s="1"/>
  <c r="G870" i="24" s="1"/>
  <c r="H870" i="24" s="1"/>
  <c r="I870" i="24" s="1"/>
  <c r="J870" i="24" s="1"/>
  <c r="K870" i="24" s="1"/>
  <c r="L870" i="24" s="1"/>
  <c r="M870" i="24" s="1"/>
  <c r="N870" i="24" s="1"/>
  <c r="O870" i="24" s="1"/>
  <c r="P870" i="24" s="1"/>
  <c r="Q870" i="24" s="1"/>
  <c r="R870" i="24" s="1"/>
  <c r="S870" i="24" s="1"/>
  <c r="T870" i="24" s="1"/>
  <c r="U870" i="24" s="1"/>
  <c r="V870" i="24" s="1"/>
  <c r="W870" i="24" s="1"/>
  <c r="X870" i="24" s="1"/>
  <c r="D869" i="24"/>
  <c r="F869" i="24" s="1"/>
  <c r="D868" i="24"/>
  <c r="F868" i="24" s="1"/>
  <c r="D867" i="24"/>
  <c r="F867" i="24" s="1"/>
  <c r="D866" i="24"/>
  <c r="F866" i="24" s="1"/>
  <c r="D865" i="24"/>
  <c r="F865" i="24" s="1"/>
  <c r="D864" i="24"/>
  <c r="F864" i="24" s="1"/>
  <c r="D863" i="24"/>
  <c r="F863" i="24" s="1"/>
  <c r="D862" i="24"/>
  <c r="F862" i="24" s="1"/>
  <c r="D861" i="24"/>
  <c r="F861" i="24" s="1"/>
  <c r="D860" i="24"/>
  <c r="F860" i="24" s="1"/>
  <c r="D859" i="24"/>
  <c r="F859" i="24" s="1"/>
  <c r="D858" i="24"/>
  <c r="F858" i="24" s="1"/>
  <c r="D857" i="24"/>
  <c r="F857" i="24" s="1"/>
  <c r="D856" i="24"/>
  <c r="F856" i="24" s="1"/>
  <c r="D855" i="24"/>
  <c r="F855" i="24" s="1"/>
  <c r="D854" i="24"/>
  <c r="F854" i="24" s="1"/>
  <c r="D853" i="24"/>
  <c r="F853" i="24" s="1"/>
  <c r="D852" i="24"/>
  <c r="F852" i="24" s="1"/>
  <c r="D851" i="24"/>
  <c r="F851" i="24" s="1"/>
  <c r="D850" i="24"/>
  <c r="F850" i="24" s="1"/>
  <c r="D849" i="24"/>
  <c r="F849" i="24" s="1"/>
  <c r="D848" i="24"/>
  <c r="F848" i="24" s="1"/>
  <c r="D847" i="24"/>
  <c r="F847" i="24" s="1"/>
  <c r="D846" i="24"/>
  <c r="F846" i="24" s="1"/>
  <c r="D845" i="24"/>
  <c r="F845" i="24" s="1"/>
  <c r="D844" i="24"/>
  <c r="F844" i="24" s="1"/>
  <c r="D843" i="24"/>
  <c r="F843" i="24" s="1"/>
  <c r="G843" i="24" s="1"/>
  <c r="H843" i="24" s="1"/>
  <c r="I843" i="24" s="1"/>
  <c r="J843" i="24" s="1"/>
  <c r="K843" i="24" s="1"/>
  <c r="L843" i="24" s="1"/>
  <c r="M843" i="24" s="1"/>
  <c r="N843" i="24" s="1"/>
  <c r="O843" i="24" s="1"/>
  <c r="P843" i="24" s="1"/>
  <c r="Q843" i="24" s="1"/>
  <c r="R843" i="24" s="1"/>
  <c r="S843" i="24" s="1"/>
  <c r="T843" i="24" s="1"/>
  <c r="U843" i="24" s="1"/>
  <c r="V843" i="24" s="1"/>
  <c r="W843" i="24" s="1"/>
  <c r="X843" i="24" s="1"/>
  <c r="D840" i="24"/>
  <c r="F840" i="24" s="1"/>
  <c r="D839" i="24"/>
  <c r="F839" i="24" s="1"/>
  <c r="D838" i="24"/>
  <c r="F838" i="24" s="1"/>
  <c r="D837" i="24"/>
  <c r="F837" i="24" s="1"/>
  <c r="D836" i="24"/>
  <c r="F836" i="24" s="1"/>
  <c r="D835" i="24"/>
  <c r="F835" i="24" s="1"/>
  <c r="D834" i="24"/>
  <c r="D833" i="24"/>
  <c r="F833" i="24" s="1"/>
  <c r="D832" i="24"/>
  <c r="F832" i="24" s="1"/>
  <c r="D831" i="24"/>
  <c r="F831" i="24" s="1"/>
  <c r="D841" i="24"/>
  <c r="F841" i="24" s="1"/>
  <c r="D830" i="24"/>
  <c r="F830" i="24" s="1"/>
  <c r="D829" i="24"/>
  <c r="D828" i="24"/>
  <c r="D827" i="24"/>
  <c r="D826" i="24"/>
  <c r="E826" i="24" s="1"/>
  <c r="D825" i="24"/>
  <c r="D824" i="24"/>
  <c r="D823" i="24"/>
  <c r="D822" i="24"/>
  <c r="F822" i="24" s="1"/>
  <c r="D821" i="24"/>
  <c r="F821" i="24" s="1"/>
  <c r="L439" i="24"/>
  <c r="L438" i="24"/>
  <c r="D439" i="24"/>
  <c r="M439" i="24" s="1"/>
  <c r="D431" i="24"/>
  <c r="M431" i="24" s="1"/>
  <c r="L431" i="24"/>
  <c r="B34" i="26" l="1"/>
  <c r="C47" i="5"/>
  <c r="K82" i="9"/>
  <c r="K84" i="9" s="1"/>
  <c r="F940" i="24"/>
  <c r="G837" i="24"/>
  <c r="F907" i="24"/>
  <c r="G856" i="24"/>
  <c r="F924" i="24"/>
  <c r="G864" i="24"/>
  <c r="F932" i="24"/>
  <c r="G881" i="24"/>
  <c r="F946" i="24"/>
  <c r="G822" i="24"/>
  <c r="F895" i="24"/>
  <c r="G871" i="24"/>
  <c r="F938" i="24"/>
  <c r="G838" i="24"/>
  <c r="F908" i="24"/>
  <c r="G849" i="24"/>
  <c r="F917" i="24"/>
  <c r="G873" i="24"/>
  <c r="F939" i="24"/>
  <c r="G832" i="24"/>
  <c r="F902" i="24"/>
  <c r="G840" i="24"/>
  <c r="F910" i="24"/>
  <c r="G850" i="24"/>
  <c r="F918" i="24"/>
  <c r="G858" i="24"/>
  <c r="F926" i="24"/>
  <c r="G866" i="24"/>
  <c r="F934" i="24"/>
  <c r="G874" i="24"/>
  <c r="G855" i="24"/>
  <c r="F923" i="24"/>
  <c r="G848" i="24"/>
  <c r="F916" i="24"/>
  <c r="G831" i="24"/>
  <c r="F901" i="24"/>
  <c r="G865" i="24"/>
  <c r="F933" i="24"/>
  <c r="G851" i="24"/>
  <c r="F919" i="24"/>
  <c r="G859" i="24"/>
  <c r="F927" i="24"/>
  <c r="G867" i="24"/>
  <c r="F935" i="24"/>
  <c r="G875" i="24"/>
  <c r="F941" i="24"/>
  <c r="G847" i="24"/>
  <c r="F915" i="24"/>
  <c r="G839" i="24"/>
  <c r="F909" i="24"/>
  <c r="G844" i="24"/>
  <c r="F912" i="24"/>
  <c r="G852" i="24"/>
  <c r="F920" i="24"/>
  <c r="G860" i="24"/>
  <c r="F928" i="24"/>
  <c r="G868" i="24"/>
  <c r="F936" i="24"/>
  <c r="G877" i="24"/>
  <c r="F943" i="24"/>
  <c r="G863" i="24"/>
  <c r="F931" i="24"/>
  <c r="G833" i="24"/>
  <c r="F903" i="24"/>
  <c r="G835" i="24"/>
  <c r="F905" i="24"/>
  <c r="G845" i="24"/>
  <c r="F913" i="24"/>
  <c r="G853" i="24"/>
  <c r="F921" i="24"/>
  <c r="G861" i="24"/>
  <c r="F929" i="24"/>
  <c r="G869" i="24"/>
  <c r="F937" i="24"/>
  <c r="G878" i="24"/>
  <c r="F944" i="24"/>
  <c r="G830" i="24"/>
  <c r="F900" i="24"/>
  <c r="G880" i="24"/>
  <c r="G841" i="24"/>
  <c r="F911" i="24"/>
  <c r="G857" i="24"/>
  <c r="F925" i="24"/>
  <c r="G836" i="24"/>
  <c r="F906" i="24"/>
  <c r="G846" i="24"/>
  <c r="F914" i="24"/>
  <c r="G854" i="24"/>
  <c r="F922" i="24"/>
  <c r="G862" i="24"/>
  <c r="F930" i="24"/>
  <c r="G879" i="24"/>
  <c r="F945" i="24"/>
  <c r="H876" i="24"/>
  <c r="G942" i="24"/>
  <c r="G821" i="24"/>
  <c r="F826" i="24"/>
  <c r="D402" i="24"/>
  <c r="M402" i="24" s="1"/>
  <c r="D401" i="24"/>
  <c r="M401" i="24" s="1"/>
  <c r="L402" i="24"/>
  <c r="L401" i="24"/>
  <c r="B35" i="26" l="1"/>
  <c r="C48" i="5"/>
  <c r="L82" i="9"/>
  <c r="L84" i="9" s="1"/>
  <c r="G940" i="24"/>
  <c r="H847" i="24"/>
  <c r="G915" i="24"/>
  <c r="H881" i="24"/>
  <c r="G946" i="24"/>
  <c r="H846" i="24"/>
  <c r="G914" i="24"/>
  <c r="H833" i="24"/>
  <c r="G903" i="24"/>
  <c r="H850" i="24"/>
  <c r="G918" i="24"/>
  <c r="H879" i="24"/>
  <c r="G945" i="24"/>
  <c r="H836" i="24"/>
  <c r="G906" i="24"/>
  <c r="H830" i="24"/>
  <c r="G900" i="24"/>
  <c r="H853" i="24"/>
  <c r="G921" i="24"/>
  <c r="H863" i="24"/>
  <c r="G931" i="24"/>
  <c r="H852" i="24"/>
  <c r="G920" i="24"/>
  <c r="H875" i="24"/>
  <c r="G941" i="24"/>
  <c r="H865" i="24"/>
  <c r="G933" i="24"/>
  <c r="H874" i="24"/>
  <c r="H840" i="24"/>
  <c r="G910" i="24"/>
  <c r="H838" i="24"/>
  <c r="G908" i="24"/>
  <c r="H864" i="24"/>
  <c r="G932" i="24"/>
  <c r="H880" i="24"/>
  <c r="H860" i="24"/>
  <c r="G928" i="24"/>
  <c r="H851" i="24"/>
  <c r="G919" i="24"/>
  <c r="H849" i="24"/>
  <c r="G917" i="24"/>
  <c r="I876" i="24"/>
  <c r="H942" i="24"/>
  <c r="H861" i="24"/>
  <c r="G929" i="24"/>
  <c r="H855" i="24"/>
  <c r="G923" i="24"/>
  <c r="H862" i="24"/>
  <c r="G930" i="24"/>
  <c r="H857" i="24"/>
  <c r="G925" i="24"/>
  <c r="H878" i="24"/>
  <c r="G944" i="24"/>
  <c r="H845" i="24"/>
  <c r="G913" i="24"/>
  <c r="H877" i="24"/>
  <c r="G943" i="24"/>
  <c r="H844" i="24"/>
  <c r="G912" i="24"/>
  <c r="H867" i="24"/>
  <c r="G935" i="24"/>
  <c r="H831" i="24"/>
  <c r="G901" i="24"/>
  <c r="H866" i="24"/>
  <c r="G934" i="24"/>
  <c r="H832" i="24"/>
  <c r="G902" i="24"/>
  <c r="H871" i="24"/>
  <c r="G938" i="24"/>
  <c r="H856" i="24"/>
  <c r="G924" i="24"/>
  <c r="H854" i="24"/>
  <c r="G922" i="24"/>
  <c r="H841" i="24"/>
  <c r="G911" i="24"/>
  <c r="H869" i="24"/>
  <c r="G937" i="24"/>
  <c r="H835" i="24"/>
  <c r="G905" i="24"/>
  <c r="H868" i="24"/>
  <c r="G936" i="24"/>
  <c r="H839" i="24"/>
  <c r="G909" i="24"/>
  <c r="H859" i="24"/>
  <c r="G927" i="24"/>
  <c r="H848" i="24"/>
  <c r="G916" i="24"/>
  <c r="H858" i="24"/>
  <c r="G926" i="24"/>
  <c r="H873" i="24"/>
  <c r="G939" i="24"/>
  <c r="H822" i="24"/>
  <c r="G895" i="24"/>
  <c r="H837" i="24"/>
  <c r="G907" i="24"/>
  <c r="H821" i="24"/>
  <c r="G826" i="24"/>
  <c r="I131" i="24"/>
  <c r="I130" i="24"/>
  <c r="I129" i="24"/>
  <c r="I128" i="24"/>
  <c r="I127" i="24"/>
  <c r="I126" i="24"/>
  <c r="I125" i="24"/>
  <c r="I124" i="24"/>
  <c r="I123" i="24"/>
  <c r="I122" i="24"/>
  <c r="I121" i="24"/>
  <c r="I120" i="24"/>
  <c r="I119" i="24"/>
  <c r="I118" i="24"/>
  <c r="Z466" i="24"/>
  <c r="L466" i="24"/>
  <c r="C466" i="24" s="1"/>
  <c r="P466" i="24" s="1"/>
  <c r="F466" i="24"/>
  <c r="E466" i="24"/>
  <c r="D466" i="24"/>
  <c r="B36" i="26" l="1"/>
  <c r="C49" i="5"/>
  <c r="M82" i="9"/>
  <c r="M84" i="9" s="1"/>
  <c r="H940" i="24"/>
  <c r="I835" i="24"/>
  <c r="H905" i="24"/>
  <c r="I855" i="24"/>
  <c r="H923" i="24"/>
  <c r="I838" i="24"/>
  <c r="H908" i="24"/>
  <c r="I822" i="24"/>
  <c r="H895" i="24"/>
  <c r="I859" i="24"/>
  <c r="H927" i="24"/>
  <c r="I869" i="24"/>
  <c r="H937" i="24"/>
  <c r="I871" i="24"/>
  <c r="H938" i="24"/>
  <c r="I867" i="24"/>
  <c r="H935" i="24"/>
  <c r="I878" i="24"/>
  <c r="H944" i="24"/>
  <c r="I861" i="24"/>
  <c r="H929" i="24"/>
  <c r="I860" i="24"/>
  <c r="H928" i="24"/>
  <c r="I840" i="24"/>
  <c r="H910" i="24"/>
  <c r="I852" i="24"/>
  <c r="H920" i="24"/>
  <c r="I836" i="24"/>
  <c r="H906" i="24"/>
  <c r="I846" i="24"/>
  <c r="H914" i="24"/>
  <c r="I848" i="24"/>
  <c r="H916" i="24"/>
  <c r="I845" i="24"/>
  <c r="H913" i="24"/>
  <c r="I875" i="24"/>
  <c r="H941" i="24"/>
  <c r="I856" i="24"/>
  <c r="H924" i="24"/>
  <c r="I833" i="24"/>
  <c r="H903" i="24"/>
  <c r="I873" i="24"/>
  <c r="H939" i="24"/>
  <c r="I839" i="24"/>
  <c r="H909" i="24"/>
  <c r="I841" i="24"/>
  <c r="H911" i="24"/>
  <c r="I832" i="24"/>
  <c r="H902" i="24"/>
  <c r="I844" i="24"/>
  <c r="H912" i="24"/>
  <c r="I857" i="24"/>
  <c r="H925" i="24"/>
  <c r="J876" i="24"/>
  <c r="I942" i="24"/>
  <c r="I880" i="24"/>
  <c r="I874" i="24"/>
  <c r="I863" i="24"/>
  <c r="H931" i="24"/>
  <c r="I879" i="24"/>
  <c r="H945" i="24"/>
  <c r="I881" i="24"/>
  <c r="H946" i="24"/>
  <c r="I837" i="24"/>
  <c r="H907" i="24"/>
  <c r="I851" i="24"/>
  <c r="H919" i="24"/>
  <c r="I831" i="24"/>
  <c r="H901" i="24"/>
  <c r="I830" i="24"/>
  <c r="H900" i="24"/>
  <c r="I858" i="24"/>
  <c r="H926" i="24"/>
  <c r="I868" i="24"/>
  <c r="H936" i="24"/>
  <c r="I854" i="24"/>
  <c r="H922" i="24"/>
  <c r="I866" i="24"/>
  <c r="H934" i="24"/>
  <c r="I877" i="24"/>
  <c r="H943" i="24"/>
  <c r="I862" i="24"/>
  <c r="H930" i="24"/>
  <c r="I849" i="24"/>
  <c r="H917" i="24"/>
  <c r="I864" i="24"/>
  <c r="H932" i="24"/>
  <c r="I865" i="24"/>
  <c r="H933" i="24"/>
  <c r="I853" i="24"/>
  <c r="H921" i="24"/>
  <c r="I850" i="24"/>
  <c r="H918" i="24"/>
  <c r="I847" i="24"/>
  <c r="H915" i="24"/>
  <c r="I821" i="24"/>
  <c r="H826" i="24"/>
  <c r="R466" i="24"/>
  <c r="Q466" i="24"/>
  <c r="S466" i="24"/>
  <c r="Y466" i="24"/>
  <c r="B37" i="26" l="1"/>
  <c r="C50" i="5"/>
  <c r="N82" i="9"/>
  <c r="N84" i="9" s="1"/>
  <c r="I940" i="24"/>
  <c r="J850" i="24"/>
  <c r="I918" i="24"/>
  <c r="J849" i="24"/>
  <c r="I917" i="24"/>
  <c r="J854" i="24"/>
  <c r="I922" i="24"/>
  <c r="J831" i="24"/>
  <c r="I901" i="24"/>
  <c r="J879" i="24"/>
  <c r="I945" i="24"/>
  <c r="K876" i="24"/>
  <c r="J942" i="24"/>
  <c r="J841" i="24"/>
  <c r="I911" i="24"/>
  <c r="J856" i="24"/>
  <c r="I924" i="24"/>
  <c r="J846" i="24"/>
  <c r="I914" i="24"/>
  <c r="J860" i="24"/>
  <c r="I928" i="24"/>
  <c r="J871" i="24"/>
  <c r="I938" i="24"/>
  <c r="J862" i="24"/>
  <c r="I930" i="24"/>
  <c r="J851" i="24"/>
  <c r="I919" i="24"/>
  <c r="J857" i="24"/>
  <c r="I925" i="24"/>
  <c r="J836" i="24"/>
  <c r="I906" i="24"/>
  <c r="J861" i="24"/>
  <c r="I929" i="24"/>
  <c r="J838" i="24"/>
  <c r="I908" i="24"/>
  <c r="J868" i="24"/>
  <c r="I936" i="24"/>
  <c r="J863" i="24"/>
  <c r="I931" i="24"/>
  <c r="J869" i="24"/>
  <c r="I937" i="24"/>
  <c r="J865" i="24"/>
  <c r="I933" i="24"/>
  <c r="J877" i="24"/>
  <c r="I943" i="24"/>
  <c r="J858" i="24"/>
  <c r="I926" i="24"/>
  <c r="J837" i="24"/>
  <c r="I907" i="24"/>
  <c r="J874" i="24"/>
  <c r="J844" i="24"/>
  <c r="I912" i="24"/>
  <c r="J873" i="24"/>
  <c r="I939" i="24"/>
  <c r="J845" i="24"/>
  <c r="I913" i="24"/>
  <c r="J852" i="24"/>
  <c r="I920" i="24"/>
  <c r="J878" i="24"/>
  <c r="I944" i="24"/>
  <c r="J859" i="24"/>
  <c r="I927" i="24"/>
  <c r="J855" i="24"/>
  <c r="I923" i="24"/>
  <c r="J839" i="24"/>
  <c r="I909" i="24"/>
  <c r="J853" i="24"/>
  <c r="I921" i="24"/>
  <c r="J875" i="24"/>
  <c r="I941" i="24"/>
  <c r="J847" i="24"/>
  <c r="I915" i="24"/>
  <c r="J864" i="24"/>
  <c r="I932" i="24"/>
  <c r="J866" i="24"/>
  <c r="I934" i="24"/>
  <c r="J830" i="24"/>
  <c r="I900" i="24"/>
  <c r="J881" i="24"/>
  <c r="I946" i="24"/>
  <c r="J880" i="24"/>
  <c r="J832" i="24"/>
  <c r="I902" i="24"/>
  <c r="J833" i="24"/>
  <c r="I903" i="24"/>
  <c r="J848" i="24"/>
  <c r="I916" i="24"/>
  <c r="J840" i="24"/>
  <c r="I910" i="24"/>
  <c r="J867" i="24"/>
  <c r="I935" i="24"/>
  <c r="J822" i="24"/>
  <c r="I895" i="24"/>
  <c r="J835" i="24"/>
  <c r="I905" i="24"/>
  <c r="J821" i="24"/>
  <c r="I826" i="24"/>
  <c r="D450" i="24"/>
  <c r="D457" i="24"/>
  <c r="D458" i="24"/>
  <c r="D488" i="24"/>
  <c r="D489" i="24"/>
  <c r="D490" i="24"/>
  <c r="D491" i="24"/>
  <c r="D492" i="24"/>
  <c r="D493" i="24"/>
  <c r="D471" i="24"/>
  <c r="D472" i="24"/>
  <c r="D473" i="24"/>
  <c r="D474" i="24"/>
  <c r="D475" i="24"/>
  <c r="D476" i="24"/>
  <c r="D467" i="24"/>
  <c r="D468" i="24"/>
  <c r="D451" i="24"/>
  <c r="D452" i="24"/>
  <c r="D453" i="24"/>
  <c r="D454" i="24"/>
  <c r="D455" i="24"/>
  <c r="D456" i="24"/>
  <c r="D459" i="24"/>
  <c r="D460" i="24"/>
  <c r="D461" i="24"/>
  <c r="D462" i="24"/>
  <c r="D463" i="24"/>
  <c r="D464" i="24"/>
  <c r="D465" i="24"/>
  <c r="D469" i="24"/>
  <c r="D470" i="24"/>
  <c r="D13" i="24"/>
  <c r="N13" i="24" s="1"/>
  <c r="B38" i="26" l="1"/>
  <c r="C51" i="5"/>
  <c r="O82" i="9"/>
  <c r="O84" i="9" s="1"/>
  <c r="J940" i="24"/>
  <c r="K822" i="24"/>
  <c r="J895" i="24"/>
  <c r="K833" i="24"/>
  <c r="J903" i="24"/>
  <c r="K830" i="24"/>
  <c r="J900" i="24"/>
  <c r="K875" i="24"/>
  <c r="J941" i="24"/>
  <c r="K859" i="24"/>
  <c r="J927" i="24"/>
  <c r="K873" i="24"/>
  <c r="J939" i="24"/>
  <c r="K858" i="24"/>
  <c r="J926" i="24"/>
  <c r="K863" i="24"/>
  <c r="J931" i="24"/>
  <c r="K861" i="24"/>
  <c r="J929" i="24"/>
  <c r="K862" i="24"/>
  <c r="J930" i="24"/>
  <c r="K856" i="24"/>
  <c r="J924" i="24"/>
  <c r="K831" i="24"/>
  <c r="J901" i="24"/>
  <c r="K868" i="24"/>
  <c r="J936" i="24"/>
  <c r="K854" i="24"/>
  <c r="J922" i="24"/>
  <c r="K832" i="24"/>
  <c r="J902" i="24"/>
  <c r="K853" i="24"/>
  <c r="J921" i="24"/>
  <c r="K878" i="24"/>
  <c r="J944" i="24"/>
  <c r="K877" i="24"/>
  <c r="J943" i="24"/>
  <c r="K871" i="24"/>
  <c r="J938" i="24"/>
  <c r="K841" i="24"/>
  <c r="J911" i="24"/>
  <c r="K840" i="24"/>
  <c r="J910" i="24"/>
  <c r="K880" i="24"/>
  <c r="K864" i="24"/>
  <c r="J932" i="24"/>
  <c r="K839" i="24"/>
  <c r="J909" i="24"/>
  <c r="K852" i="24"/>
  <c r="J920" i="24"/>
  <c r="K874" i="24"/>
  <c r="K865" i="24"/>
  <c r="J933" i="24"/>
  <c r="K857" i="24"/>
  <c r="J925" i="24"/>
  <c r="K860" i="24"/>
  <c r="J928" i="24"/>
  <c r="L876" i="24"/>
  <c r="K942" i="24"/>
  <c r="K849" i="24"/>
  <c r="J917" i="24"/>
  <c r="K867" i="24"/>
  <c r="J935" i="24"/>
  <c r="K844" i="24"/>
  <c r="J912" i="24"/>
  <c r="K866" i="24"/>
  <c r="J934" i="24"/>
  <c r="K836" i="24"/>
  <c r="J906" i="24"/>
  <c r="K835" i="24"/>
  <c r="J905" i="24"/>
  <c r="K848" i="24"/>
  <c r="J916" i="24"/>
  <c r="K881" i="24"/>
  <c r="J946" i="24"/>
  <c r="K847" i="24"/>
  <c r="J915" i="24"/>
  <c r="K855" i="24"/>
  <c r="J923" i="24"/>
  <c r="K845" i="24"/>
  <c r="J913" i="24"/>
  <c r="K837" i="24"/>
  <c r="J907" i="24"/>
  <c r="K869" i="24"/>
  <c r="J937" i="24"/>
  <c r="K838" i="24"/>
  <c r="J908" i="24"/>
  <c r="K851" i="24"/>
  <c r="J919" i="24"/>
  <c r="K846" i="24"/>
  <c r="J914" i="24"/>
  <c r="K879" i="24"/>
  <c r="J945" i="24"/>
  <c r="K850" i="24"/>
  <c r="J918" i="24"/>
  <c r="K821" i="24"/>
  <c r="J826" i="24"/>
  <c r="S500" i="24"/>
  <c r="T500" i="24" s="1"/>
  <c r="V640" i="24"/>
  <c r="V624" i="24"/>
  <c r="T541" i="24" l="1"/>
  <c r="T503" i="24"/>
  <c r="U603" i="24"/>
  <c r="U568" i="24"/>
  <c r="T603" i="24"/>
  <c r="T568" i="24"/>
  <c r="U593" i="24"/>
  <c r="T593" i="24"/>
  <c r="U578" i="24"/>
  <c r="T528" i="24"/>
  <c r="T578" i="24"/>
  <c r="U541" i="24"/>
  <c r="T510" i="24"/>
  <c r="B39" i="26"/>
  <c r="C52" i="5"/>
  <c r="P82" i="9"/>
  <c r="P84" i="9" s="1"/>
  <c r="K940" i="24"/>
  <c r="L865" i="24"/>
  <c r="K933" i="24"/>
  <c r="L848" i="24"/>
  <c r="K916" i="24"/>
  <c r="L831" i="24"/>
  <c r="K901" i="24"/>
  <c r="M876" i="24"/>
  <c r="L942" i="24"/>
  <c r="L874" i="24"/>
  <c r="L880" i="24"/>
  <c r="L877" i="24"/>
  <c r="K943" i="24"/>
  <c r="L866" i="24"/>
  <c r="K934" i="24"/>
  <c r="L864" i="24"/>
  <c r="K932" i="24"/>
  <c r="L863" i="24"/>
  <c r="K931" i="24"/>
  <c r="L850" i="24"/>
  <c r="K918" i="24"/>
  <c r="L835" i="24"/>
  <c r="K905" i="24"/>
  <c r="L844" i="24"/>
  <c r="K912" i="24"/>
  <c r="L856" i="24"/>
  <c r="K924" i="24"/>
  <c r="L858" i="24"/>
  <c r="K926" i="24"/>
  <c r="L830" i="24"/>
  <c r="K900" i="24"/>
  <c r="L871" i="24"/>
  <c r="K938" i="24"/>
  <c r="L838" i="24"/>
  <c r="K908" i="24"/>
  <c r="L852" i="24"/>
  <c r="K920" i="24"/>
  <c r="L878" i="24"/>
  <c r="K944" i="24"/>
  <c r="L879" i="24"/>
  <c r="K945" i="24"/>
  <c r="L869" i="24"/>
  <c r="K937" i="24"/>
  <c r="L847" i="24"/>
  <c r="K915" i="24"/>
  <c r="L867" i="24"/>
  <c r="K935" i="24"/>
  <c r="L854" i="24"/>
  <c r="K922" i="24"/>
  <c r="L862" i="24"/>
  <c r="K930" i="24"/>
  <c r="L873" i="24"/>
  <c r="K939" i="24"/>
  <c r="L833" i="24"/>
  <c r="K903" i="24"/>
  <c r="L832" i="24"/>
  <c r="K902" i="24"/>
  <c r="L851" i="24"/>
  <c r="K919" i="24"/>
  <c r="L875" i="24"/>
  <c r="K941" i="24"/>
  <c r="L855" i="24"/>
  <c r="K923" i="24"/>
  <c r="L860" i="24"/>
  <c r="K928" i="24"/>
  <c r="L836" i="24"/>
  <c r="K906" i="24"/>
  <c r="L857" i="24"/>
  <c r="K925" i="24"/>
  <c r="L839" i="24"/>
  <c r="K909" i="24"/>
  <c r="L841" i="24"/>
  <c r="K911" i="24"/>
  <c r="L853" i="24"/>
  <c r="K921" i="24"/>
  <c r="L849" i="24"/>
  <c r="K917" i="24"/>
  <c r="L845" i="24"/>
  <c r="K913" i="24"/>
  <c r="L840" i="24"/>
  <c r="K910" i="24"/>
  <c r="L846" i="24"/>
  <c r="K914" i="24"/>
  <c r="L837" i="24"/>
  <c r="K907" i="24"/>
  <c r="L881" i="24"/>
  <c r="K946" i="24"/>
  <c r="L868" i="24"/>
  <c r="K936" i="24"/>
  <c r="L861" i="24"/>
  <c r="K929" i="24"/>
  <c r="L859" i="24"/>
  <c r="K927" i="24"/>
  <c r="L822" i="24"/>
  <c r="K895" i="24"/>
  <c r="L821" i="24"/>
  <c r="K826" i="24"/>
  <c r="V636" i="24"/>
  <c r="V634" i="24"/>
  <c r="B40" i="26" l="1"/>
  <c r="C53" i="5"/>
  <c r="Q82" i="9"/>
  <c r="Q84" i="9" s="1"/>
  <c r="L940" i="24"/>
  <c r="M859" i="24"/>
  <c r="L927" i="24"/>
  <c r="M845" i="24"/>
  <c r="L913" i="24"/>
  <c r="M855" i="24"/>
  <c r="L923" i="24"/>
  <c r="M867" i="24"/>
  <c r="L935" i="24"/>
  <c r="M830" i="24"/>
  <c r="L900" i="24"/>
  <c r="M866" i="24"/>
  <c r="L934" i="24"/>
  <c r="M861" i="24"/>
  <c r="L929" i="24"/>
  <c r="M846" i="24"/>
  <c r="L914" i="24"/>
  <c r="M849" i="24"/>
  <c r="L917" i="24"/>
  <c r="M857" i="24"/>
  <c r="L925" i="24"/>
  <c r="M875" i="24"/>
  <c r="L941" i="24"/>
  <c r="M873" i="24"/>
  <c r="L939" i="24"/>
  <c r="M847" i="24"/>
  <c r="L915" i="24"/>
  <c r="M852" i="24"/>
  <c r="L920" i="24"/>
  <c r="M858" i="24"/>
  <c r="L926" i="24"/>
  <c r="M850" i="24"/>
  <c r="L918" i="24"/>
  <c r="M877" i="24"/>
  <c r="L943" i="24"/>
  <c r="M831" i="24"/>
  <c r="L901" i="24"/>
  <c r="M837" i="24"/>
  <c r="L907" i="24"/>
  <c r="M839" i="24"/>
  <c r="L909" i="24"/>
  <c r="M833" i="24"/>
  <c r="L903" i="24"/>
  <c r="M878" i="24"/>
  <c r="L944" i="24"/>
  <c r="M835" i="24"/>
  <c r="L905" i="24"/>
  <c r="N876" i="24"/>
  <c r="M942" i="24"/>
  <c r="M868" i="24"/>
  <c r="L936" i="24"/>
  <c r="M853" i="24"/>
  <c r="L921" i="24"/>
  <c r="M836" i="24"/>
  <c r="L906" i="24"/>
  <c r="M851" i="24"/>
  <c r="L919" i="24"/>
  <c r="M862" i="24"/>
  <c r="L930" i="24"/>
  <c r="M869" i="24"/>
  <c r="L937" i="24"/>
  <c r="M838" i="24"/>
  <c r="L908" i="24"/>
  <c r="M856" i="24"/>
  <c r="L924" i="24"/>
  <c r="M863" i="24"/>
  <c r="L931" i="24"/>
  <c r="M880" i="24"/>
  <c r="M848" i="24"/>
  <c r="L916" i="24"/>
  <c r="M822" i="24"/>
  <c r="L895" i="24"/>
  <c r="M881" i="24"/>
  <c r="L946" i="24"/>
  <c r="M840" i="24"/>
  <c r="L910" i="24"/>
  <c r="M841" i="24"/>
  <c r="L911" i="24"/>
  <c r="M860" i="24"/>
  <c r="L928" i="24"/>
  <c r="M832" i="24"/>
  <c r="L902" i="24"/>
  <c r="M854" i="24"/>
  <c r="L922" i="24"/>
  <c r="M879" i="24"/>
  <c r="L945" i="24"/>
  <c r="M871" i="24"/>
  <c r="L938" i="24"/>
  <c r="M844" i="24"/>
  <c r="L912" i="24"/>
  <c r="M864" i="24"/>
  <c r="L932" i="24"/>
  <c r="M874" i="24"/>
  <c r="M865" i="24"/>
  <c r="L933" i="24"/>
  <c r="M821" i="24"/>
  <c r="L826" i="24"/>
  <c r="L435" i="24"/>
  <c r="L390" i="24"/>
  <c r="L430" i="24"/>
  <c r="L444" i="24"/>
  <c r="L434" i="24"/>
  <c r="L433" i="24"/>
  <c r="L432" i="24"/>
  <c r="L429" i="24"/>
  <c r="L428" i="24"/>
  <c r="L413" i="24"/>
  <c r="L412" i="24"/>
  <c r="L398" i="24"/>
  <c r="L397" i="24"/>
  <c r="L396" i="24"/>
  <c r="L399" i="24"/>
  <c r="L400" i="24"/>
  <c r="B41" i="26" l="1"/>
  <c r="C54" i="5"/>
  <c r="M940" i="24"/>
  <c r="R82" i="9"/>
  <c r="R84" i="9" s="1"/>
  <c r="N841" i="24"/>
  <c r="M911" i="24"/>
  <c r="N835" i="24"/>
  <c r="M905" i="24"/>
  <c r="N861" i="24"/>
  <c r="M929" i="24"/>
  <c r="N854" i="24"/>
  <c r="M922" i="24"/>
  <c r="N880" i="24"/>
  <c r="N869" i="24"/>
  <c r="M937" i="24"/>
  <c r="N853" i="24"/>
  <c r="M921" i="24"/>
  <c r="N878" i="24"/>
  <c r="M944" i="24"/>
  <c r="N831" i="24"/>
  <c r="M901" i="24"/>
  <c r="N852" i="24"/>
  <c r="M920" i="24"/>
  <c r="N857" i="24"/>
  <c r="M925" i="24"/>
  <c r="N855" i="24"/>
  <c r="M923" i="24"/>
  <c r="N879" i="24"/>
  <c r="M945" i="24"/>
  <c r="N837" i="24"/>
  <c r="M907" i="24"/>
  <c r="N864" i="24"/>
  <c r="M932" i="24"/>
  <c r="N848" i="24"/>
  <c r="M916" i="24"/>
  <c r="N875" i="24"/>
  <c r="M941" i="24"/>
  <c r="N844" i="24"/>
  <c r="M912" i="24"/>
  <c r="N832" i="24"/>
  <c r="M902" i="24"/>
  <c r="N881" i="24"/>
  <c r="M946" i="24"/>
  <c r="N863" i="24"/>
  <c r="M931" i="24"/>
  <c r="N862" i="24"/>
  <c r="M930" i="24"/>
  <c r="N868" i="24"/>
  <c r="M936" i="24"/>
  <c r="N833" i="24"/>
  <c r="M903" i="24"/>
  <c r="N877" i="24"/>
  <c r="M943" i="24"/>
  <c r="N847" i="24"/>
  <c r="M915" i="24"/>
  <c r="N849" i="24"/>
  <c r="M917" i="24"/>
  <c r="N866" i="24"/>
  <c r="M934" i="24"/>
  <c r="N845" i="24"/>
  <c r="M913" i="24"/>
  <c r="N838" i="24"/>
  <c r="M908" i="24"/>
  <c r="N858" i="24"/>
  <c r="M926" i="24"/>
  <c r="N840" i="24"/>
  <c r="M910" i="24"/>
  <c r="N874" i="24"/>
  <c r="N836" i="24"/>
  <c r="M906" i="24"/>
  <c r="N867" i="24"/>
  <c r="M935" i="24"/>
  <c r="N865" i="24"/>
  <c r="M933" i="24"/>
  <c r="N871" i="24"/>
  <c r="M938" i="24"/>
  <c r="N860" i="24"/>
  <c r="M928" i="24"/>
  <c r="N822" i="24"/>
  <c r="M895" i="24"/>
  <c r="N856" i="24"/>
  <c r="M924" i="24"/>
  <c r="N851" i="24"/>
  <c r="M919" i="24"/>
  <c r="O876" i="24"/>
  <c r="N942" i="24"/>
  <c r="N839" i="24"/>
  <c r="M909" i="24"/>
  <c r="N850" i="24"/>
  <c r="M918" i="24"/>
  <c r="N873" i="24"/>
  <c r="M939" i="24"/>
  <c r="N846" i="24"/>
  <c r="M914" i="24"/>
  <c r="N830" i="24"/>
  <c r="M900" i="24"/>
  <c r="N859" i="24"/>
  <c r="M927" i="24"/>
  <c r="N821" i="24"/>
  <c r="M826" i="24"/>
  <c r="M510" i="24"/>
  <c r="M509" i="24"/>
  <c r="M526" i="24"/>
  <c r="M524" i="24"/>
  <c r="M518" i="24"/>
  <c r="M517" i="24"/>
  <c r="M659" i="24"/>
  <c r="M658" i="24"/>
  <c r="M657" i="24"/>
  <c r="M656" i="24"/>
  <c r="M655" i="24"/>
  <c r="M654" i="24"/>
  <c r="M653" i="24"/>
  <c r="M652" i="24"/>
  <c r="M650" i="24"/>
  <c r="M649" i="24"/>
  <c r="M648" i="24"/>
  <c r="M647" i="24"/>
  <c r="M645" i="24"/>
  <c r="M644" i="24"/>
  <c r="M643" i="24"/>
  <c r="M642" i="24"/>
  <c r="M641" i="24"/>
  <c r="M639" i="24"/>
  <c r="M638" i="24"/>
  <c r="M637" i="24"/>
  <c r="M635" i="24"/>
  <c r="M634" i="24"/>
  <c r="M633" i="24"/>
  <c r="M632" i="24"/>
  <c r="M631" i="24"/>
  <c r="M630" i="24"/>
  <c r="M629" i="24"/>
  <c r="M628" i="24"/>
  <c r="M627" i="24"/>
  <c r="M626" i="24"/>
  <c r="M623" i="24"/>
  <c r="M622" i="24"/>
  <c r="M619" i="24"/>
  <c r="M618" i="24"/>
  <c r="M617" i="24"/>
  <c r="M616" i="24"/>
  <c r="M615" i="24"/>
  <c r="M611" i="24"/>
  <c r="M610" i="24"/>
  <c r="M609" i="24"/>
  <c r="M608" i="24"/>
  <c r="M607" i="24"/>
  <c r="M606" i="24"/>
  <c r="M605" i="24"/>
  <c r="M604" i="24"/>
  <c r="M603" i="24"/>
  <c r="M602" i="24"/>
  <c r="M601" i="24"/>
  <c r="M600" i="24"/>
  <c r="M599" i="24"/>
  <c r="M598" i="24"/>
  <c r="M597" i="24"/>
  <c r="M596" i="24"/>
  <c r="M595" i="24"/>
  <c r="M594" i="24"/>
  <c r="M593" i="24"/>
  <c r="M592" i="24"/>
  <c r="M591" i="24"/>
  <c r="M590" i="24"/>
  <c r="M579" i="24"/>
  <c r="M578" i="24"/>
  <c r="M573" i="24"/>
  <c r="M570" i="24"/>
  <c r="M568" i="24"/>
  <c r="M562" i="24"/>
  <c r="M561" i="24"/>
  <c r="M560" i="24"/>
  <c r="M559" i="24"/>
  <c r="M558" i="24"/>
  <c r="M557" i="24"/>
  <c r="M551" i="24"/>
  <c r="M550" i="24"/>
  <c r="M549" i="24"/>
  <c r="M548" i="24"/>
  <c r="M547" i="24"/>
  <c r="M546" i="24"/>
  <c r="M545" i="24"/>
  <c r="M543" i="24"/>
  <c r="M537" i="24"/>
  <c r="M536" i="24"/>
  <c r="M531" i="24"/>
  <c r="B42" i="26" l="1"/>
  <c r="C55" i="5"/>
  <c r="S82" i="9"/>
  <c r="S84" i="9" s="1"/>
  <c r="N940" i="24"/>
  <c r="O854" i="24"/>
  <c r="N922" i="24"/>
  <c r="O822" i="24"/>
  <c r="N895" i="24"/>
  <c r="O878" i="24"/>
  <c r="N944" i="24"/>
  <c r="O846" i="24"/>
  <c r="N914" i="24"/>
  <c r="P876" i="24"/>
  <c r="O942" i="24"/>
  <c r="O860" i="24"/>
  <c r="N928" i="24"/>
  <c r="O836" i="24"/>
  <c r="N906" i="24"/>
  <c r="O838" i="24"/>
  <c r="N908" i="24"/>
  <c r="O847" i="24"/>
  <c r="N915" i="24"/>
  <c r="O862" i="24"/>
  <c r="N930" i="24"/>
  <c r="O844" i="24"/>
  <c r="N912" i="24"/>
  <c r="O864" i="24"/>
  <c r="N932" i="24"/>
  <c r="O857" i="24"/>
  <c r="N925" i="24"/>
  <c r="O853" i="24"/>
  <c r="N921" i="24"/>
  <c r="O861" i="24"/>
  <c r="N929" i="24"/>
  <c r="O839" i="24"/>
  <c r="N909" i="24"/>
  <c r="O858" i="24"/>
  <c r="N926" i="24"/>
  <c r="O855" i="24"/>
  <c r="N923" i="24"/>
  <c r="O830" i="24"/>
  <c r="N900" i="24"/>
  <c r="O867" i="24"/>
  <c r="N935" i="24"/>
  <c r="O849" i="24"/>
  <c r="N917" i="24"/>
  <c r="O848" i="24"/>
  <c r="N916" i="24"/>
  <c r="O873" i="24"/>
  <c r="N939" i="24"/>
  <c r="O851" i="24"/>
  <c r="N919" i="24"/>
  <c r="O871" i="24"/>
  <c r="N938" i="24"/>
  <c r="O874" i="24"/>
  <c r="O845" i="24"/>
  <c r="N913" i="24"/>
  <c r="O877" i="24"/>
  <c r="N943" i="24"/>
  <c r="O863" i="24"/>
  <c r="N931" i="24"/>
  <c r="O837" i="24"/>
  <c r="N907" i="24"/>
  <c r="O852" i="24"/>
  <c r="N920" i="24"/>
  <c r="O869" i="24"/>
  <c r="N937" i="24"/>
  <c r="O835" i="24"/>
  <c r="N905" i="24"/>
  <c r="O832" i="24"/>
  <c r="N902" i="24"/>
  <c r="O868" i="24"/>
  <c r="N936" i="24"/>
  <c r="O859" i="24"/>
  <c r="N927" i="24"/>
  <c r="O850" i="24"/>
  <c r="N918" i="24"/>
  <c r="O856" i="24"/>
  <c r="N924" i="24"/>
  <c r="O865" i="24"/>
  <c r="N933" i="24"/>
  <c r="O840" i="24"/>
  <c r="N910" i="24"/>
  <c r="O866" i="24"/>
  <c r="N934" i="24"/>
  <c r="O833" i="24"/>
  <c r="N903" i="24"/>
  <c r="O881" i="24"/>
  <c r="N946" i="24"/>
  <c r="O875" i="24"/>
  <c r="N941" i="24"/>
  <c r="O879" i="24"/>
  <c r="N945" i="24"/>
  <c r="O831" i="24"/>
  <c r="N901" i="24"/>
  <c r="O880" i="24"/>
  <c r="O841" i="24"/>
  <c r="N911" i="24"/>
  <c r="O821" i="24"/>
  <c r="N826" i="24"/>
  <c r="Y655" i="24"/>
  <c r="Y654" i="24"/>
  <c r="Y653" i="24"/>
  <c r="Y652" i="24"/>
  <c r="Y650" i="24"/>
  <c r="Y649" i="24"/>
  <c r="Y648" i="24"/>
  <c r="Y647" i="24"/>
  <c r="Y645" i="24"/>
  <c r="Y644" i="24"/>
  <c r="Y643" i="24"/>
  <c r="Y642" i="24"/>
  <c r="Y641" i="24"/>
  <c r="Y639" i="24"/>
  <c r="Y638" i="24"/>
  <c r="Y637" i="24"/>
  <c r="Y635" i="24"/>
  <c r="Y634" i="24"/>
  <c r="Y633" i="24"/>
  <c r="Y632" i="24"/>
  <c r="Y631" i="24"/>
  <c r="Y630" i="24"/>
  <c r="Y629" i="24"/>
  <c r="Y628" i="24"/>
  <c r="Y627" i="24"/>
  <c r="Y626" i="24"/>
  <c r="Y623" i="24"/>
  <c r="Y622" i="24"/>
  <c r="Y619" i="24"/>
  <c r="Y618" i="24"/>
  <c r="Y617" i="24"/>
  <c r="Y616" i="24"/>
  <c r="Y578" i="24"/>
  <c r="Y570" i="24"/>
  <c r="Y568" i="24"/>
  <c r="Y562" i="24"/>
  <c r="Y561" i="24"/>
  <c r="Y560" i="24"/>
  <c r="Y559" i="24"/>
  <c r="Y558" i="24"/>
  <c r="Y557" i="24"/>
  <c r="Y551" i="24"/>
  <c r="Y550" i="24"/>
  <c r="Y549" i="24"/>
  <c r="Y548" i="24"/>
  <c r="Y547" i="24"/>
  <c r="Y546" i="24"/>
  <c r="Y545" i="24"/>
  <c r="Y541" i="24"/>
  <c r="Y537" i="24"/>
  <c r="Y536" i="24"/>
  <c r="Y531" i="24"/>
  <c r="Y532" i="24"/>
  <c r="Y528" i="24"/>
  <c r="B43" i="26" l="1"/>
  <c r="C56" i="5"/>
  <c r="T82" i="9"/>
  <c r="T84" i="9" s="1"/>
  <c r="O940" i="24"/>
  <c r="P880" i="24"/>
  <c r="P836" i="24"/>
  <c r="O906" i="24"/>
  <c r="P868" i="24"/>
  <c r="O936" i="24"/>
  <c r="P844" i="24"/>
  <c r="O912" i="24"/>
  <c r="P831" i="24"/>
  <c r="O901" i="24"/>
  <c r="P833" i="24"/>
  <c r="O903" i="24"/>
  <c r="P856" i="24"/>
  <c r="O924" i="24"/>
  <c r="P832" i="24"/>
  <c r="O902" i="24"/>
  <c r="P837" i="24"/>
  <c r="O907" i="24"/>
  <c r="P874" i="24"/>
  <c r="P848" i="24"/>
  <c r="O916" i="24"/>
  <c r="P855" i="24"/>
  <c r="O923" i="24"/>
  <c r="P853" i="24"/>
  <c r="O921" i="24"/>
  <c r="P862" i="24"/>
  <c r="O930" i="24"/>
  <c r="P860" i="24"/>
  <c r="O928" i="24"/>
  <c r="P878" i="24"/>
  <c r="O944" i="24"/>
  <c r="P865" i="24"/>
  <c r="O933" i="24"/>
  <c r="P881" i="24"/>
  <c r="O946" i="24"/>
  <c r="P852" i="24"/>
  <c r="O920" i="24"/>
  <c r="P845" i="24"/>
  <c r="O913" i="24"/>
  <c r="P873" i="24"/>
  <c r="O939" i="24"/>
  <c r="P830" i="24"/>
  <c r="O900" i="24"/>
  <c r="P861" i="24"/>
  <c r="O929" i="24"/>
  <c r="P879" i="24"/>
  <c r="O945" i="24"/>
  <c r="P866" i="24"/>
  <c r="O934" i="24"/>
  <c r="P850" i="24"/>
  <c r="O918" i="24"/>
  <c r="P835" i="24"/>
  <c r="O905" i="24"/>
  <c r="P863" i="24"/>
  <c r="O931" i="24"/>
  <c r="P871" i="24"/>
  <c r="O938" i="24"/>
  <c r="P849" i="24"/>
  <c r="O917" i="24"/>
  <c r="P858" i="24"/>
  <c r="O926" i="24"/>
  <c r="P857" i="24"/>
  <c r="O925" i="24"/>
  <c r="P847" i="24"/>
  <c r="O915" i="24"/>
  <c r="Q876" i="24"/>
  <c r="P942" i="24"/>
  <c r="P822" i="24"/>
  <c r="O895" i="24"/>
  <c r="P841" i="24"/>
  <c r="O911" i="24"/>
  <c r="P875" i="24"/>
  <c r="O941" i="24"/>
  <c r="P840" i="24"/>
  <c r="O910" i="24"/>
  <c r="P859" i="24"/>
  <c r="O927" i="24"/>
  <c r="P869" i="24"/>
  <c r="O937" i="24"/>
  <c r="P877" i="24"/>
  <c r="O943" i="24"/>
  <c r="P851" i="24"/>
  <c r="O919" i="24"/>
  <c r="P867" i="24"/>
  <c r="O935" i="24"/>
  <c r="P839" i="24"/>
  <c r="O909" i="24"/>
  <c r="P864" i="24"/>
  <c r="O932" i="24"/>
  <c r="P838" i="24"/>
  <c r="O908" i="24"/>
  <c r="P846" i="24"/>
  <c r="O914" i="24"/>
  <c r="P854" i="24"/>
  <c r="O922" i="24"/>
  <c r="P821" i="24"/>
  <c r="O826" i="24"/>
  <c r="V530" i="24"/>
  <c r="R210" i="24"/>
  <c r="AJ210" i="24" s="1"/>
  <c r="Q210" i="24"/>
  <c r="AI210" i="24" s="1"/>
  <c r="P210" i="24"/>
  <c r="AH210" i="24" s="1"/>
  <c r="R209" i="24"/>
  <c r="AJ209" i="24" s="1"/>
  <c r="Q209" i="24"/>
  <c r="AI209" i="24" s="1"/>
  <c r="P209" i="24"/>
  <c r="AH209" i="24" s="1"/>
  <c r="R208" i="24"/>
  <c r="AJ208" i="24" s="1"/>
  <c r="Q208" i="24"/>
  <c r="AI208" i="24" s="1"/>
  <c r="P208" i="24"/>
  <c r="AH208" i="24" s="1"/>
  <c r="R207" i="24"/>
  <c r="AJ207" i="24" s="1"/>
  <c r="Q207" i="24"/>
  <c r="AI207" i="24" s="1"/>
  <c r="P207" i="24"/>
  <c r="AH207" i="24" s="1"/>
  <c r="R206" i="24"/>
  <c r="AJ206" i="24" s="1"/>
  <c r="Q206" i="24"/>
  <c r="AI206" i="24" s="1"/>
  <c r="P206" i="24"/>
  <c r="AH206" i="24" s="1"/>
  <c r="R205" i="24"/>
  <c r="AJ205" i="24" s="1"/>
  <c r="Q205" i="24"/>
  <c r="AI205" i="24" s="1"/>
  <c r="P205" i="24"/>
  <c r="AH205" i="24" s="1"/>
  <c r="R204" i="24"/>
  <c r="AJ204" i="24" s="1"/>
  <c r="Q204" i="24"/>
  <c r="AI204" i="24" s="1"/>
  <c r="P204" i="24"/>
  <c r="AH204" i="24" s="1"/>
  <c r="R203" i="24"/>
  <c r="AJ203" i="24" s="1"/>
  <c r="Q203" i="24"/>
  <c r="AI203" i="24" s="1"/>
  <c r="P203" i="24"/>
  <c r="AH203" i="24" s="1"/>
  <c r="R202" i="24"/>
  <c r="AJ202" i="24" s="1"/>
  <c r="Q202" i="24"/>
  <c r="AI202" i="24" s="1"/>
  <c r="P202" i="24"/>
  <c r="AH202" i="24" s="1"/>
  <c r="R201" i="24"/>
  <c r="AJ201" i="24" s="1"/>
  <c r="Q201" i="24"/>
  <c r="AI201" i="24" s="1"/>
  <c r="P201" i="24"/>
  <c r="AH201" i="24" s="1"/>
  <c r="R200" i="24"/>
  <c r="AJ200" i="24" s="1"/>
  <c r="Q200" i="24"/>
  <c r="AI200" i="24" s="1"/>
  <c r="P200" i="24"/>
  <c r="AH200" i="24" s="1"/>
  <c r="R199" i="24"/>
  <c r="AJ199" i="24" s="1"/>
  <c r="Q199" i="24"/>
  <c r="AI199" i="24" s="1"/>
  <c r="P199" i="24"/>
  <c r="AH199" i="24" s="1"/>
  <c r="R198" i="24"/>
  <c r="AJ198" i="24" s="1"/>
  <c r="Q198" i="24"/>
  <c r="AI198" i="24" s="1"/>
  <c r="P198" i="24"/>
  <c r="AH198" i="24" s="1"/>
  <c r="R197" i="24"/>
  <c r="AJ197" i="24" s="1"/>
  <c r="Q197" i="24"/>
  <c r="AI197" i="24" s="1"/>
  <c r="P197" i="24"/>
  <c r="AH197" i="24" s="1"/>
  <c r="R196" i="24"/>
  <c r="AJ196" i="24" s="1"/>
  <c r="Q196" i="24"/>
  <c r="AI196" i="24" s="1"/>
  <c r="P196" i="24"/>
  <c r="AH196" i="24" s="1"/>
  <c r="R195" i="24"/>
  <c r="AJ195" i="24" s="1"/>
  <c r="Q195" i="24"/>
  <c r="AI195" i="24" s="1"/>
  <c r="P195" i="24"/>
  <c r="AH195" i="24" s="1"/>
  <c r="R194" i="24"/>
  <c r="AJ194" i="24" s="1"/>
  <c r="Q194" i="24"/>
  <c r="AI194" i="24" s="1"/>
  <c r="P194" i="24"/>
  <c r="AH194" i="24" s="1"/>
  <c r="R193" i="24"/>
  <c r="AJ193" i="24" s="1"/>
  <c r="Q193" i="24"/>
  <c r="AI193" i="24" s="1"/>
  <c r="P193" i="24"/>
  <c r="AH193" i="24" s="1"/>
  <c r="R192" i="24"/>
  <c r="AJ192" i="24" s="1"/>
  <c r="Q192" i="24"/>
  <c r="AI192" i="24" s="1"/>
  <c r="P192" i="24"/>
  <c r="AH192" i="24" s="1"/>
  <c r="R191" i="24"/>
  <c r="AJ191" i="24" s="1"/>
  <c r="Q191" i="24"/>
  <c r="AI191" i="24" s="1"/>
  <c r="P191" i="24"/>
  <c r="AH191" i="24" s="1"/>
  <c r="I36" i="7"/>
  <c r="F36" i="7"/>
  <c r="C36" i="7"/>
  <c r="I35" i="7"/>
  <c r="F35" i="7"/>
  <c r="C35" i="7"/>
  <c r="I34" i="7"/>
  <c r="I33" i="7"/>
  <c r="I32" i="7"/>
  <c r="I31" i="7"/>
  <c r="I30" i="7"/>
  <c r="I29" i="7"/>
  <c r="I28" i="7"/>
  <c r="I27" i="7"/>
  <c r="I26" i="7"/>
  <c r="I25" i="7"/>
  <c r="I24" i="7"/>
  <c r="I23" i="7"/>
  <c r="I22" i="7"/>
  <c r="I21" i="7"/>
  <c r="I20" i="7"/>
  <c r="I19" i="7"/>
  <c r="I18" i="7"/>
  <c r="I17" i="7"/>
  <c r="F34" i="7"/>
  <c r="F33" i="7"/>
  <c r="F32" i="7"/>
  <c r="F31" i="7"/>
  <c r="F30" i="7"/>
  <c r="F29" i="7"/>
  <c r="F28" i="7"/>
  <c r="F27" i="7"/>
  <c r="F26" i="7"/>
  <c r="F25" i="7"/>
  <c r="F24" i="7"/>
  <c r="F23" i="7"/>
  <c r="F22" i="7"/>
  <c r="F21" i="7"/>
  <c r="F20" i="7"/>
  <c r="F19" i="7"/>
  <c r="F18" i="7"/>
  <c r="F17" i="7"/>
  <c r="C34" i="7"/>
  <c r="C33" i="7"/>
  <c r="C32" i="7"/>
  <c r="C31" i="7"/>
  <c r="C30" i="7"/>
  <c r="C29" i="7"/>
  <c r="C28" i="7"/>
  <c r="C27" i="7"/>
  <c r="C26" i="7"/>
  <c r="C25" i="7"/>
  <c r="C24" i="7"/>
  <c r="C23" i="7"/>
  <c r="C22" i="7"/>
  <c r="C21" i="7"/>
  <c r="C20" i="7"/>
  <c r="C19" i="7"/>
  <c r="C18" i="7"/>
  <c r="I117" i="7" l="1"/>
  <c r="B44" i="26"/>
  <c r="C57" i="5"/>
  <c r="U82" i="9"/>
  <c r="U84" i="9" s="1"/>
  <c r="P940" i="24"/>
  <c r="Q867" i="24"/>
  <c r="P935" i="24"/>
  <c r="Q835" i="24"/>
  <c r="P905" i="24"/>
  <c r="Q852" i="24"/>
  <c r="P920" i="24"/>
  <c r="Q858" i="24"/>
  <c r="P926" i="24"/>
  <c r="Q856" i="24"/>
  <c r="P924" i="24"/>
  <c r="Q838" i="24"/>
  <c r="P908" i="24"/>
  <c r="Q851" i="24"/>
  <c r="P919" i="24"/>
  <c r="Q840" i="24"/>
  <c r="P910" i="24"/>
  <c r="R876" i="24"/>
  <c r="Q942" i="24"/>
  <c r="Q849" i="24"/>
  <c r="P917" i="24"/>
  <c r="Q850" i="24"/>
  <c r="P918" i="24"/>
  <c r="Q830" i="24"/>
  <c r="P900" i="24"/>
  <c r="Q881" i="24"/>
  <c r="P946" i="24"/>
  <c r="Q862" i="24"/>
  <c r="P930" i="24"/>
  <c r="Q874" i="24"/>
  <c r="Q833" i="24"/>
  <c r="P903" i="24"/>
  <c r="Q868" i="24"/>
  <c r="P936" i="24"/>
  <c r="Q844" i="24"/>
  <c r="P912" i="24"/>
  <c r="Q846" i="24"/>
  <c r="P914" i="24"/>
  <c r="Q848" i="24"/>
  <c r="P916" i="24"/>
  <c r="Q864" i="24"/>
  <c r="P932" i="24"/>
  <c r="Q877" i="24"/>
  <c r="P943" i="24"/>
  <c r="Q875" i="24"/>
  <c r="P941" i="24"/>
  <c r="Q847" i="24"/>
  <c r="P915" i="24"/>
  <c r="Q871" i="24"/>
  <c r="P938" i="24"/>
  <c r="Q866" i="24"/>
  <c r="P934" i="24"/>
  <c r="Q873" i="24"/>
  <c r="P939" i="24"/>
  <c r="Q865" i="24"/>
  <c r="P933" i="24"/>
  <c r="Q853" i="24"/>
  <c r="P921" i="24"/>
  <c r="Q837" i="24"/>
  <c r="P907" i="24"/>
  <c r="Q831" i="24"/>
  <c r="P901" i="24"/>
  <c r="Q836" i="24"/>
  <c r="P906" i="24"/>
  <c r="Q822" i="24"/>
  <c r="P895" i="24"/>
  <c r="Q860" i="24"/>
  <c r="P928" i="24"/>
  <c r="Q859" i="24"/>
  <c r="P927" i="24"/>
  <c r="Q861" i="24"/>
  <c r="P929" i="24"/>
  <c r="Q854" i="24"/>
  <c r="P922" i="24"/>
  <c r="Q839" i="24"/>
  <c r="P909" i="24"/>
  <c r="Q869" i="24"/>
  <c r="P937" i="24"/>
  <c r="Q841" i="24"/>
  <c r="P911" i="24"/>
  <c r="Q857" i="24"/>
  <c r="P925" i="24"/>
  <c r="Q863" i="24"/>
  <c r="P931" i="24"/>
  <c r="Q879" i="24"/>
  <c r="P945" i="24"/>
  <c r="Q845" i="24"/>
  <c r="P913" i="24"/>
  <c r="Q878" i="24"/>
  <c r="P944" i="24"/>
  <c r="Q855" i="24"/>
  <c r="P923" i="24"/>
  <c r="Q832" i="24"/>
  <c r="P902" i="24"/>
  <c r="Q880" i="24"/>
  <c r="Q821" i="24"/>
  <c r="P826" i="24"/>
  <c r="I815" i="24"/>
  <c r="I814" i="24"/>
  <c r="I813" i="24"/>
  <c r="I812" i="24"/>
  <c r="I811" i="24"/>
  <c r="I810" i="24"/>
  <c r="I809" i="24"/>
  <c r="I808" i="24"/>
  <c r="I807" i="24"/>
  <c r="I806" i="24"/>
  <c r="I805" i="24"/>
  <c r="I804" i="24"/>
  <c r="I803" i="24"/>
  <c r="I802" i="24"/>
  <c r="I801" i="24"/>
  <c r="I800" i="24"/>
  <c r="I799" i="24"/>
  <c r="I798" i="24"/>
  <c r="I797" i="24"/>
  <c r="I796" i="24"/>
  <c r="I795" i="24"/>
  <c r="I794" i="24"/>
  <c r="I793" i="24"/>
  <c r="I792" i="24"/>
  <c r="I791" i="24"/>
  <c r="I790" i="24"/>
  <c r="I789" i="24"/>
  <c r="I788" i="24"/>
  <c r="I787" i="24"/>
  <c r="I786" i="24"/>
  <c r="I785" i="24"/>
  <c r="I784" i="24"/>
  <c r="I783" i="24"/>
  <c r="I782" i="24"/>
  <c r="I781" i="24"/>
  <c r="I780" i="24"/>
  <c r="I779" i="24"/>
  <c r="I778" i="24"/>
  <c r="I777" i="24"/>
  <c r="I776" i="24"/>
  <c r="I775" i="24"/>
  <c r="I774" i="24"/>
  <c r="I773" i="24"/>
  <c r="I772" i="24"/>
  <c r="I771" i="24"/>
  <c r="I770" i="24"/>
  <c r="I769" i="24"/>
  <c r="I768" i="24"/>
  <c r="D761" i="24"/>
  <c r="I761" i="24" s="1"/>
  <c r="D760" i="24"/>
  <c r="I760" i="24" s="1"/>
  <c r="D759" i="24"/>
  <c r="I759" i="24" s="1"/>
  <c r="D758" i="24"/>
  <c r="I758" i="24" s="1"/>
  <c r="D757" i="24"/>
  <c r="I757" i="24" s="1"/>
  <c r="D756" i="24"/>
  <c r="I756" i="24" s="1"/>
  <c r="D751" i="24"/>
  <c r="I751" i="24" s="1"/>
  <c r="D750" i="24"/>
  <c r="I750" i="24" s="1"/>
  <c r="D749" i="24"/>
  <c r="I749" i="24" s="1"/>
  <c r="D748" i="24"/>
  <c r="I748" i="24" s="1"/>
  <c r="D747" i="24"/>
  <c r="I747" i="24" s="1"/>
  <c r="D746" i="24"/>
  <c r="I746" i="24" s="1"/>
  <c r="D745" i="24"/>
  <c r="I745" i="24" s="1"/>
  <c r="D744" i="24"/>
  <c r="I744" i="24" s="1"/>
  <c r="D743" i="24"/>
  <c r="I743" i="24" s="1"/>
  <c r="D742" i="24"/>
  <c r="I742" i="24" s="1"/>
  <c r="D741" i="24"/>
  <c r="I741" i="24" s="1"/>
  <c r="D736" i="24"/>
  <c r="I736" i="24" s="1"/>
  <c r="D735" i="24"/>
  <c r="I735" i="24" s="1"/>
  <c r="D734" i="24"/>
  <c r="I734" i="24" s="1"/>
  <c r="D733" i="24"/>
  <c r="I733" i="24" s="1"/>
  <c r="D732" i="24"/>
  <c r="I732" i="24" s="1"/>
  <c r="D731" i="24"/>
  <c r="I731" i="24" s="1"/>
  <c r="D730" i="24"/>
  <c r="I730" i="24" s="1"/>
  <c r="D729" i="24"/>
  <c r="I729" i="24" s="1"/>
  <c r="D728" i="24"/>
  <c r="I728" i="24" s="1"/>
  <c r="D727" i="24"/>
  <c r="I727" i="24" s="1"/>
  <c r="D726" i="24"/>
  <c r="I726" i="24" s="1"/>
  <c r="D725" i="24"/>
  <c r="I725" i="24" s="1"/>
  <c r="D724" i="24"/>
  <c r="I724" i="24" s="1"/>
  <c r="D723" i="24"/>
  <c r="I723" i="24" s="1"/>
  <c r="D722" i="24"/>
  <c r="I722" i="24" s="1"/>
  <c r="D721" i="24"/>
  <c r="I721" i="24" s="1"/>
  <c r="D720" i="24"/>
  <c r="I720" i="24" s="1"/>
  <c r="D719" i="24"/>
  <c r="I719" i="24" s="1"/>
  <c r="D718" i="24"/>
  <c r="I718" i="24" s="1"/>
  <c r="D717" i="24"/>
  <c r="I717" i="24" s="1"/>
  <c r="D716" i="24"/>
  <c r="I716" i="24" s="1"/>
  <c r="D711" i="24"/>
  <c r="I711" i="24" s="1"/>
  <c r="D710" i="24"/>
  <c r="I710" i="24" s="1"/>
  <c r="D709" i="24"/>
  <c r="I709" i="24" s="1"/>
  <c r="D708" i="24"/>
  <c r="I708" i="24" s="1"/>
  <c r="D707" i="24"/>
  <c r="I707" i="24" s="1"/>
  <c r="D706" i="24"/>
  <c r="I706" i="24" s="1"/>
  <c r="D701" i="24"/>
  <c r="I701" i="24" s="1"/>
  <c r="D700" i="24"/>
  <c r="I700" i="24" s="1"/>
  <c r="D699" i="24"/>
  <c r="I699" i="24" s="1"/>
  <c r="D698" i="24"/>
  <c r="I698" i="24" s="1"/>
  <c r="D697" i="24"/>
  <c r="I697" i="24" s="1"/>
  <c r="D696" i="24"/>
  <c r="I696" i="24" s="1"/>
  <c r="D691" i="24"/>
  <c r="I691" i="24" s="1"/>
  <c r="D690" i="24"/>
  <c r="I690" i="24" s="1"/>
  <c r="D689" i="24"/>
  <c r="I689" i="24" s="1"/>
  <c r="D688" i="24"/>
  <c r="I688" i="24" s="1"/>
  <c r="D687" i="24"/>
  <c r="I687" i="24" s="1"/>
  <c r="D686" i="24"/>
  <c r="I686" i="24" s="1"/>
  <c r="D685" i="24"/>
  <c r="D684" i="24"/>
  <c r="D683" i="24"/>
  <c r="D682" i="24"/>
  <c r="D681" i="24"/>
  <c r="D677" i="24"/>
  <c r="D676" i="24"/>
  <c r="D675" i="24"/>
  <c r="D674" i="24"/>
  <c r="D673" i="24"/>
  <c r="D672" i="24"/>
  <c r="D671" i="24"/>
  <c r="D670" i="24"/>
  <c r="D669" i="24"/>
  <c r="D668" i="24"/>
  <c r="I668" i="24" s="1"/>
  <c r="D667" i="24"/>
  <c r="I667" i="24" s="1"/>
  <c r="D666" i="24"/>
  <c r="D665" i="24"/>
  <c r="D664" i="24"/>
  <c r="D509" i="24"/>
  <c r="D510" i="24"/>
  <c r="Z510" i="24" s="1"/>
  <c r="R509" i="24" l="1"/>
  <c r="J509" i="24"/>
  <c r="R510" i="24"/>
  <c r="B45" i="26"/>
  <c r="C58" i="5"/>
  <c r="V82" i="9"/>
  <c r="V84" i="9" s="1"/>
  <c r="M676" i="24"/>
  <c r="Q940" i="24"/>
  <c r="R874" i="24"/>
  <c r="R832" i="24"/>
  <c r="Q902" i="24"/>
  <c r="R831" i="24"/>
  <c r="Q901" i="24"/>
  <c r="R846" i="24"/>
  <c r="Q914" i="24"/>
  <c r="R851" i="24"/>
  <c r="Q919" i="24"/>
  <c r="R855" i="24"/>
  <c r="Q923" i="24"/>
  <c r="R863" i="24"/>
  <c r="Q931" i="24"/>
  <c r="R839" i="24"/>
  <c r="Q909" i="24"/>
  <c r="R860" i="24"/>
  <c r="Q928" i="24"/>
  <c r="R837" i="24"/>
  <c r="Q907" i="24"/>
  <c r="R866" i="24"/>
  <c r="Q934" i="24"/>
  <c r="R877" i="24"/>
  <c r="Q943" i="24"/>
  <c r="R844" i="24"/>
  <c r="Q912" i="24"/>
  <c r="R862" i="24"/>
  <c r="Q930" i="24"/>
  <c r="R849" i="24"/>
  <c r="Q917" i="24"/>
  <c r="R838" i="24"/>
  <c r="Q908" i="24"/>
  <c r="R852" i="24"/>
  <c r="Q920" i="24"/>
  <c r="R878" i="24"/>
  <c r="Q944" i="24"/>
  <c r="R857" i="24"/>
  <c r="Q925" i="24"/>
  <c r="R854" i="24"/>
  <c r="Q922" i="24"/>
  <c r="R822" i="24"/>
  <c r="Q895" i="24"/>
  <c r="R853" i="24"/>
  <c r="Q921" i="24"/>
  <c r="R871" i="24"/>
  <c r="Q938" i="24"/>
  <c r="R864" i="24"/>
  <c r="Q932" i="24"/>
  <c r="R868" i="24"/>
  <c r="Q936" i="24"/>
  <c r="R881" i="24"/>
  <c r="Q946" i="24"/>
  <c r="S876" i="24"/>
  <c r="R942" i="24"/>
  <c r="R835" i="24"/>
  <c r="Q905" i="24"/>
  <c r="R869" i="24"/>
  <c r="Q937" i="24"/>
  <c r="R873" i="24"/>
  <c r="Q939" i="24"/>
  <c r="R850" i="24"/>
  <c r="Q918" i="24"/>
  <c r="R879" i="24"/>
  <c r="Q945" i="24"/>
  <c r="R859" i="24"/>
  <c r="Q927" i="24"/>
  <c r="R875" i="24"/>
  <c r="Q941" i="24"/>
  <c r="R858" i="24"/>
  <c r="Q926" i="24"/>
  <c r="R880" i="24"/>
  <c r="R845" i="24"/>
  <c r="Q913" i="24"/>
  <c r="R841" i="24"/>
  <c r="Q911" i="24"/>
  <c r="R861" i="24"/>
  <c r="Q929" i="24"/>
  <c r="R836" i="24"/>
  <c r="Q906" i="24"/>
  <c r="R865" i="24"/>
  <c r="Q933" i="24"/>
  <c r="R847" i="24"/>
  <c r="Q915" i="24"/>
  <c r="R848" i="24"/>
  <c r="Q916" i="24"/>
  <c r="R833" i="24"/>
  <c r="Q903" i="24"/>
  <c r="R830" i="24"/>
  <c r="Q900" i="24"/>
  <c r="R840" i="24"/>
  <c r="Q910" i="24"/>
  <c r="R856" i="24"/>
  <c r="Q924" i="24"/>
  <c r="R867" i="24"/>
  <c r="Q935" i="24"/>
  <c r="M681" i="24"/>
  <c r="R821" i="24"/>
  <c r="Q826" i="24"/>
  <c r="M669" i="24"/>
  <c r="M683" i="24"/>
  <c r="M673" i="24"/>
  <c r="M664" i="24"/>
  <c r="N510" i="24"/>
  <c r="N509" i="24"/>
  <c r="L503" i="24"/>
  <c r="K210" i="24"/>
  <c r="K209" i="24"/>
  <c r="K208" i="24"/>
  <c r="K207" i="24"/>
  <c r="K206" i="24"/>
  <c r="K205" i="24"/>
  <c r="K204" i="24"/>
  <c r="K203" i="24"/>
  <c r="K202" i="24"/>
  <c r="K201" i="24"/>
  <c r="K200" i="24"/>
  <c r="K199" i="24"/>
  <c r="K198" i="24"/>
  <c r="K197" i="24"/>
  <c r="K196" i="24"/>
  <c r="K195" i="24"/>
  <c r="K194" i="24"/>
  <c r="K193" i="24"/>
  <c r="K192" i="24"/>
  <c r="K191" i="24"/>
  <c r="R190" i="24"/>
  <c r="AJ190" i="24" s="1"/>
  <c r="Q190" i="24"/>
  <c r="AI190" i="24" s="1"/>
  <c r="P190" i="24"/>
  <c r="AH190" i="24" s="1"/>
  <c r="B46" i="26" l="1"/>
  <c r="C59" i="5"/>
  <c r="W82" i="9"/>
  <c r="W84" i="9" s="1"/>
  <c r="R940" i="24"/>
  <c r="S861" i="24"/>
  <c r="R929" i="24"/>
  <c r="S850" i="24"/>
  <c r="R918" i="24"/>
  <c r="S871" i="24"/>
  <c r="R938" i="24"/>
  <c r="S849" i="24"/>
  <c r="R917" i="24"/>
  <c r="S863" i="24"/>
  <c r="R931" i="24"/>
  <c r="S856" i="24"/>
  <c r="R924" i="24"/>
  <c r="S848" i="24"/>
  <c r="R916" i="24"/>
  <c r="S858" i="24"/>
  <c r="R926" i="24"/>
  <c r="T876" i="24"/>
  <c r="S942" i="24"/>
  <c r="S857" i="24"/>
  <c r="R925" i="24"/>
  <c r="S866" i="24"/>
  <c r="R934" i="24"/>
  <c r="S846" i="24"/>
  <c r="R914" i="24"/>
  <c r="S840" i="24"/>
  <c r="R910" i="24"/>
  <c r="S847" i="24"/>
  <c r="R915" i="24"/>
  <c r="S841" i="24"/>
  <c r="R911" i="24"/>
  <c r="S875" i="24"/>
  <c r="R941" i="24"/>
  <c r="S873" i="24"/>
  <c r="R939" i="24"/>
  <c r="S881" i="24"/>
  <c r="R946" i="24"/>
  <c r="S853" i="24"/>
  <c r="R921" i="24"/>
  <c r="S878" i="24"/>
  <c r="R944" i="24"/>
  <c r="S862" i="24"/>
  <c r="R930" i="24"/>
  <c r="S837" i="24"/>
  <c r="R907" i="24"/>
  <c r="S855" i="24"/>
  <c r="R923" i="24"/>
  <c r="S831" i="24"/>
  <c r="R901" i="24"/>
  <c r="S830" i="24"/>
  <c r="R900" i="24"/>
  <c r="S865" i="24"/>
  <c r="R933" i="24"/>
  <c r="S845" i="24"/>
  <c r="R913" i="24"/>
  <c r="S859" i="24"/>
  <c r="R927" i="24"/>
  <c r="S869" i="24"/>
  <c r="R937" i="24"/>
  <c r="S868" i="24"/>
  <c r="R936" i="24"/>
  <c r="S822" i="24"/>
  <c r="R895" i="24"/>
  <c r="S852" i="24"/>
  <c r="R920" i="24"/>
  <c r="S844" i="24"/>
  <c r="R912" i="24"/>
  <c r="S860" i="24"/>
  <c r="R928" i="24"/>
  <c r="S832" i="24"/>
  <c r="R902" i="24"/>
  <c r="S867" i="24"/>
  <c r="R935" i="24"/>
  <c r="S833" i="24"/>
  <c r="R903" i="24"/>
  <c r="S836" i="24"/>
  <c r="R906" i="24"/>
  <c r="S880" i="24"/>
  <c r="S879" i="24"/>
  <c r="R945" i="24"/>
  <c r="S835" i="24"/>
  <c r="R905" i="24"/>
  <c r="S864" i="24"/>
  <c r="R932" i="24"/>
  <c r="S854" i="24"/>
  <c r="R922" i="24"/>
  <c r="S838" i="24"/>
  <c r="R908" i="24"/>
  <c r="S877" i="24"/>
  <c r="R943" i="24"/>
  <c r="S839" i="24"/>
  <c r="R909" i="24"/>
  <c r="S851" i="24"/>
  <c r="R919" i="24"/>
  <c r="S874" i="24"/>
  <c r="S821" i="24"/>
  <c r="R826" i="24"/>
  <c r="D117" i="24"/>
  <c r="D116" i="24"/>
  <c r="D115" i="24"/>
  <c r="L461" i="24"/>
  <c r="L463" i="24"/>
  <c r="F463" i="24"/>
  <c r="L462" i="24"/>
  <c r="J503" i="24"/>
  <c r="N503" i="24" s="1"/>
  <c r="I503" i="24"/>
  <c r="M503" i="24" s="1"/>
  <c r="F650" i="24"/>
  <c r="E650" i="24"/>
  <c r="S645" i="24" s="1"/>
  <c r="F642" i="24"/>
  <c r="E642" i="24"/>
  <c r="F641" i="24"/>
  <c r="E641" i="24"/>
  <c r="F640" i="24"/>
  <c r="E640" i="24"/>
  <c r="S640" i="24" s="1"/>
  <c r="F639" i="24"/>
  <c r="E639" i="24"/>
  <c r="F638" i="24"/>
  <c r="E638" i="24"/>
  <c r="F637" i="24"/>
  <c r="E637" i="24"/>
  <c r="F636" i="24"/>
  <c r="E636" i="24"/>
  <c r="S636" i="24" s="1"/>
  <c r="F635" i="24"/>
  <c r="E635" i="24"/>
  <c r="F634" i="24"/>
  <c r="E634" i="24"/>
  <c r="F633" i="24"/>
  <c r="E633" i="24"/>
  <c r="F632" i="24"/>
  <c r="E632" i="24"/>
  <c r="E627" i="24"/>
  <c r="E626" i="24"/>
  <c r="E625" i="24"/>
  <c r="S625" i="24" s="1"/>
  <c r="E624" i="24"/>
  <c r="S624" i="24" s="1"/>
  <c r="E623" i="24"/>
  <c r="E622" i="24"/>
  <c r="E620" i="24"/>
  <c r="S620" i="24" s="1"/>
  <c r="S577" i="24"/>
  <c r="S574" i="24"/>
  <c r="S572" i="24"/>
  <c r="S571" i="24"/>
  <c r="F551" i="24"/>
  <c r="E551" i="24"/>
  <c r="F550" i="24"/>
  <c r="F549" i="24"/>
  <c r="E549" i="24"/>
  <c r="F548" i="24"/>
  <c r="E548" i="24"/>
  <c r="F547" i="24"/>
  <c r="E547" i="24"/>
  <c r="F546" i="24"/>
  <c r="E546" i="24"/>
  <c r="F545" i="24"/>
  <c r="E545" i="24"/>
  <c r="E541" i="24"/>
  <c r="S541" i="24" s="1"/>
  <c r="F540" i="24"/>
  <c r="E540" i="24"/>
  <c r="S540" i="24" s="1"/>
  <c r="F539" i="24"/>
  <c r="E539" i="24"/>
  <c r="S539" i="24" s="1"/>
  <c r="F538" i="24"/>
  <c r="E538" i="24"/>
  <c r="S538" i="24" s="1"/>
  <c r="F537" i="24"/>
  <c r="E537" i="24"/>
  <c r="F536" i="24"/>
  <c r="E536" i="24"/>
  <c r="F535" i="24"/>
  <c r="E535" i="24"/>
  <c r="S535" i="24" s="1"/>
  <c r="F534" i="24"/>
  <c r="E534" i="24"/>
  <c r="S534" i="24" s="1"/>
  <c r="F533" i="24"/>
  <c r="E533" i="24"/>
  <c r="F532" i="24"/>
  <c r="E532" i="24"/>
  <c r="F531" i="24"/>
  <c r="E531" i="24"/>
  <c r="F530" i="24"/>
  <c r="E530" i="24"/>
  <c r="S530" i="24" s="1"/>
  <c r="F528" i="24"/>
  <c r="E528" i="24"/>
  <c r="F527" i="24"/>
  <c r="E527" i="24"/>
  <c r="S527" i="24" s="1"/>
  <c r="F526" i="24"/>
  <c r="E526" i="24"/>
  <c r="F525" i="24"/>
  <c r="E525" i="24"/>
  <c r="S525" i="24" s="1"/>
  <c r="F524" i="24"/>
  <c r="E524" i="24"/>
  <c r="F516" i="24"/>
  <c r="F510" i="24"/>
  <c r="U510" i="24" s="1"/>
  <c r="F509" i="24"/>
  <c r="F508" i="24"/>
  <c r="F507" i="24"/>
  <c r="F506" i="24"/>
  <c r="F505" i="24"/>
  <c r="F504" i="24"/>
  <c r="D659" i="24"/>
  <c r="N659" i="24" s="1"/>
  <c r="D658" i="24"/>
  <c r="N658" i="24" s="1"/>
  <c r="D657" i="24"/>
  <c r="N657" i="24" s="1"/>
  <c r="D656" i="24"/>
  <c r="N656" i="24" s="1"/>
  <c r="D655" i="24"/>
  <c r="D654" i="24"/>
  <c r="D653" i="24"/>
  <c r="D652" i="24"/>
  <c r="D650" i="24"/>
  <c r="D649" i="24"/>
  <c r="D648" i="24"/>
  <c r="D647" i="24"/>
  <c r="D646" i="24"/>
  <c r="N646" i="24" s="1"/>
  <c r="D645" i="24"/>
  <c r="N645" i="24" s="1"/>
  <c r="D644" i="24"/>
  <c r="D643" i="24"/>
  <c r="D642" i="24"/>
  <c r="D641" i="24"/>
  <c r="D640" i="24"/>
  <c r="R640" i="24" s="1"/>
  <c r="D639" i="24"/>
  <c r="D638" i="24"/>
  <c r="D637" i="24"/>
  <c r="D636" i="24"/>
  <c r="R636" i="24" s="1"/>
  <c r="D635" i="24"/>
  <c r="D634" i="24"/>
  <c r="D633" i="24"/>
  <c r="D632" i="24"/>
  <c r="D629" i="24"/>
  <c r="D628" i="24"/>
  <c r="J628" i="24" s="1"/>
  <c r="D627" i="24"/>
  <c r="D626" i="24"/>
  <c r="D625" i="24"/>
  <c r="R625" i="24" s="1"/>
  <c r="D624" i="24"/>
  <c r="R624" i="24" s="1"/>
  <c r="D623" i="24"/>
  <c r="D622" i="24"/>
  <c r="D621" i="24"/>
  <c r="R621" i="24" s="1"/>
  <c r="D620" i="24"/>
  <c r="R620" i="24" s="1"/>
  <c r="D562" i="24"/>
  <c r="D561" i="24"/>
  <c r="D560" i="24"/>
  <c r="D559" i="24"/>
  <c r="D558" i="24"/>
  <c r="D557" i="24"/>
  <c r="D551" i="24"/>
  <c r="D550" i="24"/>
  <c r="D549" i="24"/>
  <c r="D548" i="24"/>
  <c r="D547" i="24"/>
  <c r="D546" i="24"/>
  <c r="D545" i="24"/>
  <c r="D543" i="24"/>
  <c r="J541" i="24" s="1"/>
  <c r="D540" i="24"/>
  <c r="R540" i="24" s="1"/>
  <c r="D539" i="24"/>
  <c r="R539" i="24" s="1"/>
  <c r="D538" i="24"/>
  <c r="R538" i="24" s="1"/>
  <c r="D537" i="24"/>
  <c r="D536" i="24"/>
  <c r="D535" i="24"/>
  <c r="R535" i="24" s="1"/>
  <c r="D534" i="24"/>
  <c r="R534" i="24" s="1"/>
  <c r="D533" i="24"/>
  <c r="R533" i="24" s="1"/>
  <c r="D532" i="24"/>
  <c r="D531" i="24"/>
  <c r="D530" i="24"/>
  <c r="R530" i="24" s="1"/>
  <c r="D527" i="24"/>
  <c r="D525" i="24"/>
  <c r="D524" i="24"/>
  <c r="J524" i="24" s="1"/>
  <c r="D518" i="24"/>
  <c r="D517" i="24"/>
  <c r="J517" i="24" s="1"/>
  <c r="D516" i="24"/>
  <c r="D508" i="24"/>
  <c r="R508" i="24" s="1"/>
  <c r="D507" i="24"/>
  <c r="R507" i="24" s="1"/>
  <c r="D506" i="24"/>
  <c r="R506" i="24" s="1"/>
  <c r="D505" i="24"/>
  <c r="R505" i="24" s="1"/>
  <c r="D504" i="24"/>
  <c r="R503" i="24" s="1"/>
  <c r="J633" i="24" l="1"/>
  <c r="U531" i="24"/>
  <c r="U528" i="24"/>
  <c r="R622" i="24"/>
  <c r="R531" i="24"/>
  <c r="R632" i="24"/>
  <c r="R527" i="24"/>
  <c r="J527" i="24"/>
  <c r="J532" i="24"/>
  <c r="R528" i="24"/>
  <c r="J645" i="24"/>
  <c r="R645" i="24"/>
  <c r="Z543" i="24"/>
  <c r="R541" i="24"/>
  <c r="R504" i="24"/>
  <c r="J504" i="24"/>
  <c r="J632" i="24"/>
  <c r="J634" i="24"/>
  <c r="R634" i="24"/>
  <c r="R536" i="24"/>
  <c r="J536" i="24"/>
  <c r="J637" i="24"/>
  <c r="R637" i="24"/>
  <c r="J557" i="24"/>
  <c r="S528" i="24"/>
  <c r="J531" i="24"/>
  <c r="J622" i="24"/>
  <c r="J646" i="24"/>
  <c r="R646" i="24"/>
  <c r="R516" i="24"/>
  <c r="J516" i="24"/>
  <c r="R524" i="24"/>
  <c r="R525" i="24"/>
  <c r="J525" i="24"/>
  <c r="J654" i="24"/>
  <c r="B47" i="26"/>
  <c r="C60" i="5"/>
  <c r="S533" i="24"/>
  <c r="T504" i="24"/>
  <c r="T524" i="24"/>
  <c r="T536" i="24"/>
  <c r="T637" i="24"/>
  <c r="U506" i="24"/>
  <c r="T506" i="24"/>
  <c r="U645" i="24"/>
  <c r="T645" i="24"/>
  <c r="U507" i="24"/>
  <c r="T507" i="24"/>
  <c r="U516" i="24"/>
  <c r="T516" i="24"/>
  <c r="U525" i="24"/>
  <c r="T525" i="24"/>
  <c r="U527" i="24"/>
  <c r="T527" i="24"/>
  <c r="U530" i="24"/>
  <c r="T530" i="24"/>
  <c r="U534" i="24"/>
  <c r="T534" i="24"/>
  <c r="U538" i="24"/>
  <c r="T538" i="24"/>
  <c r="U540" i="24"/>
  <c r="T540" i="24"/>
  <c r="U508" i="24"/>
  <c r="T508" i="24"/>
  <c r="U572" i="24"/>
  <c r="T572" i="24"/>
  <c r="U574" i="24"/>
  <c r="T574" i="24"/>
  <c r="T597" i="24"/>
  <c r="T632" i="24"/>
  <c r="T634" i="24"/>
  <c r="U636" i="24"/>
  <c r="T636" i="24"/>
  <c r="U640" i="24"/>
  <c r="T640" i="24"/>
  <c r="U571" i="24"/>
  <c r="T571" i="24"/>
  <c r="U577" i="24"/>
  <c r="T577" i="24"/>
  <c r="T630" i="24"/>
  <c r="U505" i="24"/>
  <c r="T505" i="24"/>
  <c r="U509" i="24"/>
  <c r="T509" i="24"/>
  <c r="T531" i="24"/>
  <c r="U533" i="24"/>
  <c r="T533" i="24"/>
  <c r="U535" i="24"/>
  <c r="T535" i="24"/>
  <c r="U539" i="24"/>
  <c r="T539" i="24"/>
  <c r="S531" i="24"/>
  <c r="X82" i="9"/>
  <c r="X84" i="9" s="1"/>
  <c r="S940" i="24"/>
  <c r="T851" i="24"/>
  <c r="S919" i="24"/>
  <c r="T832" i="24"/>
  <c r="S902" i="24"/>
  <c r="T855" i="24"/>
  <c r="S923" i="24"/>
  <c r="T849" i="24"/>
  <c r="S917" i="24"/>
  <c r="T854" i="24"/>
  <c r="S922" i="24"/>
  <c r="T822" i="24"/>
  <c r="S895" i="24"/>
  <c r="T853" i="24"/>
  <c r="S921" i="24"/>
  <c r="T848" i="24"/>
  <c r="S916" i="24"/>
  <c r="T839" i="24"/>
  <c r="S909" i="24"/>
  <c r="T864" i="24"/>
  <c r="S932" i="24"/>
  <c r="T836" i="24"/>
  <c r="S906" i="24"/>
  <c r="T860" i="24"/>
  <c r="S928" i="24"/>
  <c r="T868" i="24"/>
  <c r="S936" i="24"/>
  <c r="T865" i="24"/>
  <c r="S933" i="24"/>
  <c r="T837" i="24"/>
  <c r="S907" i="24"/>
  <c r="T881" i="24"/>
  <c r="S946" i="24"/>
  <c r="T847" i="24"/>
  <c r="S915" i="24"/>
  <c r="T857" i="24"/>
  <c r="S925" i="24"/>
  <c r="T856" i="24"/>
  <c r="S924" i="24"/>
  <c r="T871" i="24"/>
  <c r="S938" i="24"/>
  <c r="T880" i="24"/>
  <c r="T845" i="24"/>
  <c r="S913" i="24"/>
  <c r="T841" i="24"/>
  <c r="S911" i="24"/>
  <c r="T866" i="24"/>
  <c r="S934" i="24"/>
  <c r="T877" i="24"/>
  <c r="S943" i="24"/>
  <c r="T835" i="24"/>
  <c r="S905" i="24"/>
  <c r="T833" i="24"/>
  <c r="S903" i="24"/>
  <c r="T844" i="24"/>
  <c r="S912" i="24"/>
  <c r="T869" i="24"/>
  <c r="S937" i="24"/>
  <c r="T830" i="24"/>
  <c r="S900" i="24"/>
  <c r="T862" i="24"/>
  <c r="S930" i="24"/>
  <c r="T873" i="24"/>
  <c r="S939" i="24"/>
  <c r="T840" i="24"/>
  <c r="S910" i="24"/>
  <c r="U876" i="24"/>
  <c r="T942" i="24"/>
  <c r="T850" i="24"/>
  <c r="S918" i="24"/>
  <c r="T874" i="24"/>
  <c r="T838" i="24"/>
  <c r="S908" i="24"/>
  <c r="T879" i="24"/>
  <c r="S945" i="24"/>
  <c r="T867" i="24"/>
  <c r="S935" i="24"/>
  <c r="T852" i="24"/>
  <c r="S920" i="24"/>
  <c r="T859" i="24"/>
  <c r="S927" i="24"/>
  <c r="T831" i="24"/>
  <c r="S901" i="24"/>
  <c r="T878" i="24"/>
  <c r="S944" i="24"/>
  <c r="T875" i="24"/>
  <c r="S941" i="24"/>
  <c r="T846" i="24"/>
  <c r="S914" i="24"/>
  <c r="T858" i="24"/>
  <c r="S926" i="24"/>
  <c r="T863" i="24"/>
  <c r="S931" i="24"/>
  <c r="T861" i="24"/>
  <c r="S929" i="24"/>
  <c r="T821" i="24"/>
  <c r="S826" i="24"/>
  <c r="U524" i="24"/>
  <c r="U504" i="24"/>
  <c r="U503" i="24"/>
  <c r="Y462" i="24"/>
  <c r="Q462" i="24"/>
  <c r="C462" i="24"/>
  <c r="Y463" i="24"/>
  <c r="C463" i="24"/>
  <c r="S463" i="24"/>
  <c r="Q463" i="24"/>
  <c r="U634" i="24"/>
  <c r="Y461" i="24"/>
  <c r="C461" i="24"/>
  <c r="Q461" i="24"/>
  <c r="U632" i="24"/>
  <c r="U637" i="24"/>
  <c r="S634" i="24"/>
  <c r="U536" i="24"/>
  <c r="U597" i="24"/>
  <c r="Z596" i="24"/>
  <c r="N596" i="24"/>
  <c r="Z557" i="24"/>
  <c r="N557" i="24"/>
  <c r="Z629" i="24"/>
  <c r="N629" i="24"/>
  <c r="J506" i="24"/>
  <c r="Z526" i="24"/>
  <c r="J535" i="24"/>
  <c r="Z545" i="24"/>
  <c r="N545" i="24"/>
  <c r="Z558" i="24"/>
  <c r="N558" i="24"/>
  <c r="R572" i="24"/>
  <c r="Z597" i="24"/>
  <c r="N597" i="24"/>
  <c r="Z605" i="24"/>
  <c r="N605" i="24"/>
  <c r="Z616" i="24"/>
  <c r="N616" i="24"/>
  <c r="Z622" i="24"/>
  <c r="N622" i="24"/>
  <c r="Z638" i="24"/>
  <c r="N638" i="24"/>
  <c r="Z655" i="24"/>
  <c r="N655" i="24"/>
  <c r="S637" i="24"/>
  <c r="Z645" i="24"/>
  <c r="Z536" i="24"/>
  <c r="N536" i="24"/>
  <c r="Z590" i="24"/>
  <c r="N590" i="24"/>
  <c r="Z623" i="24"/>
  <c r="N623" i="24"/>
  <c r="Z647" i="24"/>
  <c r="N647" i="24"/>
  <c r="Z560" i="24"/>
  <c r="N560" i="24"/>
  <c r="Z618" i="24"/>
  <c r="N618" i="24"/>
  <c r="Z648" i="24"/>
  <c r="N648" i="24"/>
  <c r="J530" i="24"/>
  <c r="J538" i="24"/>
  <c r="Z548" i="24"/>
  <c r="N548" i="24"/>
  <c r="Z561" i="24"/>
  <c r="N561" i="24"/>
  <c r="Z600" i="24"/>
  <c r="N600" i="24"/>
  <c r="Z608" i="24"/>
  <c r="N608" i="24"/>
  <c r="Z619" i="24"/>
  <c r="N619" i="24"/>
  <c r="J625" i="24"/>
  <c r="Z633" i="24"/>
  <c r="N633" i="24"/>
  <c r="Z641" i="24"/>
  <c r="N641" i="24"/>
  <c r="Z649" i="24"/>
  <c r="N649" i="24"/>
  <c r="S536" i="24"/>
  <c r="N543" i="24"/>
  <c r="Z615" i="24"/>
  <c r="N615" i="24"/>
  <c r="Z654" i="24"/>
  <c r="N654" i="24"/>
  <c r="Z559" i="24"/>
  <c r="N559" i="24"/>
  <c r="Z606" i="24"/>
  <c r="N606" i="24"/>
  <c r="Z639" i="24"/>
  <c r="N639" i="24"/>
  <c r="Z537" i="24"/>
  <c r="N537" i="24"/>
  <c r="Z591" i="24"/>
  <c r="N591" i="24"/>
  <c r="J624" i="24"/>
  <c r="J640" i="24"/>
  <c r="Z517" i="24"/>
  <c r="N517" i="24"/>
  <c r="J539" i="24"/>
  <c r="Z562" i="24"/>
  <c r="N562" i="24"/>
  <c r="Z593" i="24"/>
  <c r="N593" i="24"/>
  <c r="Z601" i="24"/>
  <c r="N601" i="24"/>
  <c r="Z609" i="24"/>
  <c r="N609" i="24"/>
  <c r="Z626" i="24"/>
  <c r="N626" i="24"/>
  <c r="Z634" i="24"/>
  <c r="N634" i="24"/>
  <c r="Z642" i="24"/>
  <c r="N642" i="24"/>
  <c r="Z650" i="24"/>
  <c r="N650" i="24"/>
  <c r="J534" i="24"/>
  <c r="Z604" i="24"/>
  <c r="N604" i="24"/>
  <c r="Z637" i="24"/>
  <c r="N637" i="24"/>
  <c r="N573" i="24"/>
  <c r="Z598" i="24"/>
  <c r="N598" i="24"/>
  <c r="Z528" i="24"/>
  <c r="Z607" i="24"/>
  <c r="N607" i="24"/>
  <c r="Z531" i="24"/>
  <c r="N531" i="24"/>
  <c r="Z549" i="24"/>
  <c r="N549" i="24"/>
  <c r="Z518" i="24"/>
  <c r="N518" i="24"/>
  <c r="Z532" i="24"/>
  <c r="J540" i="24"/>
  <c r="Z550" i="24"/>
  <c r="N550" i="24"/>
  <c r="Z579" i="24"/>
  <c r="N579" i="24"/>
  <c r="Z594" i="24"/>
  <c r="N594" i="24"/>
  <c r="Z602" i="24"/>
  <c r="N602" i="24"/>
  <c r="Z610" i="24"/>
  <c r="N610" i="24"/>
  <c r="Z627" i="24"/>
  <c r="N627" i="24"/>
  <c r="Z635" i="24"/>
  <c r="N635" i="24"/>
  <c r="Z643" i="24"/>
  <c r="N643" i="24"/>
  <c r="Z652" i="24"/>
  <c r="N652" i="24"/>
  <c r="S524" i="24"/>
  <c r="S597" i="24"/>
  <c r="J505" i="24"/>
  <c r="J621" i="24"/>
  <c r="J507" i="24"/>
  <c r="Z546" i="24"/>
  <c r="N546" i="24"/>
  <c r="Z617" i="24"/>
  <c r="N617" i="24"/>
  <c r="J508" i="24"/>
  <c r="Z547" i="24"/>
  <c r="N547" i="24"/>
  <c r="Z632" i="24"/>
  <c r="N632" i="24"/>
  <c r="Z524" i="24"/>
  <c r="N524" i="24"/>
  <c r="J533" i="24"/>
  <c r="N541" i="24"/>
  <c r="Z551" i="24"/>
  <c r="N551" i="24"/>
  <c r="Z570" i="24"/>
  <c r="N570" i="24"/>
  <c r="Z595" i="24"/>
  <c r="N595" i="24"/>
  <c r="Z603" i="24"/>
  <c r="N603" i="24"/>
  <c r="Z611" i="24"/>
  <c r="N611" i="24"/>
  <c r="J620" i="24"/>
  <c r="Z628" i="24"/>
  <c r="N628" i="24"/>
  <c r="J636" i="24"/>
  <c r="Z644" i="24"/>
  <c r="N644" i="24"/>
  <c r="Z653" i="24"/>
  <c r="N653" i="24"/>
  <c r="S622" i="24"/>
  <c r="S632" i="24"/>
  <c r="Z493" i="24"/>
  <c r="Z492" i="24"/>
  <c r="Z491" i="24"/>
  <c r="Z490" i="24"/>
  <c r="Z489" i="24"/>
  <c r="Z488" i="24"/>
  <c r="Z487" i="24"/>
  <c r="Z486" i="24"/>
  <c r="Z485" i="24"/>
  <c r="Z484" i="24"/>
  <c r="Z483" i="24"/>
  <c r="Z482" i="24"/>
  <c r="Z476" i="24"/>
  <c r="Z475" i="24"/>
  <c r="Z474" i="24"/>
  <c r="Z473" i="24"/>
  <c r="Z472" i="24"/>
  <c r="Z471" i="24"/>
  <c r="Z470" i="24"/>
  <c r="Z469" i="24"/>
  <c r="Z465" i="24"/>
  <c r="Z458" i="24"/>
  <c r="Z457" i="24"/>
  <c r="Z456" i="24"/>
  <c r="Z455" i="24"/>
  <c r="Z454" i="24"/>
  <c r="Z453" i="24"/>
  <c r="Z452" i="24"/>
  <c r="Z451" i="24"/>
  <c r="Z450" i="24"/>
  <c r="Z449" i="24"/>
  <c r="M468" i="24"/>
  <c r="M467" i="24"/>
  <c r="M464" i="24"/>
  <c r="M463" i="24"/>
  <c r="Z463" i="24" s="1"/>
  <c r="M462" i="24"/>
  <c r="Z462" i="24" s="1"/>
  <c r="M461" i="24"/>
  <c r="Z461" i="24" s="1"/>
  <c r="M460" i="24"/>
  <c r="M459" i="24"/>
  <c r="C61" i="5" l="1"/>
  <c r="C65" i="5" s="1"/>
  <c r="B48" i="26"/>
  <c r="T940" i="24"/>
  <c r="U858" i="24"/>
  <c r="T926" i="24"/>
  <c r="U862" i="24"/>
  <c r="T930" i="24"/>
  <c r="U841" i="24"/>
  <c r="T911" i="24"/>
  <c r="U856" i="24"/>
  <c r="T924" i="24"/>
  <c r="U837" i="24"/>
  <c r="T907" i="24"/>
  <c r="U836" i="24"/>
  <c r="T906" i="24"/>
  <c r="U848" i="24"/>
  <c r="T916" i="24"/>
  <c r="U849" i="24"/>
  <c r="T917" i="24"/>
  <c r="U879" i="24"/>
  <c r="T945" i="24"/>
  <c r="U846" i="24"/>
  <c r="T914" i="24"/>
  <c r="U859" i="24"/>
  <c r="T927" i="24"/>
  <c r="U838" i="24"/>
  <c r="T908" i="24"/>
  <c r="V876" i="24"/>
  <c r="U942" i="24"/>
  <c r="U830" i="24"/>
  <c r="T900" i="24"/>
  <c r="U835" i="24"/>
  <c r="T905" i="24"/>
  <c r="U845" i="24"/>
  <c r="T913" i="24"/>
  <c r="U857" i="24"/>
  <c r="T925" i="24"/>
  <c r="U865" i="24"/>
  <c r="T933" i="24"/>
  <c r="U864" i="24"/>
  <c r="T932" i="24"/>
  <c r="U853" i="24"/>
  <c r="T921" i="24"/>
  <c r="U855" i="24"/>
  <c r="T923" i="24"/>
  <c r="U861" i="24"/>
  <c r="T929" i="24"/>
  <c r="U875" i="24"/>
  <c r="T941" i="24"/>
  <c r="U852" i="24"/>
  <c r="T920" i="24"/>
  <c r="U874" i="24"/>
  <c r="U840" i="24"/>
  <c r="T910" i="24"/>
  <c r="U869" i="24"/>
  <c r="T937" i="24"/>
  <c r="U877" i="24"/>
  <c r="T943" i="24"/>
  <c r="U850" i="24"/>
  <c r="T918" i="24"/>
  <c r="U880" i="24"/>
  <c r="U847" i="24"/>
  <c r="T915" i="24"/>
  <c r="U868" i="24"/>
  <c r="T936" i="24"/>
  <c r="U839" i="24"/>
  <c r="T909" i="24"/>
  <c r="U822" i="24"/>
  <c r="T895" i="24"/>
  <c r="U832" i="24"/>
  <c r="T902" i="24"/>
  <c r="U831" i="24"/>
  <c r="T901" i="24"/>
  <c r="U833" i="24"/>
  <c r="T903" i="24"/>
  <c r="U863" i="24"/>
  <c r="T931" i="24"/>
  <c r="U878" i="24"/>
  <c r="T944" i="24"/>
  <c r="U867" i="24"/>
  <c r="T935" i="24"/>
  <c r="U873" i="24"/>
  <c r="T939" i="24"/>
  <c r="U844" i="24"/>
  <c r="T912" i="24"/>
  <c r="U866" i="24"/>
  <c r="T934" i="24"/>
  <c r="U871" i="24"/>
  <c r="T938" i="24"/>
  <c r="U881" i="24"/>
  <c r="T946" i="24"/>
  <c r="U860" i="24"/>
  <c r="T928" i="24"/>
  <c r="U854" i="24"/>
  <c r="T922" i="24"/>
  <c r="U851" i="24"/>
  <c r="T919" i="24"/>
  <c r="U821" i="24"/>
  <c r="T826" i="24"/>
  <c r="P463" i="24"/>
  <c r="P462" i="24"/>
  <c r="P461" i="24"/>
  <c r="L493" i="24"/>
  <c r="Q493" i="24" s="1"/>
  <c r="L492" i="24"/>
  <c r="Q492" i="24" s="1"/>
  <c r="L491" i="24"/>
  <c r="Q491" i="24" s="1"/>
  <c r="L490" i="24"/>
  <c r="Q490" i="24" s="1"/>
  <c r="L489" i="24"/>
  <c r="Q489" i="24" s="1"/>
  <c r="L488" i="24"/>
  <c r="Q488" i="24" s="1"/>
  <c r="L487" i="24"/>
  <c r="L486" i="24"/>
  <c r="L485" i="24"/>
  <c r="L476" i="24"/>
  <c r="K476" i="24"/>
  <c r="J476" i="24"/>
  <c r="I476" i="24"/>
  <c r="L475" i="24"/>
  <c r="K475" i="24"/>
  <c r="J475" i="24"/>
  <c r="I475" i="24"/>
  <c r="L474" i="24"/>
  <c r="K474" i="24"/>
  <c r="J474" i="24"/>
  <c r="I474" i="24"/>
  <c r="L473" i="24"/>
  <c r="K473" i="24"/>
  <c r="J473" i="24"/>
  <c r="I473" i="24"/>
  <c r="L472" i="24"/>
  <c r="K472" i="24"/>
  <c r="J472" i="24"/>
  <c r="I472" i="24"/>
  <c r="L471" i="24"/>
  <c r="K471" i="24"/>
  <c r="J471" i="24"/>
  <c r="I471" i="24"/>
  <c r="L470" i="24"/>
  <c r="K470" i="24"/>
  <c r="J470" i="24"/>
  <c r="I470" i="24"/>
  <c r="L469" i="24"/>
  <c r="K469" i="24"/>
  <c r="J469" i="24"/>
  <c r="I469" i="24"/>
  <c r="L468" i="24"/>
  <c r="Z468" i="24" s="1"/>
  <c r="L467" i="24"/>
  <c r="Z467" i="24" s="1"/>
  <c r="L465" i="24"/>
  <c r="L464" i="24"/>
  <c r="Z464" i="24" s="1"/>
  <c r="K463" i="24"/>
  <c r="X463" i="24" s="1"/>
  <c r="J463" i="24"/>
  <c r="W463" i="24" s="1"/>
  <c r="I463" i="24"/>
  <c r="V463" i="24" s="1"/>
  <c r="K462" i="24"/>
  <c r="X462" i="24" s="1"/>
  <c r="J462" i="24"/>
  <c r="W462" i="24" s="1"/>
  <c r="I462" i="24"/>
  <c r="V462" i="24" s="1"/>
  <c r="K461" i="24"/>
  <c r="X461" i="24" s="1"/>
  <c r="J461" i="24"/>
  <c r="W461" i="24" s="1"/>
  <c r="I461" i="24"/>
  <c r="V461" i="24" s="1"/>
  <c r="L460" i="24"/>
  <c r="Z460" i="24" s="1"/>
  <c r="K460" i="24"/>
  <c r="J460" i="24"/>
  <c r="I460" i="24"/>
  <c r="L459" i="24"/>
  <c r="Z459" i="24" s="1"/>
  <c r="K459" i="24"/>
  <c r="J459" i="24"/>
  <c r="I459" i="24"/>
  <c r="L458" i="24"/>
  <c r="K458" i="24"/>
  <c r="J458" i="24"/>
  <c r="I458" i="24"/>
  <c r="L457" i="24"/>
  <c r="C457" i="24" s="1"/>
  <c r="K457" i="24"/>
  <c r="J457" i="24"/>
  <c r="I457" i="24"/>
  <c r="L456" i="24"/>
  <c r="K456" i="24"/>
  <c r="J456" i="24"/>
  <c r="I456" i="24"/>
  <c r="L455" i="24"/>
  <c r="K455" i="24"/>
  <c r="J455" i="24"/>
  <c r="I455" i="24"/>
  <c r="L454" i="24"/>
  <c r="K454" i="24"/>
  <c r="J454" i="24"/>
  <c r="I454" i="24"/>
  <c r="L453" i="24"/>
  <c r="K453" i="24"/>
  <c r="J453" i="24"/>
  <c r="L452" i="24"/>
  <c r="K452" i="24"/>
  <c r="J452" i="24"/>
  <c r="I452" i="24"/>
  <c r="K451" i="24"/>
  <c r="L450" i="24"/>
  <c r="K450" i="24"/>
  <c r="J450" i="24"/>
  <c r="I450" i="24"/>
  <c r="H458" i="24"/>
  <c r="G458" i="24"/>
  <c r="T458" i="24" s="1"/>
  <c r="H457" i="24"/>
  <c r="G457" i="24"/>
  <c r="T457" i="24" s="1"/>
  <c r="H456" i="24"/>
  <c r="G456" i="24"/>
  <c r="T456" i="24" s="1"/>
  <c r="H455" i="24"/>
  <c r="G455" i="24"/>
  <c r="T455" i="24" s="1"/>
  <c r="H454" i="24"/>
  <c r="G454" i="24"/>
  <c r="T454" i="24" s="1"/>
  <c r="G453" i="24"/>
  <c r="T453" i="24" s="1"/>
  <c r="H452" i="24"/>
  <c r="G452" i="24"/>
  <c r="T452" i="24" s="1"/>
  <c r="G451" i="24"/>
  <c r="T451" i="24" s="1"/>
  <c r="H450" i="24"/>
  <c r="G450" i="24"/>
  <c r="T450" i="24" s="1"/>
  <c r="F476" i="24"/>
  <c r="F475" i="24"/>
  <c r="F474" i="24"/>
  <c r="F473" i="24"/>
  <c r="F472" i="24"/>
  <c r="F471" i="24"/>
  <c r="F470" i="24"/>
  <c r="F469" i="24"/>
  <c r="F468" i="24"/>
  <c r="F467" i="24"/>
  <c r="F465" i="24"/>
  <c r="F464" i="24"/>
  <c r="F462" i="24"/>
  <c r="S462" i="24" s="1"/>
  <c r="F461" i="24"/>
  <c r="S461" i="24" s="1"/>
  <c r="F460" i="24"/>
  <c r="F459" i="24"/>
  <c r="F458" i="24"/>
  <c r="F457" i="24"/>
  <c r="F456" i="24"/>
  <c r="F455" i="24"/>
  <c r="F454" i="24"/>
  <c r="F453" i="24"/>
  <c r="F452" i="24"/>
  <c r="F451" i="24"/>
  <c r="F450" i="24"/>
  <c r="E476" i="24"/>
  <c r="E475" i="24"/>
  <c r="E474" i="24"/>
  <c r="E473" i="24"/>
  <c r="E472" i="24"/>
  <c r="E471" i="24"/>
  <c r="E470" i="24"/>
  <c r="E469" i="24"/>
  <c r="E468" i="24"/>
  <c r="E467" i="24"/>
  <c r="E465" i="24"/>
  <c r="E464" i="24"/>
  <c r="E463" i="24"/>
  <c r="R463" i="24" s="1"/>
  <c r="E462" i="24"/>
  <c r="R462" i="24" s="1"/>
  <c r="E461" i="24"/>
  <c r="R461" i="24" s="1"/>
  <c r="E460" i="24"/>
  <c r="E459" i="24"/>
  <c r="E458" i="24"/>
  <c r="E457" i="24"/>
  <c r="E456" i="24"/>
  <c r="E455" i="24"/>
  <c r="E454" i="24"/>
  <c r="E453" i="24"/>
  <c r="E452" i="24"/>
  <c r="E450" i="24"/>
  <c r="E493" i="24"/>
  <c r="E492" i="24"/>
  <c r="E491" i="24"/>
  <c r="E490" i="24"/>
  <c r="E489" i="24"/>
  <c r="E488" i="24"/>
  <c r="L449" i="24"/>
  <c r="Y449" i="24" s="1"/>
  <c r="R474" i="24" l="1"/>
  <c r="U454" i="24"/>
  <c r="B50" i="26"/>
  <c r="C66" i="5"/>
  <c r="R492" i="24"/>
  <c r="R493" i="24"/>
  <c r="R460" i="24"/>
  <c r="R491" i="24"/>
  <c r="R488" i="24"/>
  <c r="R489" i="24"/>
  <c r="R490" i="24"/>
  <c r="X458" i="24"/>
  <c r="U940" i="24"/>
  <c r="X470" i="24"/>
  <c r="X472" i="24"/>
  <c r="X474" i="24"/>
  <c r="X476" i="24"/>
  <c r="U458" i="24"/>
  <c r="X460" i="24"/>
  <c r="X452" i="24"/>
  <c r="X469" i="24"/>
  <c r="X471" i="24"/>
  <c r="X473" i="24"/>
  <c r="X475" i="24"/>
  <c r="V854" i="24"/>
  <c r="U922" i="24"/>
  <c r="V866" i="24"/>
  <c r="U934" i="24"/>
  <c r="V878" i="24"/>
  <c r="U944" i="24"/>
  <c r="V868" i="24"/>
  <c r="U936" i="24"/>
  <c r="V877" i="24"/>
  <c r="U943" i="24"/>
  <c r="V852" i="24"/>
  <c r="U920" i="24"/>
  <c r="V853" i="24"/>
  <c r="U921" i="24"/>
  <c r="V845" i="24"/>
  <c r="U913" i="24"/>
  <c r="V838" i="24"/>
  <c r="U908" i="24"/>
  <c r="V849" i="24"/>
  <c r="U917" i="24"/>
  <c r="V856" i="24"/>
  <c r="U924" i="24"/>
  <c r="V860" i="24"/>
  <c r="U928" i="24"/>
  <c r="V844" i="24"/>
  <c r="U912" i="24"/>
  <c r="V863" i="24"/>
  <c r="U931" i="24"/>
  <c r="V832" i="24"/>
  <c r="U902" i="24"/>
  <c r="V847" i="24"/>
  <c r="U915" i="24"/>
  <c r="V869" i="24"/>
  <c r="U937" i="24"/>
  <c r="V875" i="24"/>
  <c r="U941" i="24"/>
  <c r="V864" i="24"/>
  <c r="U932" i="24"/>
  <c r="V835" i="24"/>
  <c r="U905" i="24"/>
  <c r="V859" i="24"/>
  <c r="U927" i="24"/>
  <c r="V848" i="24"/>
  <c r="U916" i="24"/>
  <c r="V841" i="24"/>
  <c r="U911" i="24"/>
  <c r="X456" i="24"/>
  <c r="Q456" i="24"/>
  <c r="X450" i="24"/>
  <c r="Q450" i="24"/>
  <c r="X453" i="24"/>
  <c r="X455" i="24"/>
  <c r="X457" i="24"/>
  <c r="X459" i="24"/>
  <c r="V881" i="24"/>
  <c r="U946" i="24"/>
  <c r="V873" i="24"/>
  <c r="U939" i="24"/>
  <c r="V833" i="24"/>
  <c r="U903" i="24"/>
  <c r="V822" i="24"/>
  <c r="U895" i="24"/>
  <c r="V880" i="24"/>
  <c r="V840" i="24"/>
  <c r="U910" i="24"/>
  <c r="V861" i="24"/>
  <c r="U929" i="24"/>
  <c r="V865" i="24"/>
  <c r="U933" i="24"/>
  <c r="V830" i="24"/>
  <c r="U900" i="24"/>
  <c r="V846" i="24"/>
  <c r="U914" i="24"/>
  <c r="V836" i="24"/>
  <c r="U906" i="24"/>
  <c r="V862" i="24"/>
  <c r="U930" i="24"/>
  <c r="X454" i="24"/>
  <c r="Q454" i="24"/>
  <c r="V851" i="24"/>
  <c r="U919" i="24"/>
  <c r="V871" i="24"/>
  <c r="U938" i="24"/>
  <c r="V867" i="24"/>
  <c r="U935" i="24"/>
  <c r="V831" i="24"/>
  <c r="U901" i="24"/>
  <c r="V839" i="24"/>
  <c r="U909" i="24"/>
  <c r="V850" i="24"/>
  <c r="U918" i="24"/>
  <c r="V874" i="24"/>
  <c r="V855" i="24"/>
  <c r="U923" i="24"/>
  <c r="V857" i="24"/>
  <c r="U925" i="24"/>
  <c r="W876" i="24"/>
  <c r="V942" i="24"/>
  <c r="V879" i="24"/>
  <c r="U945" i="24"/>
  <c r="V837" i="24"/>
  <c r="U907" i="24"/>
  <c r="V858" i="24"/>
  <c r="U926" i="24"/>
  <c r="U450" i="24"/>
  <c r="U452" i="24"/>
  <c r="R475" i="24"/>
  <c r="V821" i="24"/>
  <c r="U826" i="24"/>
  <c r="R464" i="24"/>
  <c r="U456" i="24"/>
  <c r="U457" i="24"/>
  <c r="U455" i="24"/>
  <c r="C491" i="24"/>
  <c r="P491" i="24" s="1"/>
  <c r="C490" i="24"/>
  <c r="P490" i="24" s="1"/>
  <c r="R465" i="24"/>
  <c r="C492" i="24"/>
  <c r="P492" i="24" s="1"/>
  <c r="Q485" i="24"/>
  <c r="C485" i="24"/>
  <c r="P485" i="24" s="1"/>
  <c r="C493" i="24"/>
  <c r="P493" i="24" s="1"/>
  <c r="C486" i="24"/>
  <c r="P486" i="24" s="1"/>
  <c r="Q486" i="24"/>
  <c r="C487" i="24"/>
  <c r="P487" i="24" s="1"/>
  <c r="Q487" i="24"/>
  <c r="C488" i="24"/>
  <c r="P488" i="24" s="1"/>
  <c r="C489" i="24"/>
  <c r="P489" i="24" s="1"/>
  <c r="R458" i="24"/>
  <c r="R467" i="24"/>
  <c r="R457" i="24"/>
  <c r="R468" i="24"/>
  <c r="R452" i="24"/>
  <c r="R469" i="24"/>
  <c r="R450" i="24"/>
  <c r="R470" i="24"/>
  <c r="R459" i="24"/>
  <c r="R453" i="24"/>
  <c r="R476" i="24"/>
  <c r="R455" i="24"/>
  <c r="R472" i="24"/>
  <c r="Y485" i="24"/>
  <c r="Y493" i="24"/>
  <c r="Y486" i="24"/>
  <c r="W458" i="24"/>
  <c r="S458" i="24"/>
  <c r="Y458" i="24"/>
  <c r="C458" i="24"/>
  <c r="P458" i="24" s="1"/>
  <c r="V458" i="24"/>
  <c r="Q458" i="24"/>
  <c r="Y452" i="24"/>
  <c r="C452" i="24"/>
  <c r="P452" i="24" s="1"/>
  <c r="V452" i="24"/>
  <c r="W452" i="24"/>
  <c r="S452" i="24"/>
  <c r="Q452" i="24"/>
  <c r="V469" i="24"/>
  <c r="Y469" i="24"/>
  <c r="C469" i="24"/>
  <c r="P469" i="24" s="1"/>
  <c r="W469" i="24"/>
  <c r="S469" i="24"/>
  <c r="Q469" i="24"/>
  <c r="Y471" i="24"/>
  <c r="W471" i="24"/>
  <c r="S471" i="24"/>
  <c r="C471" i="24"/>
  <c r="P471" i="24" s="1"/>
  <c r="V471" i="24"/>
  <c r="Q471" i="24"/>
  <c r="C473" i="24"/>
  <c r="P473" i="24" s="1"/>
  <c r="V473" i="24"/>
  <c r="Y473" i="24"/>
  <c r="W473" i="24"/>
  <c r="S473" i="24"/>
  <c r="Q473" i="24"/>
  <c r="S475" i="24"/>
  <c r="Y475" i="24"/>
  <c r="W475" i="24"/>
  <c r="C475" i="24"/>
  <c r="P475" i="24" s="1"/>
  <c r="V475" i="24"/>
  <c r="Q475" i="24"/>
  <c r="Y488" i="24"/>
  <c r="C456" i="24"/>
  <c r="P456" i="24" s="1"/>
  <c r="V456" i="24"/>
  <c r="S456" i="24"/>
  <c r="W456" i="24"/>
  <c r="Y456" i="24"/>
  <c r="R454" i="24"/>
  <c r="R471" i="24"/>
  <c r="C464" i="24"/>
  <c r="P464" i="24" s="1"/>
  <c r="Y464" i="24"/>
  <c r="S464" i="24"/>
  <c r="Q464" i="24"/>
  <c r="Y489" i="24"/>
  <c r="Y465" i="24"/>
  <c r="S465" i="24"/>
  <c r="C465" i="24"/>
  <c r="P465" i="24" s="1"/>
  <c r="Q465" i="24"/>
  <c r="Y490" i="24"/>
  <c r="Y454" i="24"/>
  <c r="W454" i="24"/>
  <c r="S454" i="24"/>
  <c r="V454" i="24"/>
  <c r="C454" i="24"/>
  <c r="P454" i="24" s="1"/>
  <c r="R456" i="24"/>
  <c r="R473" i="24"/>
  <c r="W450" i="24"/>
  <c r="S450" i="24"/>
  <c r="Y450" i="24"/>
  <c r="V450" i="24"/>
  <c r="C450" i="24"/>
  <c r="P450" i="24" s="1"/>
  <c r="Y453" i="24"/>
  <c r="W453" i="24"/>
  <c r="S453" i="24"/>
  <c r="Q453" i="24"/>
  <c r="C453" i="24"/>
  <c r="P453" i="24" s="1"/>
  <c r="Y455" i="24"/>
  <c r="C455" i="24"/>
  <c r="P455" i="24" s="1"/>
  <c r="W455" i="24"/>
  <c r="S455" i="24"/>
  <c r="V455" i="24"/>
  <c r="Q455" i="24"/>
  <c r="V457" i="24"/>
  <c r="Y457" i="24"/>
  <c r="S457" i="24"/>
  <c r="P457" i="24"/>
  <c r="W457" i="24"/>
  <c r="Q457" i="24"/>
  <c r="W459" i="24"/>
  <c r="S459" i="24"/>
  <c r="Y459" i="24"/>
  <c r="C459" i="24"/>
  <c r="P459" i="24" s="1"/>
  <c r="V459" i="24"/>
  <c r="Q459" i="24"/>
  <c r="S467" i="24"/>
  <c r="Q467" i="24"/>
  <c r="Y467" i="24"/>
  <c r="C467" i="24"/>
  <c r="P467" i="24" s="1"/>
  <c r="Y491" i="24"/>
  <c r="Y460" i="24"/>
  <c r="C460" i="24"/>
  <c r="P460" i="24" s="1"/>
  <c r="V460" i="24"/>
  <c r="S460" i="24"/>
  <c r="W460" i="24"/>
  <c r="Q460" i="24"/>
  <c r="Y487" i="24"/>
  <c r="S468" i="24"/>
  <c r="Y468" i="24"/>
  <c r="C468" i="24"/>
  <c r="P468" i="24" s="1"/>
  <c r="Q468" i="24"/>
  <c r="V470" i="24"/>
  <c r="Y470" i="24"/>
  <c r="S470" i="24"/>
  <c r="Q470" i="24"/>
  <c r="W470" i="24"/>
  <c r="C470" i="24"/>
  <c r="P470" i="24" s="1"/>
  <c r="Y472" i="24"/>
  <c r="W472" i="24"/>
  <c r="C472" i="24"/>
  <c r="P472" i="24" s="1"/>
  <c r="S472" i="24"/>
  <c r="Q472" i="24"/>
  <c r="V472" i="24"/>
  <c r="V474" i="24"/>
  <c r="Y474" i="24"/>
  <c r="W474" i="24"/>
  <c r="S474" i="24"/>
  <c r="C474" i="24"/>
  <c r="P474" i="24" s="1"/>
  <c r="Q474" i="24"/>
  <c r="S476" i="24"/>
  <c r="Q476" i="24"/>
  <c r="Y476" i="24"/>
  <c r="W476" i="24"/>
  <c r="C476" i="24"/>
  <c r="P476" i="24" s="1"/>
  <c r="V476" i="24"/>
  <c r="Y492" i="24"/>
  <c r="K449" i="24"/>
  <c r="J449" i="24"/>
  <c r="W449" i="24" s="1"/>
  <c r="I449" i="24"/>
  <c r="V449" i="24" s="1"/>
  <c r="H449" i="24"/>
  <c r="U449" i="24" s="1"/>
  <c r="G449" i="24"/>
  <c r="T449" i="24" s="1"/>
  <c r="F449" i="24"/>
  <c r="S449" i="24" s="1"/>
  <c r="E449" i="24"/>
  <c r="R449" i="24" s="1"/>
  <c r="D449" i="24"/>
  <c r="Q449" i="24" s="1"/>
  <c r="B51" i="26" l="1"/>
  <c r="C67" i="5"/>
  <c r="V940" i="24"/>
  <c r="W858" i="24"/>
  <c r="V926" i="24"/>
  <c r="W857" i="24"/>
  <c r="V925" i="24"/>
  <c r="W839" i="24"/>
  <c r="V909" i="24"/>
  <c r="W851" i="24"/>
  <c r="V919" i="24"/>
  <c r="W846" i="24"/>
  <c r="V914" i="24"/>
  <c r="W840" i="24"/>
  <c r="V910" i="24"/>
  <c r="W873" i="24"/>
  <c r="V939" i="24"/>
  <c r="W859" i="24"/>
  <c r="V927" i="24"/>
  <c r="W869" i="24"/>
  <c r="V937" i="24"/>
  <c r="W844" i="24"/>
  <c r="V912" i="24"/>
  <c r="W849" i="24"/>
  <c r="V917" i="24"/>
  <c r="W852" i="24"/>
  <c r="V920" i="24"/>
  <c r="W866" i="24"/>
  <c r="V934" i="24"/>
  <c r="W880" i="24"/>
  <c r="W835" i="24"/>
  <c r="V905" i="24"/>
  <c r="W847" i="24"/>
  <c r="V915" i="24"/>
  <c r="W877" i="24"/>
  <c r="V943" i="24"/>
  <c r="W879" i="24"/>
  <c r="V945" i="24"/>
  <c r="W874" i="24"/>
  <c r="W867" i="24"/>
  <c r="V935" i="24"/>
  <c r="W862" i="24"/>
  <c r="V930" i="24"/>
  <c r="W865" i="24"/>
  <c r="V933" i="24"/>
  <c r="W822" i="24"/>
  <c r="V895" i="24"/>
  <c r="W841" i="24"/>
  <c r="V911" i="24"/>
  <c r="W864" i="24"/>
  <c r="V932" i="24"/>
  <c r="W832" i="24"/>
  <c r="V902" i="24"/>
  <c r="W845" i="24"/>
  <c r="V913" i="24"/>
  <c r="W868" i="24"/>
  <c r="V936" i="24"/>
  <c r="W831" i="24"/>
  <c r="V901" i="24"/>
  <c r="W860" i="24"/>
  <c r="V928" i="24"/>
  <c r="W837" i="24"/>
  <c r="V907" i="24"/>
  <c r="W830" i="24"/>
  <c r="V900" i="24"/>
  <c r="W881" i="24"/>
  <c r="V946" i="24"/>
  <c r="W854" i="24"/>
  <c r="V922" i="24"/>
  <c r="X876" i="24"/>
  <c r="X942" i="24" s="1"/>
  <c r="W942" i="24"/>
  <c r="W850" i="24"/>
  <c r="V918" i="24"/>
  <c r="W871" i="24"/>
  <c r="V938" i="24"/>
  <c r="W836" i="24"/>
  <c r="V906" i="24"/>
  <c r="W861" i="24"/>
  <c r="V929" i="24"/>
  <c r="W833" i="24"/>
  <c r="V903" i="24"/>
  <c r="W848" i="24"/>
  <c r="V916" i="24"/>
  <c r="W875" i="24"/>
  <c r="V941" i="24"/>
  <c r="W863" i="24"/>
  <c r="V931" i="24"/>
  <c r="W856" i="24"/>
  <c r="V924" i="24"/>
  <c r="W853" i="24"/>
  <c r="V921" i="24"/>
  <c r="W878" i="24"/>
  <c r="V944" i="24"/>
  <c r="W855" i="24"/>
  <c r="V923" i="24"/>
  <c r="W838" i="24"/>
  <c r="V908" i="24"/>
  <c r="W821" i="24"/>
  <c r="V826" i="24"/>
  <c r="D445" i="24"/>
  <c r="D444" i="24"/>
  <c r="M444" i="24" s="1"/>
  <c r="D443" i="24"/>
  <c r="D442" i="24"/>
  <c r="D441" i="24"/>
  <c r="D440" i="24"/>
  <c r="D438" i="24"/>
  <c r="I438" i="24" s="1"/>
  <c r="D437" i="24"/>
  <c r="D436" i="24"/>
  <c r="D435" i="24"/>
  <c r="M435" i="24" s="1"/>
  <c r="D434" i="24"/>
  <c r="M434" i="24" s="1"/>
  <c r="D433" i="24"/>
  <c r="M433" i="24" s="1"/>
  <c r="D432" i="24"/>
  <c r="D430" i="24"/>
  <c r="D429" i="24"/>
  <c r="M429" i="24" s="1"/>
  <c r="D428" i="24"/>
  <c r="M428" i="24" s="1"/>
  <c r="D427" i="24"/>
  <c r="D426" i="24"/>
  <c r="D425" i="24"/>
  <c r="D424" i="24"/>
  <c r="D423" i="24"/>
  <c r="D422" i="24"/>
  <c r="D421" i="24"/>
  <c r="D420" i="24"/>
  <c r="D419" i="24"/>
  <c r="D418" i="24"/>
  <c r="D417" i="24"/>
  <c r="D416" i="24"/>
  <c r="D415" i="24"/>
  <c r="D414" i="24"/>
  <c r="D413" i="24"/>
  <c r="M413" i="24" s="1"/>
  <c r="D412" i="24"/>
  <c r="D411" i="24"/>
  <c r="D410" i="24"/>
  <c r="D409" i="24"/>
  <c r="D408" i="24"/>
  <c r="D407" i="24"/>
  <c r="D406" i="24"/>
  <c r="D405" i="24"/>
  <c r="D404" i="24"/>
  <c r="D403" i="24"/>
  <c r="D400" i="24"/>
  <c r="M400" i="24" s="1"/>
  <c r="D399" i="24"/>
  <c r="D396" i="24"/>
  <c r="M396" i="24" s="1"/>
  <c r="D395" i="24"/>
  <c r="D394" i="24"/>
  <c r="D393" i="24"/>
  <c r="D392" i="24"/>
  <c r="D391" i="24"/>
  <c r="D390" i="24"/>
  <c r="M390" i="24" s="1"/>
  <c r="D388" i="24"/>
  <c r="I388" i="24" s="1"/>
  <c r="D387" i="24"/>
  <c r="I387" i="24" s="1"/>
  <c r="D386" i="24"/>
  <c r="I386" i="24" s="1"/>
  <c r="D398" i="24"/>
  <c r="M398" i="24" s="1"/>
  <c r="D397" i="24"/>
  <c r="M397" i="24" s="1"/>
  <c r="D385" i="24"/>
  <c r="I385" i="24" s="1"/>
  <c r="B52" i="26" l="1"/>
  <c r="C68" i="5"/>
  <c r="W940" i="24"/>
  <c r="M430" i="24"/>
  <c r="I430" i="24"/>
  <c r="M432" i="24"/>
  <c r="I432" i="24"/>
  <c r="I399" i="24"/>
  <c r="I412" i="24"/>
  <c r="X855" i="24"/>
  <c r="X923" i="24" s="1"/>
  <c r="W923" i="24"/>
  <c r="X863" i="24"/>
  <c r="X931" i="24" s="1"/>
  <c r="W931" i="24"/>
  <c r="X861" i="24"/>
  <c r="X929" i="24" s="1"/>
  <c r="W929" i="24"/>
  <c r="X837" i="24"/>
  <c r="X907" i="24" s="1"/>
  <c r="W907" i="24"/>
  <c r="X845" i="24"/>
  <c r="X913" i="24" s="1"/>
  <c r="W913" i="24"/>
  <c r="X822" i="24"/>
  <c r="X895" i="24" s="1"/>
  <c r="W895" i="24"/>
  <c r="X874" i="24"/>
  <c r="X835" i="24"/>
  <c r="X905" i="24" s="1"/>
  <c r="W905" i="24"/>
  <c r="X852" i="24"/>
  <c r="X920" i="24" s="1"/>
  <c r="W920" i="24"/>
  <c r="X859" i="24"/>
  <c r="X927" i="24" s="1"/>
  <c r="W927" i="24"/>
  <c r="X851" i="24"/>
  <c r="X919" i="24" s="1"/>
  <c r="W919" i="24"/>
  <c r="X878" i="24"/>
  <c r="X944" i="24" s="1"/>
  <c r="W944" i="24"/>
  <c r="X875" i="24"/>
  <c r="X941" i="24" s="1"/>
  <c r="W941" i="24"/>
  <c r="X836" i="24"/>
  <c r="X906" i="24" s="1"/>
  <c r="W906" i="24"/>
  <c r="X854" i="24"/>
  <c r="X922" i="24" s="1"/>
  <c r="W922" i="24"/>
  <c r="X860" i="24"/>
  <c r="X928" i="24" s="1"/>
  <c r="W928" i="24"/>
  <c r="X832" i="24"/>
  <c r="X902" i="24" s="1"/>
  <c r="W902" i="24"/>
  <c r="X865" i="24"/>
  <c r="X933" i="24" s="1"/>
  <c r="W933" i="24"/>
  <c r="X879" i="24"/>
  <c r="X945" i="24" s="1"/>
  <c r="W945" i="24"/>
  <c r="X880" i="24"/>
  <c r="X849" i="24"/>
  <c r="X917" i="24" s="1"/>
  <c r="W917" i="24"/>
  <c r="X873" i="24"/>
  <c r="X939" i="24" s="1"/>
  <c r="W939" i="24"/>
  <c r="X839" i="24"/>
  <c r="X909" i="24" s="1"/>
  <c r="W909" i="24"/>
  <c r="X853" i="24"/>
  <c r="X921" i="24" s="1"/>
  <c r="W921" i="24"/>
  <c r="X848" i="24"/>
  <c r="X916" i="24" s="1"/>
  <c r="W916" i="24"/>
  <c r="X871" i="24"/>
  <c r="X938" i="24" s="1"/>
  <c r="W938" i="24"/>
  <c r="X881" i="24"/>
  <c r="X946" i="24" s="1"/>
  <c r="W946" i="24"/>
  <c r="X831" i="24"/>
  <c r="X901" i="24" s="1"/>
  <c r="W901" i="24"/>
  <c r="X864" i="24"/>
  <c r="X932" i="24" s="1"/>
  <c r="W932" i="24"/>
  <c r="X862" i="24"/>
  <c r="X930" i="24" s="1"/>
  <c r="W930" i="24"/>
  <c r="X877" i="24"/>
  <c r="X943" i="24" s="1"/>
  <c r="W943" i="24"/>
  <c r="X844" i="24"/>
  <c r="X912" i="24" s="1"/>
  <c r="W912" i="24"/>
  <c r="X840" i="24"/>
  <c r="X910" i="24" s="1"/>
  <c r="W910" i="24"/>
  <c r="X857" i="24"/>
  <c r="X925" i="24" s="1"/>
  <c r="W925" i="24"/>
  <c r="X838" i="24"/>
  <c r="X908" i="24" s="1"/>
  <c r="W908" i="24"/>
  <c r="X856" i="24"/>
  <c r="X924" i="24" s="1"/>
  <c r="W924" i="24"/>
  <c r="X833" i="24"/>
  <c r="X903" i="24" s="1"/>
  <c r="W903" i="24"/>
  <c r="X850" i="24"/>
  <c r="X918" i="24" s="1"/>
  <c r="W918" i="24"/>
  <c r="X830" i="24"/>
  <c r="X900" i="24" s="1"/>
  <c r="W900" i="24"/>
  <c r="X868" i="24"/>
  <c r="X936" i="24" s="1"/>
  <c r="W936" i="24"/>
  <c r="X841" i="24"/>
  <c r="X911" i="24" s="1"/>
  <c r="W911" i="24"/>
  <c r="X867" i="24"/>
  <c r="X935" i="24" s="1"/>
  <c r="W935" i="24"/>
  <c r="X847" i="24"/>
  <c r="X915" i="24" s="1"/>
  <c r="W915" i="24"/>
  <c r="X866" i="24"/>
  <c r="X934" i="24" s="1"/>
  <c r="W934" i="24"/>
  <c r="X869" i="24"/>
  <c r="X937" i="24" s="1"/>
  <c r="W937" i="24"/>
  <c r="X846" i="24"/>
  <c r="X914" i="24" s="1"/>
  <c r="W914" i="24"/>
  <c r="X858" i="24"/>
  <c r="X926" i="24" s="1"/>
  <c r="W926" i="24"/>
  <c r="X821" i="24"/>
  <c r="W826" i="24"/>
  <c r="M438" i="24"/>
  <c r="M399" i="24"/>
  <c r="M412" i="24"/>
  <c r="I445" i="24"/>
  <c r="I443" i="24"/>
  <c r="I442" i="24"/>
  <c r="I441" i="24"/>
  <c r="I440" i="24"/>
  <c r="I437" i="24"/>
  <c r="I436" i="24"/>
  <c r="I427" i="24"/>
  <c r="I426" i="24"/>
  <c r="I425" i="24"/>
  <c r="I424" i="24"/>
  <c r="I423" i="24"/>
  <c r="I422" i="24"/>
  <c r="I421" i="24"/>
  <c r="I420" i="24"/>
  <c r="I419" i="24"/>
  <c r="I418" i="24"/>
  <c r="I417" i="24"/>
  <c r="I416" i="24"/>
  <c r="I415" i="24"/>
  <c r="I414" i="24"/>
  <c r="I411" i="24"/>
  <c r="I410" i="24"/>
  <c r="I409" i="24"/>
  <c r="I408" i="24"/>
  <c r="I407" i="24"/>
  <c r="I406" i="24"/>
  <c r="I405" i="24"/>
  <c r="I404" i="24"/>
  <c r="I403" i="24"/>
  <c r="I395" i="24"/>
  <c r="I394" i="24"/>
  <c r="I393" i="24"/>
  <c r="I392" i="24"/>
  <c r="I391" i="24"/>
  <c r="D380" i="24"/>
  <c r="I380" i="24" s="1"/>
  <c r="D379" i="24"/>
  <c r="I379" i="24" s="1"/>
  <c r="D378" i="24"/>
  <c r="I378" i="24" s="1"/>
  <c r="D377" i="24"/>
  <c r="I377" i="24" s="1"/>
  <c r="D376" i="24"/>
  <c r="I376" i="24" s="1"/>
  <c r="D375" i="24"/>
  <c r="I375" i="24" s="1"/>
  <c r="D374" i="24"/>
  <c r="I374" i="24" s="1"/>
  <c r="D373" i="24"/>
  <c r="I373" i="24" s="1"/>
  <c r="D372" i="24"/>
  <c r="I372" i="24" s="1"/>
  <c r="D371" i="24"/>
  <c r="I371" i="24" s="1"/>
  <c r="D370" i="24"/>
  <c r="I370" i="24" s="1"/>
  <c r="D369" i="24"/>
  <c r="I369" i="24" s="1"/>
  <c r="D368" i="24"/>
  <c r="I368" i="24" s="1"/>
  <c r="D367" i="24"/>
  <c r="I367" i="24" s="1"/>
  <c r="D366" i="24"/>
  <c r="I366" i="24" s="1"/>
  <c r="D365" i="24"/>
  <c r="I365" i="24" s="1"/>
  <c r="D364" i="24"/>
  <c r="I364" i="24" s="1"/>
  <c r="D363" i="24"/>
  <c r="I363" i="24" s="1"/>
  <c r="D362" i="24"/>
  <c r="I362" i="24" s="1"/>
  <c r="D361" i="24"/>
  <c r="I361" i="24" s="1"/>
  <c r="D360" i="24"/>
  <c r="I360" i="24" s="1"/>
  <c r="D359" i="24"/>
  <c r="I359" i="24" s="1"/>
  <c r="D358" i="24"/>
  <c r="I358" i="24" s="1"/>
  <c r="D357" i="24"/>
  <c r="I357" i="24" s="1"/>
  <c r="D356" i="24"/>
  <c r="I356" i="24" s="1"/>
  <c r="D355" i="24"/>
  <c r="I355" i="24" s="1"/>
  <c r="D354" i="24"/>
  <c r="I354" i="24" s="1"/>
  <c r="D353" i="24"/>
  <c r="I353" i="24" s="1"/>
  <c r="D352" i="24"/>
  <c r="I352" i="24" s="1"/>
  <c r="D351" i="24"/>
  <c r="I351" i="24" s="1"/>
  <c r="D349" i="24"/>
  <c r="I349" i="24" s="1"/>
  <c r="AA25" i="24" s="1"/>
  <c r="D348" i="24"/>
  <c r="I348" i="24" s="1"/>
  <c r="AA18" i="24" s="1"/>
  <c r="D347" i="24"/>
  <c r="I347" i="24" s="1"/>
  <c r="AA17" i="24" s="1"/>
  <c r="D346" i="24"/>
  <c r="I346" i="24" s="1"/>
  <c r="AA16" i="24" s="1"/>
  <c r="D345" i="24"/>
  <c r="I345" i="24" s="1"/>
  <c r="AA15" i="24" s="1"/>
  <c r="D344" i="24"/>
  <c r="I344" i="24" s="1"/>
  <c r="AA14" i="24" s="1"/>
  <c r="D350" i="24"/>
  <c r="I350" i="24" s="1"/>
  <c r="AA26" i="24" s="1"/>
  <c r="D343" i="24"/>
  <c r="I343" i="24" s="1"/>
  <c r="D342" i="24"/>
  <c r="I342" i="24" s="1"/>
  <c r="D341" i="24"/>
  <c r="I341" i="24" s="1"/>
  <c r="D340" i="24"/>
  <c r="I340" i="24" s="1"/>
  <c r="B53" i="26" l="1"/>
  <c r="C69" i="5"/>
  <c r="X940" i="24"/>
  <c r="X826" i="24"/>
  <c r="L335" i="24"/>
  <c r="AI335" i="24" s="1"/>
  <c r="L334" i="24"/>
  <c r="L333" i="24"/>
  <c r="L332" i="24"/>
  <c r="AI332" i="24" s="1"/>
  <c r="L331" i="24"/>
  <c r="L330" i="24"/>
  <c r="L329" i="24"/>
  <c r="AI329" i="24" s="1"/>
  <c r="L328" i="24"/>
  <c r="AI328" i="24" s="1"/>
  <c r="L327" i="24"/>
  <c r="AI327" i="24" s="1"/>
  <c r="L326" i="24"/>
  <c r="L325" i="24"/>
  <c r="G335" i="24"/>
  <c r="AH335" i="24" s="1"/>
  <c r="F335" i="24"/>
  <c r="E335" i="24"/>
  <c r="D335" i="24"/>
  <c r="G334" i="24"/>
  <c r="F334" i="24"/>
  <c r="E334" i="24"/>
  <c r="D334" i="24"/>
  <c r="G333" i="24"/>
  <c r="F333" i="24"/>
  <c r="E333" i="24"/>
  <c r="D333" i="24"/>
  <c r="G332" i="24"/>
  <c r="AH332" i="24" s="1"/>
  <c r="F332" i="24"/>
  <c r="E332" i="24"/>
  <c r="D332" i="24"/>
  <c r="G331" i="24"/>
  <c r="AH331" i="24" s="1"/>
  <c r="F331" i="24"/>
  <c r="E331" i="24"/>
  <c r="D331" i="24"/>
  <c r="G330" i="24"/>
  <c r="AH330" i="24" s="1"/>
  <c r="F330" i="24"/>
  <c r="E330" i="24"/>
  <c r="D330" i="24"/>
  <c r="G329" i="24"/>
  <c r="F329" i="24"/>
  <c r="E329" i="24"/>
  <c r="D329" i="24"/>
  <c r="G328" i="24"/>
  <c r="F328" i="24"/>
  <c r="E328" i="24"/>
  <c r="D328" i="24"/>
  <c r="G327" i="24"/>
  <c r="AH327" i="24" s="1"/>
  <c r="F327" i="24"/>
  <c r="E327" i="24"/>
  <c r="D327" i="24"/>
  <c r="G326" i="24"/>
  <c r="F326" i="24"/>
  <c r="E326" i="24"/>
  <c r="D326" i="24"/>
  <c r="AF326" i="24" s="1"/>
  <c r="G325" i="24"/>
  <c r="F325" i="24"/>
  <c r="E325" i="24"/>
  <c r="D325" i="24"/>
  <c r="AF325" i="24" s="1"/>
  <c r="B54" i="26" l="1"/>
  <c r="C70" i="5"/>
  <c r="AG327" i="24"/>
  <c r="U327" i="24"/>
  <c r="T327" i="24"/>
  <c r="Z327" i="24"/>
  <c r="S327" i="24"/>
  <c r="R327" i="24"/>
  <c r="Z331" i="24"/>
  <c r="S331" i="24"/>
  <c r="R331" i="24"/>
  <c r="T331" i="24"/>
  <c r="U331" i="24"/>
  <c r="AG333" i="24"/>
  <c r="U333" i="24"/>
  <c r="Z333" i="24"/>
  <c r="T333" i="24"/>
  <c r="S333" i="24"/>
  <c r="R333" i="24"/>
  <c r="AG325" i="24"/>
  <c r="U325" i="24"/>
  <c r="T325" i="24"/>
  <c r="S325" i="24"/>
  <c r="Z325" i="24"/>
  <c r="R325" i="24"/>
  <c r="AG330" i="24"/>
  <c r="U330" i="24"/>
  <c r="T330" i="24"/>
  <c r="S330" i="24"/>
  <c r="R330" i="24"/>
  <c r="Z330" i="24"/>
  <c r="Z328" i="24"/>
  <c r="U328" i="24"/>
  <c r="T328" i="24"/>
  <c r="S328" i="24"/>
  <c r="R328" i="24"/>
  <c r="U329" i="24"/>
  <c r="Z329" i="24"/>
  <c r="T329" i="24"/>
  <c r="S329" i="24"/>
  <c r="R329" i="24"/>
  <c r="Z332" i="24"/>
  <c r="U332" i="24"/>
  <c r="T332" i="24"/>
  <c r="S332" i="24"/>
  <c r="R332" i="24"/>
  <c r="AG335" i="24"/>
  <c r="U335" i="24"/>
  <c r="T335" i="24"/>
  <c r="S335" i="24"/>
  <c r="R335" i="24"/>
  <c r="Z335" i="24"/>
  <c r="AG334" i="24"/>
  <c r="Z334" i="24"/>
  <c r="T334" i="24"/>
  <c r="S334" i="24"/>
  <c r="R334" i="24"/>
  <c r="U334" i="24"/>
  <c r="AG326" i="24"/>
  <c r="T326" i="24"/>
  <c r="S326" i="24"/>
  <c r="R326" i="24"/>
  <c r="Z326" i="24"/>
  <c r="U326" i="24"/>
  <c r="AE331" i="24"/>
  <c r="AF331" i="24"/>
  <c r="AF328" i="24"/>
  <c r="Q330" i="24"/>
  <c r="AF330" i="24"/>
  <c r="AF332" i="24"/>
  <c r="AF334" i="24"/>
  <c r="AF333" i="24"/>
  <c r="Q329" i="24"/>
  <c r="AF329" i="24"/>
  <c r="AF327" i="24"/>
  <c r="AF335" i="24"/>
  <c r="Q327" i="24"/>
  <c r="Q331" i="24"/>
  <c r="Q335" i="24"/>
  <c r="AH325" i="24"/>
  <c r="AG328" i="24"/>
  <c r="AI330" i="24"/>
  <c r="AH333" i="24"/>
  <c r="Q332" i="24"/>
  <c r="AE325" i="24"/>
  <c r="AE333" i="24"/>
  <c r="AI325" i="24"/>
  <c r="AH328" i="24"/>
  <c r="AG331" i="24"/>
  <c r="AI333" i="24"/>
  <c r="AE332" i="24"/>
  <c r="Q325" i="24"/>
  <c r="Q333" i="24"/>
  <c r="AE326" i="24"/>
  <c r="AE334" i="24"/>
  <c r="Q326" i="24"/>
  <c r="Q334" i="24"/>
  <c r="AE327" i="24"/>
  <c r="AE335" i="24"/>
  <c r="AH326" i="24"/>
  <c r="AG329" i="24"/>
  <c r="AI331" i="24"/>
  <c r="AH334" i="24"/>
  <c r="AE328" i="24"/>
  <c r="AI326" i="24"/>
  <c r="AH329" i="24"/>
  <c r="AG332" i="24"/>
  <c r="AI334" i="24"/>
  <c r="Q328" i="24"/>
  <c r="AE329" i="24"/>
  <c r="AE330" i="24"/>
  <c r="Z294" i="24"/>
  <c r="AI294" i="24" s="1"/>
  <c r="Y294" i="24"/>
  <c r="X294" i="24"/>
  <c r="W294" i="24"/>
  <c r="V294" i="24"/>
  <c r="U294" i="24"/>
  <c r="AH294" i="24" s="1"/>
  <c r="T294" i="24"/>
  <c r="AG294" i="24" s="1"/>
  <c r="K324" i="24"/>
  <c r="K323" i="24"/>
  <c r="K322" i="24"/>
  <c r="K321" i="24"/>
  <c r="K320" i="24"/>
  <c r="K319" i="24"/>
  <c r="K318" i="24"/>
  <c r="K317" i="24"/>
  <c r="K316" i="24"/>
  <c r="K315" i="24"/>
  <c r="K314" i="24"/>
  <c r="K313" i="24"/>
  <c r="K312" i="24"/>
  <c r="K311" i="24"/>
  <c r="K310" i="24"/>
  <c r="K309" i="24"/>
  <c r="K308" i="24"/>
  <c r="K307" i="24"/>
  <c r="K306" i="24"/>
  <c r="K305" i="24"/>
  <c r="K304" i="24"/>
  <c r="K303" i="24"/>
  <c r="K302" i="24"/>
  <c r="K301" i="24"/>
  <c r="K300" i="24"/>
  <c r="K299" i="24"/>
  <c r="K298" i="24"/>
  <c r="K297" i="24"/>
  <c r="K296" i="24"/>
  <c r="K295" i="24"/>
  <c r="J324" i="24"/>
  <c r="J323" i="24"/>
  <c r="J322" i="24"/>
  <c r="J321" i="24"/>
  <c r="J320" i="24"/>
  <c r="J319" i="24"/>
  <c r="J318" i="24"/>
  <c r="J317" i="24"/>
  <c r="J316" i="24"/>
  <c r="J315" i="24"/>
  <c r="J314" i="24"/>
  <c r="J313" i="24"/>
  <c r="J312" i="24"/>
  <c r="J311" i="24"/>
  <c r="J310" i="24"/>
  <c r="J309" i="24"/>
  <c r="J308" i="24"/>
  <c r="J307" i="24"/>
  <c r="J306" i="24"/>
  <c r="J305" i="24"/>
  <c r="J304" i="24"/>
  <c r="J303" i="24"/>
  <c r="J302" i="24"/>
  <c r="J301" i="24"/>
  <c r="J300" i="24"/>
  <c r="J299" i="24"/>
  <c r="J298" i="24"/>
  <c r="J297" i="24"/>
  <c r="J296" i="24"/>
  <c r="J295" i="24"/>
  <c r="I324" i="24"/>
  <c r="I323" i="24"/>
  <c r="I322" i="24"/>
  <c r="I321" i="24"/>
  <c r="I320" i="24"/>
  <c r="I319" i="24"/>
  <c r="I318" i="24"/>
  <c r="I317" i="24"/>
  <c r="I316" i="24"/>
  <c r="I315" i="24"/>
  <c r="I314" i="24"/>
  <c r="I313" i="24"/>
  <c r="I312" i="24"/>
  <c r="I311" i="24"/>
  <c r="I310" i="24"/>
  <c r="I309" i="24"/>
  <c r="I308" i="24"/>
  <c r="I307" i="24"/>
  <c r="I306" i="24"/>
  <c r="I305" i="24"/>
  <c r="I304" i="24"/>
  <c r="I303" i="24"/>
  <c r="I302" i="24"/>
  <c r="I301" i="24"/>
  <c r="I300" i="24"/>
  <c r="I299" i="24"/>
  <c r="I298" i="24"/>
  <c r="I297" i="24"/>
  <c r="I296" i="24"/>
  <c r="I295" i="24"/>
  <c r="H324" i="24"/>
  <c r="H323" i="24"/>
  <c r="H322" i="24"/>
  <c r="H321" i="24"/>
  <c r="H320" i="24"/>
  <c r="H319" i="24"/>
  <c r="H318" i="24"/>
  <c r="H317" i="24"/>
  <c r="H316" i="24"/>
  <c r="H315" i="24"/>
  <c r="H314" i="24"/>
  <c r="H313" i="24"/>
  <c r="H312" i="24"/>
  <c r="H311" i="24"/>
  <c r="H310" i="24"/>
  <c r="H309" i="24"/>
  <c r="H308" i="24"/>
  <c r="H307" i="24"/>
  <c r="H306" i="24"/>
  <c r="H305" i="24"/>
  <c r="H304" i="24"/>
  <c r="H303" i="24"/>
  <c r="H302" i="24"/>
  <c r="H301" i="24"/>
  <c r="H300" i="24"/>
  <c r="H299" i="24"/>
  <c r="H298" i="24"/>
  <c r="H297" i="24"/>
  <c r="H296" i="24"/>
  <c r="H295" i="24"/>
  <c r="G324" i="24"/>
  <c r="AH324" i="24" s="1"/>
  <c r="G323" i="24"/>
  <c r="AH323" i="24" s="1"/>
  <c r="G322" i="24"/>
  <c r="AH322" i="24" s="1"/>
  <c r="G321" i="24"/>
  <c r="AH321" i="24" s="1"/>
  <c r="G320" i="24"/>
  <c r="AH320" i="24" s="1"/>
  <c r="G319" i="24"/>
  <c r="AH319" i="24" s="1"/>
  <c r="G318" i="24"/>
  <c r="AH318" i="24" s="1"/>
  <c r="G317" i="24"/>
  <c r="AH317" i="24" s="1"/>
  <c r="G316" i="24"/>
  <c r="AH316" i="24" s="1"/>
  <c r="G315" i="24"/>
  <c r="AH315" i="24" s="1"/>
  <c r="G314" i="24"/>
  <c r="AH314" i="24" s="1"/>
  <c r="G313" i="24"/>
  <c r="AH313" i="24" s="1"/>
  <c r="G312" i="24"/>
  <c r="AH312" i="24" s="1"/>
  <c r="G311" i="24"/>
  <c r="AH311" i="24" s="1"/>
  <c r="G310" i="24"/>
  <c r="AH310" i="24" s="1"/>
  <c r="G309" i="24"/>
  <c r="AH309" i="24" s="1"/>
  <c r="G308" i="24"/>
  <c r="AH308" i="24" s="1"/>
  <c r="G307" i="24"/>
  <c r="AH307" i="24" s="1"/>
  <c r="G306" i="24"/>
  <c r="AH306" i="24" s="1"/>
  <c r="G305" i="24"/>
  <c r="AH305" i="24" s="1"/>
  <c r="G304" i="24"/>
  <c r="AH304" i="24" s="1"/>
  <c r="G303" i="24"/>
  <c r="AH303" i="24" s="1"/>
  <c r="G302" i="24"/>
  <c r="AH302" i="24" s="1"/>
  <c r="G301" i="24"/>
  <c r="AH301" i="24" s="1"/>
  <c r="G300" i="24"/>
  <c r="AH300" i="24" s="1"/>
  <c r="G299" i="24"/>
  <c r="AH299" i="24" s="1"/>
  <c r="G298" i="24"/>
  <c r="AH298" i="24" s="1"/>
  <c r="G297" i="24"/>
  <c r="AH297" i="24" s="1"/>
  <c r="G296" i="24"/>
  <c r="AH296" i="24" s="1"/>
  <c r="G295" i="24"/>
  <c r="AH295" i="24" s="1"/>
  <c r="F324" i="24"/>
  <c r="F323" i="24"/>
  <c r="F322" i="24"/>
  <c r="F321" i="24"/>
  <c r="F320" i="24"/>
  <c r="F319" i="24"/>
  <c r="F318" i="24"/>
  <c r="F317" i="24"/>
  <c r="F316" i="24"/>
  <c r="F315" i="24"/>
  <c r="F314" i="24"/>
  <c r="F313" i="24"/>
  <c r="F312" i="24"/>
  <c r="F311" i="24"/>
  <c r="F310" i="24"/>
  <c r="F309" i="24"/>
  <c r="F308" i="24"/>
  <c r="F307" i="24"/>
  <c r="F306" i="24"/>
  <c r="F305" i="24"/>
  <c r="F304" i="24"/>
  <c r="F303" i="24"/>
  <c r="F302" i="24"/>
  <c r="F301" i="24"/>
  <c r="F300" i="24"/>
  <c r="F299" i="24"/>
  <c r="F298" i="24"/>
  <c r="F297" i="24"/>
  <c r="F296" i="24"/>
  <c r="F295" i="24"/>
  <c r="E324" i="24"/>
  <c r="E323" i="24"/>
  <c r="E322" i="24"/>
  <c r="E321" i="24"/>
  <c r="E320" i="24"/>
  <c r="E319" i="24"/>
  <c r="E318" i="24"/>
  <c r="E317" i="24"/>
  <c r="E316" i="24"/>
  <c r="E315" i="24"/>
  <c r="E314" i="24"/>
  <c r="E313" i="24"/>
  <c r="E312" i="24"/>
  <c r="E311" i="24"/>
  <c r="E310" i="24"/>
  <c r="E309" i="24"/>
  <c r="E308" i="24"/>
  <c r="E307" i="24"/>
  <c r="E306" i="24"/>
  <c r="E305" i="24"/>
  <c r="E304" i="24"/>
  <c r="E303" i="24"/>
  <c r="E302" i="24"/>
  <c r="E301" i="24"/>
  <c r="E300" i="24"/>
  <c r="E299" i="24"/>
  <c r="E298" i="24"/>
  <c r="E297" i="24"/>
  <c r="E296" i="24"/>
  <c r="E295" i="24"/>
  <c r="D324" i="24"/>
  <c r="D323" i="24"/>
  <c r="D322" i="24"/>
  <c r="D321" i="24"/>
  <c r="D320" i="24"/>
  <c r="D319" i="24"/>
  <c r="D318" i="24"/>
  <c r="D317" i="24"/>
  <c r="D316" i="24"/>
  <c r="D315" i="24"/>
  <c r="D314" i="24"/>
  <c r="D313" i="24"/>
  <c r="D312" i="24"/>
  <c r="D311" i="24"/>
  <c r="D310" i="24"/>
  <c r="D309" i="24"/>
  <c r="D308" i="24"/>
  <c r="D307" i="24"/>
  <c r="D306" i="24"/>
  <c r="D305" i="24"/>
  <c r="D304" i="24"/>
  <c r="D303" i="24"/>
  <c r="D302" i="24"/>
  <c r="D301" i="24"/>
  <c r="D300" i="24"/>
  <c r="D299" i="24"/>
  <c r="D298" i="24"/>
  <c r="D297" i="24"/>
  <c r="D296" i="24"/>
  <c r="D295" i="24"/>
  <c r="L40" i="3"/>
  <c r="L39" i="3"/>
  <c r="L38" i="3"/>
  <c r="L37" i="3"/>
  <c r="L321" i="24" s="1"/>
  <c r="AI321" i="24" s="1"/>
  <c r="L36" i="3"/>
  <c r="L320" i="24" s="1"/>
  <c r="AI320" i="24" s="1"/>
  <c r="L35" i="3"/>
  <c r="L34" i="3"/>
  <c r="L318" i="24" s="1"/>
  <c r="AI318" i="24" s="1"/>
  <c r="B55" i="26" l="1"/>
  <c r="C71" i="5"/>
  <c r="AG315" i="24"/>
  <c r="U315" i="24"/>
  <c r="AB315" i="24"/>
  <c r="T315" i="24"/>
  <c r="AA315" i="24"/>
  <c r="S315" i="24"/>
  <c r="R315" i="24"/>
  <c r="Y315" i="24"/>
  <c r="X315" i="24"/>
  <c r="W315" i="24"/>
  <c r="V315" i="24"/>
  <c r="AG316" i="24"/>
  <c r="V316" i="24"/>
  <c r="AB316" i="24"/>
  <c r="R316" i="24"/>
  <c r="AA316" i="24"/>
  <c r="Y316" i="24"/>
  <c r="X316" i="24"/>
  <c r="W316" i="24"/>
  <c r="U316" i="24"/>
  <c r="T316" i="24"/>
  <c r="S316" i="24"/>
  <c r="AG305" i="24"/>
  <c r="AA305" i="24"/>
  <c r="Y305" i="24"/>
  <c r="X305" i="24"/>
  <c r="R305" i="24"/>
  <c r="W305" i="24"/>
  <c r="V305" i="24"/>
  <c r="U305" i="24"/>
  <c r="T305" i="24"/>
  <c r="S305" i="24"/>
  <c r="AB305" i="24"/>
  <c r="AG318" i="24"/>
  <c r="U318" i="24"/>
  <c r="T318" i="24"/>
  <c r="AB318" i="24"/>
  <c r="AA318" i="24"/>
  <c r="Z318" i="24"/>
  <c r="S318" i="24"/>
  <c r="Y318" i="24"/>
  <c r="R318" i="24"/>
  <c r="X318" i="24"/>
  <c r="W318" i="24"/>
  <c r="V318" i="24"/>
  <c r="AG319" i="24"/>
  <c r="Y319" i="24"/>
  <c r="X319" i="24"/>
  <c r="W319" i="24"/>
  <c r="V319" i="24"/>
  <c r="T319" i="24"/>
  <c r="S319" i="24"/>
  <c r="R319" i="24"/>
  <c r="AA319" i="24"/>
  <c r="U319" i="24"/>
  <c r="AB319" i="24"/>
  <c r="AG320" i="24"/>
  <c r="AB320" i="24"/>
  <c r="AA320" i="24"/>
  <c r="Z320" i="24"/>
  <c r="Y320" i="24"/>
  <c r="X320" i="24"/>
  <c r="U320" i="24"/>
  <c r="T320" i="24"/>
  <c r="S320" i="24"/>
  <c r="R320" i="24"/>
  <c r="W320" i="24"/>
  <c r="V320" i="24"/>
  <c r="AG321" i="24"/>
  <c r="W321" i="24"/>
  <c r="U321" i="24"/>
  <c r="V321" i="24"/>
  <c r="T321" i="24"/>
  <c r="Z321" i="24"/>
  <c r="Y321" i="24"/>
  <c r="X321" i="24"/>
  <c r="S321" i="24"/>
  <c r="R321" i="24"/>
  <c r="AB321" i="24"/>
  <c r="AA321" i="24"/>
  <c r="AG298" i="24"/>
  <c r="AB298" i="24"/>
  <c r="AA298" i="24"/>
  <c r="Y298" i="24"/>
  <c r="R298" i="24"/>
  <c r="X298" i="24"/>
  <c r="W298" i="24"/>
  <c r="V298" i="24"/>
  <c r="U298" i="24"/>
  <c r="T298" i="24"/>
  <c r="S298" i="24"/>
  <c r="AG310" i="24"/>
  <c r="AB310" i="24"/>
  <c r="AA310" i="24"/>
  <c r="V310" i="24"/>
  <c r="U310" i="24"/>
  <c r="T310" i="24"/>
  <c r="S310" i="24"/>
  <c r="R310" i="24"/>
  <c r="Y310" i="24"/>
  <c r="X310" i="24"/>
  <c r="W310" i="24"/>
  <c r="AG322" i="24"/>
  <c r="AB322" i="24"/>
  <c r="AA322" i="24"/>
  <c r="U322" i="24"/>
  <c r="T322" i="24"/>
  <c r="S322" i="24"/>
  <c r="R322" i="24"/>
  <c r="Y322" i="24"/>
  <c r="X322" i="24"/>
  <c r="W322" i="24"/>
  <c r="V322" i="24"/>
  <c r="AG304" i="24"/>
  <c r="V304" i="24"/>
  <c r="U304" i="24"/>
  <c r="T304" i="24"/>
  <c r="AB304" i="24"/>
  <c r="S304" i="24"/>
  <c r="AA304" i="24"/>
  <c r="R304" i="24"/>
  <c r="Y304" i="24"/>
  <c r="X304" i="24"/>
  <c r="W304" i="24"/>
  <c r="AG296" i="24"/>
  <c r="AB296" i="24"/>
  <c r="X296" i="24"/>
  <c r="W296" i="24"/>
  <c r="V296" i="24"/>
  <c r="U296" i="24"/>
  <c r="T296" i="24"/>
  <c r="S296" i="24"/>
  <c r="AA296" i="24"/>
  <c r="Y296" i="24"/>
  <c r="R296" i="24"/>
  <c r="AG309" i="24"/>
  <c r="W309" i="24"/>
  <c r="U309" i="24"/>
  <c r="V309" i="24"/>
  <c r="T309" i="24"/>
  <c r="AB309" i="24"/>
  <c r="AA309" i="24"/>
  <c r="Y309" i="24"/>
  <c r="X309" i="24"/>
  <c r="S309" i="24"/>
  <c r="R309" i="24"/>
  <c r="AG299" i="24"/>
  <c r="AB299" i="24"/>
  <c r="U299" i="24"/>
  <c r="AA299" i="24"/>
  <c r="Y299" i="24"/>
  <c r="T299" i="24"/>
  <c r="X299" i="24"/>
  <c r="S299" i="24"/>
  <c r="W299" i="24"/>
  <c r="R299" i="24"/>
  <c r="V299" i="24"/>
  <c r="AG311" i="24"/>
  <c r="U311" i="24"/>
  <c r="AB311" i="24"/>
  <c r="T311" i="24"/>
  <c r="AA311" i="24"/>
  <c r="S311" i="24"/>
  <c r="R311" i="24"/>
  <c r="Y311" i="24"/>
  <c r="X311" i="24"/>
  <c r="W311" i="24"/>
  <c r="V311" i="24"/>
  <c r="AG323" i="24"/>
  <c r="AA323" i="24"/>
  <c r="R323" i="24"/>
  <c r="Y323" i="24"/>
  <c r="X323" i="24"/>
  <c r="W323" i="24"/>
  <c r="V323" i="24"/>
  <c r="AB323" i="24"/>
  <c r="U323" i="24"/>
  <c r="T323" i="24"/>
  <c r="S323" i="24"/>
  <c r="AG303" i="24"/>
  <c r="U303" i="24"/>
  <c r="AB303" i="24"/>
  <c r="T303" i="24"/>
  <c r="AA303" i="24"/>
  <c r="W303" i="24"/>
  <c r="V303" i="24"/>
  <c r="S303" i="24"/>
  <c r="X303" i="24"/>
  <c r="R303" i="24"/>
  <c r="Y303" i="24"/>
  <c r="AG307" i="24"/>
  <c r="Y307" i="24"/>
  <c r="X307" i="24"/>
  <c r="W307" i="24"/>
  <c r="AB307" i="24"/>
  <c r="AA307" i="24"/>
  <c r="V307" i="24"/>
  <c r="U307" i="24"/>
  <c r="T307" i="24"/>
  <c r="S307" i="24"/>
  <c r="R307" i="24"/>
  <c r="AG297" i="24"/>
  <c r="W297" i="24"/>
  <c r="U297" i="24"/>
  <c r="V297" i="24"/>
  <c r="T297" i="24"/>
  <c r="S297" i="24"/>
  <c r="R297" i="24"/>
  <c r="AB297" i="24"/>
  <c r="AA297" i="24"/>
  <c r="X297" i="24"/>
  <c r="Y297" i="24"/>
  <c r="AG300" i="24"/>
  <c r="U300" i="24"/>
  <c r="Y300" i="24"/>
  <c r="T300" i="24"/>
  <c r="X300" i="24"/>
  <c r="AB300" i="24"/>
  <c r="AA300" i="24"/>
  <c r="W300" i="24"/>
  <c r="S300" i="24"/>
  <c r="V300" i="24"/>
  <c r="R300" i="24"/>
  <c r="AG301" i="24"/>
  <c r="V301" i="24"/>
  <c r="T301" i="24"/>
  <c r="S301" i="24"/>
  <c r="R301" i="24"/>
  <c r="AB301" i="24"/>
  <c r="AA301" i="24"/>
  <c r="Y301" i="24"/>
  <c r="X301" i="24"/>
  <c r="W301" i="24"/>
  <c r="U301" i="24"/>
  <c r="AG313" i="24"/>
  <c r="AB313" i="24"/>
  <c r="AA313" i="24"/>
  <c r="Y313" i="24"/>
  <c r="X313" i="24"/>
  <c r="S313" i="24"/>
  <c r="W313" i="24"/>
  <c r="R313" i="24"/>
  <c r="V313" i="24"/>
  <c r="U313" i="24"/>
  <c r="T313" i="24"/>
  <c r="AG317" i="24"/>
  <c r="AA317" i="24"/>
  <c r="Y317" i="24"/>
  <c r="U317" i="24"/>
  <c r="T317" i="24"/>
  <c r="AB317" i="24"/>
  <c r="X317" i="24"/>
  <c r="W317" i="24"/>
  <c r="S317" i="24"/>
  <c r="V317" i="24"/>
  <c r="R317" i="24"/>
  <c r="AG306" i="24"/>
  <c r="U306" i="24"/>
  <c r="T306" i="24"/>
  <c r="AB306" i="24"/>
  <c r="AA306" i="24"/>
  <c r="Y306" i="24"/>
  <c r="X306" i="24"/>
  <c r="W306" i="24"/>
  <c r="V306" i="24"/>
  <c r="S306" i="24"/>
  <c r="R306" i="24"/>
  <c r="AG295" i="24"/>
  <c r="Y295" i="24"/>
  <c r="X295" i="24"/>
  <c r="W295" i="24"/>
  <c r="AB295" i="24"/>
  <c r="AA295" i="24"/>
  <c r="V295" i="24"/>
  <c r="U295" i="24"/>
  <c r="T295" i="24"/>
  <c r="S295" i="24"/>
  <c r="R295" i="24"/>
  <c r="AG308" i="24"/>
  <c r="AB308" i="24"/>
  <c r="T308" i="24"/>
  <c r="S308" i="24"/>
  <c r="R308" i="24"/>
  <c r="AA308" i="24"/>
  <c r="X308" i="24"/>
  <c r="W308" i="24"/>
  <c r="V308" i="24"/>
  <c r="Y308" i="24"/>
  <c r="U308" i="24"/>
  <c r="AG312" i="24"/>
  <c r="U312" i="24"/>
  <c r="Y312" i="24"/>
  <c r="T312" i="24"/>
  <c r="X312" i="24"/>
  <c r="W312" i="24"/>
  <c r="R312" i="24"/>
  <c r="V312" i="24"/>
  <c r="S312" i="24"/>
  <c r="AB312" i="24"/>
  <c r="AA312" i="24"/>
  <c r="AG324" i="24"/>
  <c r="U324" i="24"/>
  <c r="Y324" i="24"/>
  <c r="T324" i="24"/>
  <c r="X324" i="24"/>
  <c r="AA324" i="24"/>
  <c r="W324" i="24"/>
  <c r="V324" i="24"/>
  <c r="S324" i="24"/>
  <c r="AB324" i="24"/>
  <c r="R324" i="24"/>
  <c r="AG302" i="24"/>
  <c r="X302" i="24"/>
  <c r="W302" i="24"/>
  <c r="V302" i="24"/>
  <c r="AB302" i="24"/>
  <c r="AA302" i="24"/>
  <c r="Y302" i="24"/>
  <c r="U302" i="24"/>
  <c r="T302" i="24"/>
  <c r="S302" i="24"/>
  <c r="R302" i="24"/>
  <c r="AG314" i="24"/>
  <c r="X314" i="24"/>
  <c r="W314" i="24"/>
  <c r="V314" i="24"/>
  <c r="AA314" i="24"/>
  <c r="Y314" i="24"/>
  <c r="U314" i="24"/>
  <c r="T314" i="24"/>
  <c r="S314" i="24"/>
  <c r="R314" i="24"/>
  <c r="AB314" i="24"/>
  <c r="M37" i="3"/>
  <c r="N37" i="3" s="1"/>
  <c r="M34" i="3"/>
  <c r="N34" i="3" s="1"/>
  <c r="M39" i="3"/>
  <c r="N39" i="3" s="1"/>
  <c r="L323" i="24"/>
  <c r="Z323" i="24" s="1"/>
  <c r="M35" i="3"/>
  <c r="N35" i="3" s="1"/>
  <c r="L319" i="24"/>
  <c r="Z319" i="24" s="1"/>
  <c r="M40" i="3"/>
  <c r="N40" i="3" s="1"/>
  <c r="L324" i="24"/>
  <c r="Z324" i="24" s="1"/>
  <c r="M36" i="3"/>
  <c r="N36" i="3" s="1"/>
  <c r="M38" i="3"/>
  <c r="N38" i="3" s="1"/>
  <c r="L322" i="24"/>
  <c r="Z322" i="24" s="1"/>
  <c r="AF310" i="24"/>
  <c r="AF303" i="24"/>
  <c r="AF319" i="24"/>
  <c r="AF304" i="24"/>
  <c r="AF312" i="24"/>
  <c r="AF320" i="24"/>
  <c r="AF305" i="24"/>
  <c r="AF313" i="24"/>
  <c r="AF321" i="24"/>
  <c r="AF311" i="24"/>
  <c r="AF306" i="24"/>
  <c r="AF314" i="24"/>
  <c r="AF322" i="24"/>
  <c r="AF318" i="24"/>
  <c r="AF307" i="24"/>
  <c r="AF315" i="24"/>
  <c r="AF323" i="24"/>
  <c r="AF308" i="24"/>
  <c r="AF316" i="24"/>
  <c r="AF324" i="24"/>
  <c r="AF302" i="24"/>
  <c r="AF301" i="24"/>
  <c r="AF309" i="24"/>
  <c r="AF317" i="24"/>
  <c r="AF299" i="24"/>
  <c r="AF300" i="24"/>
  <c r="AF295" i="24"/>
  <c r="AF296" i="24"/>
  <c r="AF298" i="24"/>
  <c r="AF297" i="24"/>
  <c r="B56" i="26" l="1"/>
  <c r="C72" i="5"/>
  <c r="AI324" i="24"/>
  <c r="AI319" i="24"/>
  <c r="AI323" i="24"/>
  <c r="AI322" i="24"/>
  <c r="C324" i="24"/>
  <c r="Q324" i="24" s="1"/>
  <c r="C323" i="24"/>
  <c r="Q323" i="24" s="1"/>
  <c r="C322" i="24"/>
  <c r="Q322" i="24" s="1"/>
  <c r="C321" i="24"/>
  <c r="Q321" i="24" s="1"/>
  <c r="C320" i="24"/>
  <c r="Q320" i="24" s="1"/>
  <c r="C319" i="24"/>
  <c r="Q319" i="24" s="1"/>
  <c r="C318" i="24"/>
  <c r="Q318" i="24" s="1"/>
  <c r="C317" i="24"/>
  <c r="Q317" i="24" s="1"/>
  <c r="C316" i="24"/>
  <c r="Q316" i="24" s="1"/>
  <c r="C315" i="24"/>
  <c r="Q315" i="24" s="1"/>
  <c r="C314" i="24"/>
  <c r="Q314" i="24" s="1"/>
  <c r="C313" i="24"/>
  <c r="Q313" i="24" s="1"/>
  <c r="C312" i="24"/>
  <c r="Q312" i="24" s="1"/>
  <c r="C311" i="24"/>
  <c r="Q311" i="24" s="1"/>
  <c r="C310" i="24"/>
  <c r="Q310" i="24" s="1"/>
  <c r="C309" i="24"/>
  <c r="Q309" i="24" s="1"/>
  <c r="C308" i="24"/>
  <c r="Q308" i="24" s="1"/>
  <c r="C307" i="24"/>
  <c r="Q307" i="24" s="1"/>
  <c r="C306" i="24"/>
  <c r="Q306" i="24" s="1"/>
  <c r="C305" i="24"/>
  <c r="Q305" i="24" s="1"/>
  <c r="C304" i="24"/>
  <c r="Q304" i="24" s="1"/>
  <c r="C303" i="24"/>
  <c r="Q303" i="24" s="1"/>
  <c r="C302" i="24"/>
  <c r="Q302" i="24" s="1"/>
  <c r="C301" i="24"/>
  <c r="Q301" i="24" s="1"/>
  <c r="C300" i="24"/>
  <c r="Q300" i="24" s="1"/>
  <c r="C299" i="24"/>
  <c r="Q299" i="24" s="1"/>
  <c r="C298" i="24"/>
  <c r="Q298" i="24" s="1"/>
  <c r="C297" i="24"/>
  <c r="Q297" i="24" s="1"/>
  <c r="C296" i="24"/>
  <c r="Q296" i="24" s="1"/>
  <c r="C295" i="24"/>
  <c r="Q295" i="24" s="1"/>
  <c r="C73" i="5" l="1"/>
  <c r="B57" i="26"/>
  <c r="AE319" i="24"/>
  <c r="AE303" i="24"/>
  <c r="AE320" i="24"/>
  <c r="AE295" i="24"/>
  <c r="AE321" i="24"/>
  <c r="AE302" i="24"/>
  <c r="AE296" i="24"/>
  <c r="AE305" i="24"/>
  <c r="AE306" i="24"/>
  <c r="AE314" i="24"/>
  <c r="AE322" i="24"/>
  <c r="AE310" i="24"/>
  <c r="AE312" i="24"/>
  <c r="AE299" i="24"/>
  <c r="AE315" i="24"/>
  <c r="AE323" i="24"/>
  <c r="AE318" i="24"/>
  <c r="AE304" i="24"/>
  <c r="AE313" i="24"/>
  <c r="AE307" i="24"/>
  <c r="AE308" i="24"/>
  <c r="AE324" i="24"/>
  <c r="AE311" i="24"/>
  <c r="AE297" i="24"/>
  <c r="AE298" i="24"/>
  <c r="AE300" i="24"/>
  <c r="AE316" i="24"/>
  <c r="AE301" i="24"/>
  <c r="AE309" i="24"/>
  <c r="AE317" i="24"/>
  <c r="M210" i="24"/>
  <c r="AF210" i="24" s="1"/>
  <c r="M209" i="24"/>
  <c r="AF209" i="24" s="1"/>
  <c r="M208" i="24"/>
  <c r="AF208" i="24" s="1"/>
  <c r="M207" i="24"/>
  <c r="AF207" i="24" s="1"/>
  <c r="M206" i="24"/>
  <c r="AF206" i="24" s="1"/>
  <c r="M205" i="24"/>
  <c r="AF205" i="24" s="1"/>
  <c r="M204" i="24"/>
  <c r="AF204" i="24" s="1"/>
  <c r="M203" i="24"/>
  <c r="AF203" i="24" s="1"/>
  <c r="M202" i="24"/>
  <c r="AF202" i="24" s="1"/>
  <c r="M201" i="24"/>
  <c r="AF201" i="24" s="1"/>
  <c r="M200" i="24"/>
  <c r="AF200" i="24" s="1"/>
  <c r="M199" i="24"/>
  <c r="AF199" i="24" s="1"/>
  <c r="M198" i="24"/>
  <c r="AF198" i="24" s="1"/>
  <c r="M197" i="24"/>
  <c r="AF197" i="24" s="1"/>
  <c r="M196" i="24"/>
  <c r="AF196" i="24" s="1"/>
  <c r="M195" i="24"/>
  <c r="AF195" i="24" s="1"/>
  <c r="M194" i="24"/>
  <c r="AF194" i="24" s="1"/>
  <c r="M193" i="24"/>
  <c r="AF193" i="24" s="1"/>
  <c r="M192" i="24"/>
  <c r="AF192" i="24" s="1"/>
  <c r="M191" i="24"/>
  <c r="AF191" i="24" s="1"/>
  <c r="L191" i="24"/>
  <c r="AE191" i="24" s="1"/>
  <c r="L192" i="24"/>
  <c r="AE192" i="24" s="1"/>
  <c r="L193" i="24"/>
  <c r="AE193" i="24" s="1"/>
  <c r="L194" i="24"/>
  <c r="AE194" i="24" s="1"/>
  <c r="L195" i="24"/>
  <c r="AE195" i="24" s="1"/>
  <c r="L196" i="24"/>
  <c r="AE196" i="24" s="1"/>
  <c r="L197" i="24"/>
  <c r="AE197" i="24" s="1"/>
  <c r="L198" i="24"/>
  <c r="AE198" i="24" s="1"/>
  <c r="L199" i="24"/>
  <c r="AE199" i="24" s="1"/>
  <c r="L200" i="24"/>
  <c r="AE200" i="24" s="1"/>
  <c r="L201" i="24"/>
  <c r="AE201" i="24" s="1"/>
  <c r="L202" i="24"/>
  <c r="AE202" i="24" s="1"/>
  <c r="L203" i="24"/>
  <c r="AE203" i="24" s="1"/>
  <c r="L204" i="24"/>
  <c r="AE204" i="24" s="1"/>
  <c r="L205" i="24"/>
  <c r="AE205" i="24" s="1"/>
  <c r="L206" i="24"/>
  <c r="AE206" i="24" s="1"/>
  <c r="L207" i="24"/>
  <c r="AE207" i="24" s="1"/>
  <c r="L208" i="24"/>
  <c r="AE208" i="24" s="1"/>
  <c r="L209" i="24"/>
  <c r="AE209" i="24" s="1"/>
  <c r="L210" i="24"/>
  <c r="AE210" i="24" s="1"/>
  <c r="AD210" i="24"/>
  <c r="AD209" i="24"/>
  <c r="AD208" i="24"/>
  <c r="AD207" i="24"/>
  <c r="AD206" i="24"/>
  <c r="AD205" i="24"/>
  <c r="AD204" i="24"/>
  <c r="AD203" i="24"/>
  <c r="AD202" i="24"/>
  <c r="AD201" i="24"/>
  <c r="AD200" i="24"/>
  <c r="AD199" i="24"/>
  <c r="AD198" i="24"/>
  <c r="AD197" i="24"/>
  <c r="AD196" i="24"/>
  <c r="AD195" i="24"/>
  <c r="AD194" i="24"/>
  <c r="AD193" i="24"/>
  <c r="AD192" i="24"/>
  <c r="AD191" i="24"/>
  <c r="H191" i="24"/>
  <c r="AA191" i="24" s="1"/>
  <c r="H192" i="24"/>
  <c r="AA192" i="24" s="1"/>
  <c r="H193" i="24"/>
  <c r="AA193" i="24" s="1"/>
  <c r="H194" i="24"/>
  <c r="AA194" i="24" s="1"/>
  <c r="H195" i="24"/>
  <c r="AA195" i="24" s="1"/>
  <c r="H196" i="24"/>
  <c r="AA196" i="24" s="1"/>
  <c r="H197" i="24"/>
  <c r="AA197" i="24" s="1"/>
  <c r="H198" i="24"/>
  <c r="AA198" i="24" s="1"/>
  <c r="H199" i="24"/>
  <c r="AA199" i="24" s="1"/>
  <c r="H200" i="24"/>
  <c r="AA200" i="24" s="1"/>
  <c r="H201" i="24"/>
  <c r="AA201" i="24" s="1"/>
  <c r="H202" i="24"/>
  <c r="AA202" i="24" s="1"/>
  <c r="H203" i="24"/>
  <c r="AA203" i="24" s="1"/>
  <c r="H204" i="24"/>
  <c r="AA204" i="24" s="1"/>
  <c r="H205" i="24"/>
  <c r="AA205" i="24" s="1"/>
  <c r="H206" i="24"/>
  <c r="AA206" i="24" s="1"/>
  <c r="H207" i="24"/>
  <c r="AA207" i="24" s="1"/>
  <c r="H208" i="24"/>
  <c r="AA208" i="24" s="1"/>
  <c r="H209" i="24"/>
  <c r="AA209" i="24" s="1"/>
  <c r="H210" i="24"/>
  <c r="AA210" i="24" s="1"/>
  <c r="G210" i="24"/>
  <c r="Z210" i="24" s="1"/>
  <c r="AG210" i="24" s="1"/>
  <c r="G209" i="24"/>
  <c r="Z209" i="24" s="1"/>
  <c r="AG209" i="24" s="1"/>
  <c r="G208" i="24"/>
  <c r="Z208" i="24" s="1"/>
  <c r="AG208" i="24" s="1"/>
  <c r="G207" i="24"/>
  <c r="Z207" i="24" s="1"/>
  <c r="AG207" i="24" s="1"/>
  <c r="G206" i="24"/>
  <c r="Z206" i="24" s="1"/>
  <c r="AG206" i="24" s="1"/>
  <c r="G205" i="24"/>
  <c r="Z205" i="24" s="1"/>
  <c r="AG205" i="24" s="1"/>
  <c r="G204" i="24"/>
  <c r="Z204" i="24" s="1"/>
  <c r="AG204" i="24" s="1"/>
  <c r="G203" i="24"/>
  <c r="Z203" i="24" s="1"/>
  <c r="AG203" i="24" s="1"/>
  <c r="G202" i="24"/>
  <c r="Z202" i="24" s="1"/>
  <c r="AG202" i="24" s="1"/>
  <c r="G201" i="24"/>
  <c r="Z201" i="24" s="1"/>
  <c r="AG201" i="24" s="1"/>
  <c r="G200" i="24"/>
  <c r="Z200" i="24" s="1"/>
  <c r="AG200" i="24" s="1"/>
  <c r="G199" i="24"/>
  <c r="Z199" i="24" s="1"/>
  <c r="AG199" i="24" s="1"/>
  <c r="G198" i="24"/>
  <c r="Z198" i="24" s="1"/>
  <c r="AG198" i="24" s="1"/>
  <c r="G197" i="24"/>
  <c r="Z197" i="24" s="1"/>
  <c r="AG197" i="24" s="1"/>
  <c r="G196" i="24"/>
  <c r="Z196" i="24" s="1"/>
  <c r="AG196" i="24" s="1"/>
  <c r="G195" i="24"/>
  <c r="Z195" i="24" s="1"/>
  <c r="AG195" i="24" s="1"/>
  <c r="G194" i="24"/>
  <c r="Z194" i="24" s="1"/>
  <c r="AG194" i="24" s="1"/>
  <c r="G193" i="24"/>
  <c r="Z193" i="24" s="1"/>
  <c r="AG193" i="24" s="1"/>
  <c r="G192" i="24"/>
  <c r="Z192" i="24" s="1"/>
  <c r="G191" i="24"/>
  <c r="Z191" i="24" s="1"/>
  <c r="F191" i="24"/>
  <c r="Y191" i="24" s="1"/>
  <c r="F192" i="24"/>
  <c r="Y192" i="24" s="1"/>
  <c r="F193" i="24"/>
  <c r="Y193" i="24" s="1"/>
  <c r="F194" i="24"/>
  <c r="Y194" i="24" s="1"/>
  <c r="F195" i="24"/>
  <c r="Y195" i="24" s="1"/>
  <c r="F196" i="24"/>
  <c r="Y196" i="24" s="1"/>
  <c r="F197" i="24"/>
  <c r="Y197" i="24" s="1"/>
  <c r="F198" i="24"/>
  <c r="Y198" i="24" s="1"/>
  <c r="F199" i="24"/>
  <c r="Y199" i="24" s="1"/>
  <c r="F200" i="24"/>
  <c r="Y200" i="24" s="1"/>
  <c r="F201" i="24"/>
  <c r="Y201" i="24" s="1"/>
  <c r="F202" i="24"/>
  <c r="Y202" i="24" s="1"/>
  <c r="F203" i="24"/>
  <c r="Y203" i="24" s="1"/>
  <c r="F204" i="24"/>
  <c r="Y204" i="24" s="1"/>
  <c r="F205" i="24"/>
  <c r="Y205" i="24" s="1"/>
  <c r="F206" i="24"/>
  <c r="Y206" i="24" s="1"/>
  <c r="F207" i="24"/>
  <c r="Y207" i="24" s="1"/>
  <c r="F208" i="24"/>
  <c r="Y208" i="24" s="1"/>
  <c r="F209" i="24"/>
  <c r="Y209" i="24" s="1"/>
  <c r="F210" i="24"/>
  <c r="Y210" i="24" s="1"/>
  <c r="B210" i="24"/>
  <c r="U210" i="24" s="1"/>
  <c r="AK210" i="24" s="1"/>
  <c r="B209" i="24"/>
  <c r="U209" i="24" s="1"/>
  <c r="AK209" i="24" s="1"/>
  <c r="B208" i="24"/>
  <c r="U208" i="24" s="1"/>
  <c r="AK208" i="24" s="1"/>
  <c r="B207" i="24"/>
  <c r="U207" i="24" s="1"/>
  <c r="AK207" i="24" s="1"/>
  <c r="B206" i="24"/>
  <c r="U206" i="24" s="1"/>
  <c r="AK206" i="24" s="1"/>
  <c r="B205" i="24"/>
  <c r="U205" i="24" s="1"/>
  <c r="AK205" i="24" s="1"/>
  <c r="B204" i="24"/>
  <c r="U204" i="24" s="1"/>
  <c r="AK204" i="24" s="1"/>
  <c r="B203" i="24"/>
  <c r="U203" i="24" s="1"/>
  <c r="AK203" i="24" s="1"/>
  <c r="B202" i="24"/>
  <c r="U202" i="24" s="1"/>
  <c r="AK202" i="24" s="1"/>
  <c r="B201" i="24"/>
  <c r="U201" i="24" s="1"/>
  <c r="AK201" i="24" s="1"/>
  <c r="B200" i="24"/>
  <c r="U200" i="24" s="1"/>
  <c r="AK200" i="24" s="1"/>
  <c r="B199" i="24"/>
  <c r="U199" i="24" s="1"/>
  <c r="AK199" i="24" s="1"/>
  <c r="B198" i="24"/>
  <c r="U198" i="24" s="1"/>
  <c r="AK198" i="24" s="1"/>
  <c r="B197" i="24"/>
  <c r="U197" i="24" s="1"/>
  <c r="AK197" i="24" s="1"/>
  <c r="B196" i="24"/>
  <c r="U196" i="24" s="1"/>
  <c r="AK196" i="24" s="1"/>
  <c r="B195" i="24"/>
  <c r="U195" i="24" s="1"/>
  <c r="AK195" i="24" s="1"/>
  <c r="B194" i="24"/>
  <c r="U194" i="24" s="1"/>
  <c r="AK194" i="24" s="1"/>
  <c r="B193" i="24"/>
  <c r="U193" i="24" s="1"/>
  <c r="AK193" i="24" s="1"/>
  <c r="B192" i="24"/>
  <c r="U192" i="24" s="1"/>
  <c r="AK192" i="24" s="1"/>
  <c r="C74" i="5" l="1"/>
  <c r="B58" i="26"/>
  <c r="AG192" i="24"/>
  <c r="AG191" i="24"/>
  <c r="D186" i="24"/>
  <c r="I186" i="24" s="1"/>
  <c r="D185" i="24"/>
  <c r="I185" i="24" s="1"/>
  <c r="D184" i="24"/>
  <c r="I184" i="24" s="1"/>
  <c r="D183" i="24"/>
  <c r="I183" i="24" s="1"/>
  <c r="D182" i="24"/>
  <c r="I182" i="24" s="1"/>
  <c r="D181" i="24"/>
  <c r="I181" i="24" s="1"/>
  <c r="D180" i="24"/>
  <c r="I180" i="24" s="1"/>
  <c r="D179" i="24"/>
  <c r="I179" i="24" s="1"/>
  <c r="D178" i="24"/>
  <c r="I178" i="24" s="1"/>
  <c r="D177" i="24"/>
  <c r="I177" i="24" s="1"/>
  <c r="D176" i="24"/>
  <c r="I176" i="24" s="1"/>
  <c r="D175" i="24"/>
  <c r="I175" i="24" s="1"/>
  <c r="D174" i="24"/>
  <c r="I174" i="24" s="1"/>
  <c r="D173" i="24"/>
  <c r="I173" i="24" s="1"/>
  <c r="D172" i="24"/>
  <c r="I172" i="24" s="1"/>
  <c r="D171" i="24"/>
  <c r="I171" i="24" s="1"/>
  <c r="B59" i="26" l="1"/>
  <c r="C75" i="5"/>
  <c r="B191" i="24"/>
  <c r="U191" i="24" s="1"/>
  <c r="AK191" i="24" s="1"/>
  <c r="C17" i="7"/>
  <c r="K141" i="24"/>
  <c r="K142" i="24"/>
  <c r="K143" i="24"/>
  <c r="K144" i="24"/>
  <c r="K145" i="24"/>
  <c r="K146" i="24"/>
  <c r="K147" i="24"/>
  <c r="K148" i="24"/>
  <c r="K149" i="24"/>
  <c r="K150" i="24"/>
  <c r="K151" i="24"/>
  <c r="K152" i="24"/>
  <c r="K153" i="24"/>
  <c r="K154" i="24"/>
  <c r="K155" i="24"/>
  <c r="K156" i="24"/>
  <c r="K157" i="24"/>
  <c r="K158" i="24"/>
  <c r="K159" i="24"/>
  <c r="K160" i="24"/>
  <c r="K161" i="24"/>
  <c r="K162" i="24"/>
  <c r="K163" i="24"/>
  <c r="K164" i="24"/>
  <c r="K165" i="24"/>
  <c r="K166" i="24"/>
  <c r="J166" i="24"/>
  <c r="J165" i="24"/>
  <c r="J164" i="24"/>
  <c r="J163" i="24"/>
  <c r="J162" i="24"/>
  <c r="J161" i="24"/>
  <c r="J160" i="24"/>
  <c r="J159" i="24"/>
  <c r="J158" i="24"/>
  <c r="J157" i="24"/>
  <c r="J156" i="24"/>
  <c r="J155" i="24"/>
  <c r="J154" i="24"/>
  <c r="J153" i="24"/>
  <c r="J152" i="24"/>
  <c r="J151" i="24"/>
  <c r="J150" i="24"/>
  <c r="J149" i="24"/>
  <c r="J148" i="24"/>
  <c r="J147" i="24"/>
  <c r="J146" i="24"/>
  <c r="J145" i="24"/>
  <c r="J144" i="24"/>
  <c r="J143" i="24"/>
  <c r="J142" i="24"/>
  <c r="J141" i="24"/>
  <c r="I141" i="24"/>
  <c r="I142" i="24"/>
  <c r="I143" i="24"/>
  <c r="I144" i="24"/>
  <c r="I145" i="24"/>
  <c r="I146" i="24"/>
  <c r="I147" i="24"/>
  <c r="I148" i="24"/>
  <c r="I149" i="24"/>
  <c r="I150" i="24"/>
  <c r="I151" i="24"/>
  <c r="I152" i="24"/>
  <c r="I153" i="24"/>
  <c r="I154" i="24"/>
  <c r="I155" i="24"/>
  <c r="I156" i="24"/>
  <c r="I157" i="24"/>
  <c r="I158" i="24"/>
  <c r="I159" i="24"/>
  <c r="I160" i="24"/>
  <c r="I161" i="24"/>
  <c r="I162" i="24"/>
  <c r="I163" i="24"/>
  <c r="I164" i="24"/>
  <c r="I165" i="24"/>
  <c r="I166" i="24"/>
  <c r="H166" i="24"/>
  <c r="H165" i="24"/>
  <c r="H164" i="24"/>
  <c r="H163" i="24"/>
  <c r="H162" i="24"/>
  <c r="H161" i="24"/>
  <c r="H160" i="24"/>
  <c r="H159" i="24"/>
  <c r="H158" i="24"/>
  <c r="H157" i="24"/>
  <c r="H156" i="24"/>
  <c r="H155" i="24"/>
  <c r="H154" i="24"/>
  <c r="H153" i="24"/>
  <c r="H152" i="24"/>
  <c r="H151" i="24"/>
  <c r="H150" i="24"/>
  <c r="H149" i="24"/>
  <c r="H148" i="24"/>
  <c r="H147" i="24"/>
  <c r="H146" i="24"/>
  <c r="H145" i="24"/>
  <c r="H144" i="24"/>
  <c r="H143" i="24"/>
  <c r="H142" i="24"/>
  <c r="H141" i="24"/>
  <c r="G141" i="24"/>
  <c r="G142" i="24"/>
  <c r="G143" i="24"/>
  <c r="G144" i="24"/>
  <c r="G145" i="24"/>
  <c r="G146" i="24"/>
  <c r="G147" i="24"/>
  <c r="G148" i="24"/>
  <c r="G149" i="24"/>
  <c r="G150" i="24"/>
  <c r="G151" i="24"/>
  <c r="G152" i="24"/>
  <c r="G153" i="24"/>
  <c r="G154" i="24"/>
  <c r="G155" i="24"/>
  <c r="G156" i="24"/>
  <c r="G157" i="24"/>
  <c r="G158" i="24"/>
  <c r="G159" i="24"/>
  <c r="G160" i="24"/>
  <c r="G161" i="24"/>
  <c r="G162" i="24"/>
  <c r="G163" i="24"/>
  <c r="G164" i="24"/>
  <c r="G165" i="24"/>
  <c r="G166" i="24"/>
  <c r="F164" i="24"/>
  <c r="F166" i="24"/>
  <c r="F165" i="24"/>
  <c r="F163" i="24"/>
  <c r="F162" i="24"/>
  <c r="F161" i="24"/>
  <c r="F160" i="24"/>
  <c r="F159" i="24"/>
  <c r="F158" i="24"/>
  <c r="F157" i="24"/>
  <c r="F156" i="24"/>
  <c r="F155" i="24"/>
  <c r="F154" i="24"/>
  <c r="F153" i="24"/>
  <c r="F152" i="24"/>
  <c r="F151" i="24"/>
  <c r="F150" i="24"/>
  <c r="F149" i="24"/>
  <c r="F148" i="24"/>
  <c r="F146" i="24"/>
  <c r="F147" i="24"/>
  <c r="F145" i="24"/>
  <c r="F144" i="24"/>
  <c r="F143" i="24"/>
  <c r="F142" i="24"/>
  <c r="F141" i="24"/>
  <c r="E166" i="24"/>
  <c r="E165" i="24"/>
  <c r="E164" i="24"/>
  <c r="E163" i="24"/>
  <c r="E162" i="24"/>
  <c r="E161" i="24"/>
  <c r="E160" i="24"/>
  <c r="M160" i="24" s="1"/>
  <c r="E159" i="24"/>
  <c r="M159" i="24" s="1"/>
  <c r="E158" i="24"/>
  <c r="M158" i="24" s="1"/>
  <c r="E157" i="24"/>
  <c r="M157" i="24" s="1"/>
  <c r="E156" i="24"/>
  <c r="M156" i="24" s="1"/>
  <c r="E155" i="24"/>
  <c r="M155" i="24" s="1"/>
  <c r="E154" i="24"/>
  <c r="M154" i="24" s="1"/>
  <c r="E153" i="24"/>
  <c r="M153" i="24" s="1"/>
  <c r="E152" i="24"/>
  <c r="M152" i="24" s="1"/>
  <c r="E151" i="24"/>
  <c r="M151" i="24" s="1"/>
  <c r="E150" i="24"/>
  <c r="M150" i="24" s="1"/>
  <c r="E149" i="24"/>
  <c r="M149" i="24" s="1"/>
  <c r="E148" i="24"/>
  <c r="M148" i="24" s="1"/>
  <c r="E147" i="24"/>
  <c r="M147" i="24" s="1"/>
  <c r="E146" i="24"/>
  <c r="M146" i="24" s="1"/>
  <c r="E145" i="24"/>
  <c r="M145" i="24" s="1"/>
  <c r="E144" i="24"/>
  <c r="M144" i="24" s="1"/>
  <c r="E143" i="24"/>
  <c r="M143" i="24" s="1"/>
  <c r="E142" i="24"/>
  <c r="M142" i="24" s="1"/>
  <c r="E141" i="24"/>
  <c r="M141" i="24" s="1"/>
  <c r="D160" i="24"/>
  <c r="D159" i="24"/>
  <c r="D158" i="24"/>
  <c r="D157" i="24"/>
  <c r="D156" i="24"/>
  <c r="D155" i="24"/>
  <c r="D154" i="24"/>
  <c r="D153" i="24"/>
  <c r="D152" i="24"/>
  <c r="D151" i="24"/>
  <c r="D150" i="24"/>
  <c r="D149" i="24"/>
  <c r="D148" i="24"/>
  <c r="D147" i="24"/>
  <c r="D146" i="24"/>
  <c r="D145" i="24"/>
  <c r="D144" i="24"/>
  <c r="D143" i="24"/>
  <c r="D142" i="24"/>
  <c r="D141" i="24"/>
  <c r="L140" i="24"/>
  <c r="L139" i="24"/>
  <c r="L138" i="24"/>
  <c r="E140" i="24"/>
  <c r="E139" i="24"/>
  <c r="E138" i="24"/>
  <c r="I136" i="24"/>
  <c r="J136" i="24"/>
  <c r="K136" i="24"/>
  <c r="L137" i="24"/>
  <c r="E137" i="24"/>
  <c r="D137" i="24" s="1"/>
  <c r="H136" i="24"/>
  <c r="G136" i="24"/>
  <c r="S141" i="24"/>
  <c r="S140" i="24"/>
  <c r="S139" i="24"/>
  <c r="S138" i="24"/>
  <c r="S137" i="24"/>
  <c r="S136" i="24"/>
  <c r="S135" i="24"/>
  <c r="F136" i="24"/>
  <c r="E136" i="24"/>
  <c r="M136" i="24" s="1"/>
  <c r="B60" i="26" l="1"/>
  <c r="C76" i="5"/>
  <c r="M165" i="24"/>
  <c r="D165" i="24"/>
  <c r="M161" i="24"/>
  <c r="D161" i="24"/>
  <c r="M163" i="24"/>
  <c r="D163" i="24"/>
  <c r="M166" i="24"/>
  <c r="D166" i="24"/>
  <c r="M162" i="24"/>
  <c r="D162" i="24"/>
  <c r="M164" i="24"/>
  <c r="D164" i="24"/>
  <c r="M140" i="24"/>
  <c r="D140" i="24"/>
  <c r="M138" i="24"/>
  <c r="D138" i="24"/>
  <c r="M139" i="24"/>
  <c r="D139" i="24"/>
  <c r="M137" i="24"/>
  <c r="D136" i="24"/>
  <c r="B61" i="26" l="1"/>
  <c r="C77" i="5"/>
  <c r="D114" i="24"/>
  <c r="N114" i="24" s="1"/>
  <c r="D113" i="24"/>
  <c r="D112" i="24"/>
  <c r="D111" i="24"/>
  <c r="D110" i="24"/>
  <c r="D109" i="24"/>
  <c r="D108" i="24"/>
  <c r="D107" i="24"/>
  <c r="D106" i="24"/>
  <c r="D105" i="24"/>
  <c r="D104" i="24"/>
  <c r="D103" i="24"/>
  <c r="D102" i="24"/>
  <c r="D101" i="24"/>
  <c r="D100" i="24"/>
  <c r="D99" i="24"/>
  <c r="D98" i="24"/>
  <c r="N98" i="24" s="1"/>
  <c r="D97" i="24"/>
  <c r="N97" i="24" s="1"/>
  <c r="D95" i="24"/>
  <c r="D94" i="24"/>
  <c r="D93" i="24"/>
  <c r="D92" i="24"/>
  <c r="D91" i="24"/>
  <c r="D90" i="24"/>
  <c r="D89" i="24"/>
  <c r="I89" i="24" s="1"/>
  <c r="D88" i="24"/>
  <c r="I88" i="24" s="1"/>
  <c r="D87" i="24"/>
  <c r="I87" i="24" s="1"/>
  <c r="D86" i="24"/>
  <c r="I86" i="24" s="1"/>
  <c r="D85" i="24"/>
  <c r="I85" i="24" s="1"/>
  <c r="D84" i="24"/>
  <c r="D83" i="24"/>
  <c r="D82" i="24"/>
  <c r="D81" i="24"/>
  <c r="D80" i="24"/>
  <c r="D79" i="24"/>
  <c r="D78" i="24"/>
  <c r="D77" i="24"/>
  <c r="D76" i="24"/>
  <c r="I76" i="24" s="1"/>
  <c r="D75" i="24"/>
  <c r="D74" i="24"/>
  <c r="D73" i="24"/>
  <c r="D72" i="24"/>
  <c r="D71" i="24"/>
  <c r="D70" i="24"/>
  <c r="D69" i="24"/>
  <c r="D68" i="24"/>
  <c r="D67" i="24"/>
  <c r="D66" i="24"/>
  <c r="D65" i="24"/>
  <c r="D58" i="24"/>
  <c r="N58" i="24" s="1"/>
  <c r="D57" i="24"/>
  <c r="N57" i="24" s="1"/>
  <c r="D56" i="24"/>
  <c r="N56" i="24" s="1"/>
  <c r="D55" i="24"/>
  <c r="N55" i="24" s="1"/>
  <c r="D54" i="24"/>
  <c r="N54" i="24" s="1"/>
  <c r="N53" i="24"/>
  <c r="D52" i="24"/>
  <c r="D51" i="24"/>
  <c r="D50" i="24"/>
  <c r="W50" i="24" s="1"/>
  <c r="D49" i="24"/>
  <c r="W49" i="24" s="1"/>
  <c r="D48" i="24"/>
  <c r="W48" i="24" s="1"/>
  <c r="D47" i="24"/>
  <c r="W47" i="24" s="1"/>
  <c r="D46" i="24"/>
  <c r="I46" i="24" s="1"/>
  <c r="AA24" i="24" s="1"/>
  <c r="D45" i="24"/>
  <c r="I45" i="24" s="1"/>
  <c r="AA23" i="24" s="1"/>
  <c r="D44" i="24"/>
  <c r="I44" i="24" s="1"/>
  <c r="AA22" i="24" s="1"/>
  <c r="D43" i="24"/>
  <c r="I43" i="24" s="1"/>
  <c r="AA21" i="24" s="1"/>
  <c r="D42" i="24"/>
  <c r="I42" i="24" s="1"/>
  <c r="AA20" i="24" s="1"/>
  <c r="D41" i="24"/>
  <c r="I41" i="24" s="1"/>
  <c r="AA19" i="24" s="1"/>
  <c r="D40" i="24"/>
  <c r="I40" i="24" s="1"/>
  <c r="D39" i="24"/>
  <c r="I39" i="24" s="1"/>
  <c r="D38" i="24"/>
  <c r="I38" i="24" s="1"/>
  <c r="AA12" i="24" s="1"/>
  <c r="D37" i="24"/>
  <c r="I37" i="24" s="1"/>
  <c r="D36" i="24"/>
  <c r="I36" i="24" s="1"/>
  <c r="D35" i="24"/>
  <c r="I35" i="24" s="1"/>
  <c r="D34" i="24"/>
  <c r="I34" i="24" s="1"/>
  <c r="D33" i="24"/>
  <c r="I33" i="24" s="1"/>
  <c r="D32" i="24"/>
  <c r="I32" i="24" s="1"/>
  <c r="D31" i="24"/>
  <c r="D30" i="24"/>
  <c r="D29" i="24"/>
  <c r="D28" i="24"/>
  <c r="D27" i="24"/>
  <c r="D26" i="24"/>
  <c r="D25" i="24"/>
  <c r="N25" i="24" s="1"/>
  <c r="D24" i="24"/>
  <c r="D23" i="24"/>
  <c r="D22" i="24"/>
  <c r="D21" i="24"/>
  <c r="D20" i="24"/>
  <c r="D14" i="24"/>
  <c r="D8" i="24"/>
  <c r="C78" i="5" l="1"/>
  <c r="B62" i="26"/>
  <c r="I27" i="24"/>
  <c r="AA11" i="24" s="1"/>
  <c r="N27" i="24"/>
  <c r="W51" i="24"/>
  <c r="N117" i="24"/>
  <c r="N116" i="24"/>
  <c r="N115" i="24"/>
  <c r="N113" i="24"/>
  <c r="N112" i="24"/>
  <c r="N111" i="24"/>
  <c r="N110" i="24"/>
  <c r="N109" i="24"/>
  <c r="N108" i="24"/>
  <c r="N107" i="24"/>
  <c r="N106" i="24"/>
  <c r="N105" i="24"/>
  <c r="N104" i="24"/>
  <c r="N103" i="24"/>
  <c r="N101" i="24"/>
  <c r="N100" i="24"/>
  <c r="N99" i="24"/>
  <c r="N95" i="24"/>
  <c r="N94" i="24"/>
  <c r="N93" i="24"/>
  <c r="N92" i="24"/>
  <c r="N91" i="24"/>
  <c r="N90" i="24"/>
  <c r="N71" i="24"/>
  <c r="N65" i="24"/>
  <c r="C79" i="5" l="1"/>
  <c r="B63" i="26"/>
  <c r="T47" i="24"/>
  <c r="I68" i="24"/>
  <c r="I84" i="24"/>
  <c r="I69" i="24"/>
  <c r="I77" i="24"/>
  <c r="I70" i="24"/>
  <c r="I78" i="24"/>
  <c r="I79" i="24"/>
  <c r="I72" i="24"/>
  <c r="I80" i="24"/>
  <c r="I73" i="24"/>
  <c r="I81" i="24"/>
  <c r="I66" i="24"/>
  <c r="I74" i="24"/>
  <c r="I82" i="24"/>
  <c r="I67" i="24"/>
  <c r="I75" i="24"/>
  <c r="I83" i="24"/>
  <c r="N102" i="24"/>
  <c r="C80" i="5" l="1"/>
  <c r="B64" i="26"/>
  <c r="N52" i="24"/>
  <c r="N51" i="24"/>
  <c r="K144" i="7"/>
  <c r="D680" i="24" s="1"/>
  <c r="C81" i="5" l="1"/>
  <c r="B65" i="26"/>
  <c r="F121" i="1"/>
  <c r="F120" i="1"/>
  <c r="F119" i="1"/>
  <c r="F118" i="1"/>
  <c r="F117" i="1"/>
  <c r="F116" i="1"/>
  <c r="N31" i="24"/>
  <c r="N30" i="24"/>
  <c r="I29" i="24"/>
  <c r="N28" i="24"/>
  <c r="I26" i="24"/>
  <c r="I25" i="24"/>
  <c r="N24" i="24"/>
  <c r="N23" i="24"/>
  <c r="N21" i="24"/>
  <c r="N20" i="24"/>
  <c r="C82" i="5" l="1"/>
  <c r="B66" i="26"/>
  <c r="I31" i="24"/>
  <c r="I30" i="24"/>
  <c r="I21" i="24"/>
  <c r="AA8" i="24" s="1"/>
  <c r="I22" i="24"/>
  <c r="I23" i="24"/>
  <c r="AA9" i="24" s="1"/>
  <c r="I24" i="24"/>
  <c r="AA10" i="24" s="1"/>
  <c r="I20" i="24"/>
  <c r="T10" i="24"/>
  <c r="I8" i="24"/>
  <c r="B67" i="26" l="1"/>
  <c r="C83" i="5"/>
  <c r="T9" i="24"/>
  <c r="T8" i="24"/>
  <c r="B68" i="26" l="1"/>
  <c r="C84" i="5"/>
  <c r="I110" i="23"/>
  <c r="P4" i="23"/>
  <c r="H110" i="23"/>
  <c r="D120" i="8"/>
  <c r="D121" i="8"/>
  <c r="D122" i="8"/>
  <c r="D123" i="8"/>
  <c r="D124" i="8"/>
  <c r="D119" i="8"/>
  <c r="D111" i="8"/>
  <c r="F19" i="1"/>
  <c r="G28" i="8" s="1"/>
  <c r="D40" i="8"/>
  <c r="C85" i="5" l="1"/>
  <c r="B69" i="26"/>
  <c r="F33" i="1"/>
  <c r="G40" i="8"/>
  <c r="B70" i="26" l="1"/>
  <c r="C86" i="5"/>
  <c r="I76" i="5"/>
  <c r="I75" i="5"/>
  <c r="D578" i="24" l="1"/>
  <c r="O75" i="5"/>
  <c r="C70" i="29"/>
  <c r="E60" i="26"/>
  <c r="BD60" i="26" s="1"/>
  <c r="K75" i="5"/>
  <c r="L75" i="5"/>
  <c r="B71" i="26"/>
  <c r="C87" i="5"/>
  <c r="H77" i="9"/>
  <c r="R578" i="24" l="1"/>
  <c r="J578" i="24"/>
  <c r="Z578" i="24"/>
  <c r="N578" i="24"/>
  <c r="C88" i="5"/>
  <c r="B72" i="26"/>
  <c r="C23" i="9"/>
  <c r="C24" i="9"/>
  <c r="E91" i="8"/>
  <c r="E92" i="8"/>
  <c r="B73" i="26" l="1"/>
  <c r="C89" i="5"/>
  <c r="I453" i="24"/>
  <c r="V453" i="24" s="1"/>
  <c r="H77" i="8"/>
  <c r="K77" i="8" s="1"/>
  <c r="H76" i="8"/>
  <c r="K76" i="8" s="1"/>
  <c r="E24" i="9"/>
  <c r="F24" i="9" s="1"/>
  <c r="G24" i="9" s="1"/>
  <c r="H24" i="9" s="1"/>
  <c r="I24" i="9" s="1"/>
  <c r="J24" i="9" s="1"/>
  <c r="K24" i="9" s="1"/>
  <c r="L24" i="9" s="1"/>
  <c r="M24" i="9" s="1"/>
  <c r="N24" i="9" s="1"/>
  <c r="O24" i="9" s="1"/>
  <c r="P24" i="9" s="1"/>
  <c r="Q24" i="9" s="1"/>
  <c r="R24" i="9" s="1"/>
  <c r="S24" i="9" s="1"/>
  <c r="T24" i="9" s="1"/>
  <c r="U24" i="9" s="1"/>
  <c r="V24" i="9" s="1"/>
  <c r="W24" i="9" s="1"/>
  <c r="X24" i="9" s="1"/>
  <c r="F23" i="9"/>
  <c r="C90" i="5" l="1"/>
  <c r="B74" i="26"/>
  <c r="G23" i="9"/>
  <c r="B75" i="26" l="1"/>
  <c r="C91" i="5"/>
  <c r="H23" i="9"/>
  <c r="C92" i="5" l="1"/>
  <c r="B76" i="26"/>
  <c r="I23" i="9"/>
  <c r="J19" i="14"/>
  <c r="O158" i="5"/>
  <c r="O157" i="5"/>
  <c r="O156" i="5"/>
  <c r="B77" i="26" l="1"/>
  <c r="C93" i="5"/>
  <c r="J23" i="9"/>
  <c r="L33" i="3"/>
  <c r="L317" i="24" s="1"/>
  <c r="Z317" i="24" s="1"/>
  <c r="L32" i="3"/>
  <c r="L316" i="24" s="1"/>
  <c r="Z316" i="24" s="1"/>
  <c r="L31" i="3"/>
  <c r="L315" i="24" s="1"/>
  <c r="Z315" i="24" s="1"/>
  <c r="L30" i="3"/>
  <c r="L314" i="24" s="1"/>
  <c r="Z314" i="24" s="1"/>
  <c r="L29" i="3"/>
  <c r="L313" i="24" s="1"/>
  <c r="Z313" i="24" s="1"/>
  <c r="L28" i="3"/>
  <c r="L312" i="24" s="1"/>
  <c r="Z312" i="24" s="1"/>
  <c r="L27" i="3"/>
  <c r="L311" i="24" s="1"/>
  <c r="Z311" i="24" s="1"/>
  <c r="L26" i="3"/>
  <c r="L310" i="24" s="1"/>
  <c r="Z310" i="24" s="1"/>
  <c r="L25" i="3"/>
  <c r="L309" i="24" s="1"/>
  <c r="Z309" i="24" s="1"/>
  <c r="L24" i="3"/>
  <c r="L308" i="24" s="1"/>
  <c r="Z308" i="24" s="1"/>
  <c r="L23" i="3"/>
  <c r="L307" i="24" s="1"/>
  <c r="Z307" i="24" s="1"/>
  <c r="L22" i="3"/>
  <c r="L306" i="24" s="1"/>
  <c r="Z306" i="24" s="1"/>
  <c r="L21" i="3"/>
  <c r="L305" i="24" s="1"/>
  <c r="Z305" i="24" s="1"/>
  <c r="L20" i="3"/>
  <c r="L304" i="24" s="1"/>
  <c r="Z304" i="24" s="1"/>
  <c r="L19" i="3"/>
  <c r="L303" i="24" s="1"/>
  <c r="Z303" i="24" s="1"/>
  <c r="L18" i="3"/>
  <c r="L302" i="24" s="1"/>
  <c r="Z302" i="24" s="1"/>
  <c r="L17" i="3"/>
  <c r="L301" i="24" s="1"/>
  <c r="Z301" i="24" s="1"/>
  <c r="N76" i="3"/>
  <c r="N75" i="3"/>
  <c r="N74" i="3"/>
  <c r="N73" i="3"/>
  <c r="N72" i="3"/>
  <c r="L16" i="3"/>
  <c r="L300" i="24" s="1"/>
  <c r="Z300" i="24" s="1"/>
  <c r="L12" i="3"/>
  <c r="L296" i="24" s="1"/>
  <c r="Z296" i="24" s="1"/>
  <c r="M58" i="3"/>
  <c r="N58" i="3" s="1"/>
  <c r="M57" i="3"/>
  <c r="N57" i="3" s="1"/>
  <c r="M56" i="3"/>
  <c r="N56" i="3" s="1"/>
  <c r="M55" i="3"/>
  <c r="N55" i="3" s="1"/>
  <c r="M54" i="3"/>
  <c r="N54" i="3" s="1"/>
  <c r="M53" i="3"/>
  <c r="N53" i="3" s="1"/>
  <c r="M52" i="3"/>
  <c r="N52" i="3" s="1"/>
  <c r="M51" i="3"/>
  <c r="N51" i="3" s="1"/>
  <c r="M50" i="3"/>
  <c r="N50" i="3" s="1"/>
  <c r="M49" i="3"/>
  <c r="N49" i="3" s="1"/>
  <c r="C94" i="5" l="1"/>
  <c r="B78" i="26"/>
  <c r="N81" i="3"/>
  <c r="E10" i="9"/>
  <c r="K23" i="9"/>
  <c r="AI304" i="24"/>
  <c r="AI312" i="24"/>
  <c r="AI310" i="24"/>
  <c r="AI305" i="24"/>
  <c r="AI313" i="24"/>
  <c r="AI307" i="24"/>
  <c r="AI315" i="24"/>
  <c r="AI311" i="24"/>
  <c r="AI306" i="24"/>
  <c r="AI308" i="24"/>
  <c r="AI316" i="24"/>
  <c r="AI314" i="24"/>
  <c r="AI309" i="24"/>
  <c r="AI317" i="24"/>
  <c r="AI302" i="24"/>
  <c r="AI296" i="24"/>
  <c r="AI303" i="24"/>
  <c r="AI300" i="24"/>
  <c r="AI301" i="24"/>
  <c r="M31" i="3"/>
  <c r="N31" i="3" s="1"/>
  <c r="M30" i="3"/>
  <c r="N30" i="3" s="1"/>
  <c r="M29" i="3"/>
  <c r="N29" i="3" s="1"/>
  <c r="M28" i="3"/>
  <c r="N28" i="3" s="1"/>
  <c r="M27" i="3"/>
  <c r="N27" i="3" s="1"/>
  <c r="M26" i="3"/>
  <c r="N26" i="3" s="1"/>
  <c r="B79" i="26" l="1"/>
  <c r="C95" i="5"/>
  <c r="E15" i="9"/>
  <c r="F10" i="9"/>
  <c r="G10" i="9" s="1"/>
  <c r="H10" i="9" s="1"/>
  <c r="I10" i="9" s="1"/>
  <c r="J10" i="9" s="1"/>
  <c r="K10" i="9" s="1"/>
  <c r="L10" i="9" s="1"/>
  <c r="M10" i="9" s="1"/>
  <c r="N10" i="9" s="1"/>
  <c r="O10" i="9" s="1"/>
  <c r="P10" i="9" s="1"/>
  <c r="Q10" i="9" s="1"/>
  <c r="R10" i="9" s="1"/>
  <c r="S10" i="9" s="1"/>
  <c r="T10" i="9" s="1"/>
  <c r="U10" i="9" s="1"/>
  <c r="V10" i="9" s="1"/>
  <c r="W10" i="9" s="1"/>
  <c r="X10" i="9" s="1"/>
  <c r="L23" i="9"/>
  <c r="T73" i="24"/>
  <c r="AA13" i="24" s="1"/>
  <c r="C96" i="5" l="1"/>
  <c r="B80" i="26"/>
  <c r="M23" i="9"/>
  <c r="E451" i="24"/>
  <c r="C97" i="5" l="1"/>
  <c r="B81" i="26"/>
  <c r="N23" i="9"/>
  <c r="M3" i="5"/>
  <c r="M4" i="6"/>
  <c r="B82" i="26" l="1"/>
  <c r="C98" i="5"/>
  <c r="O23" i="9"/>
  <c r="F56" i="16"/>
  <c r="E56" i="16"/>
  <c r="L84" i="16"/>
  <c r="L28" i="16"/>
  <c r="L68" i="16"/>
  <c r="L43" i="16"/>
  <c r="L27" i="16"/>
  <c r="B83" i="26" l="1"/>
  <c r="C99" i="5"/>
  <c r="P23" i="9"/>
  <c r="L83" i="16"/>
  <c r="L82" i="16"/>
  <c r="L81" i="16"/>
  <c r="L42" i="16"/>
  <c r="L66" i="16"/>
  <c r="L67" i="16"/>
  <c r="L65" i="16"/>
  <c r="L41" i="16"/>
  <c r="L26" i="16"/>
  <c r="G48" i="16"/>
  <c r="F48" i="16"/>
  <c r="E48" i="16"/>
  <c r="J97" i="8"/>
  <c r="I97" i="8"/>
  <c r="H97" i="8"/>
  <c r="J96" i="8"/>
  <c r="I96" i="8"/>
  <c r="H96" i="8"/>
  <c r="G97" i="8"/>
  <c r="G96" i="8"/>
  <c r="J91" i="8"/>
  <c r="K96" i="8"/>
  <c r="E96" i="8"/>
  <c r="C96" i="8"/>
  <c r="C100" i="5" l="1"/>
  <c r="B84" i="26"/>
  <c r="Q23" i="9"/>
  <c r="C101" i="5" l="1"/>
  <c r="B85" i="26"/>
  <c r="R23" i="9"/>
  <c r="M12" i="3"/>
  <c r="C102" i="5" l="1"/>
  <c r="B86" i="26"/>
  <c r="S23" i="9"/>
  <c r="L194" i="5"/>
  <c r="F123" i="1"/>
  <c r="F141" i="1"/>
  <c r="C103" i="5" l="1"/>
  <c r="B87" i="26"/>
  <c r="T23" i="9"/>
  <c r="K177" i="1"/>
  <c r="C104" i="5" l="1"/>
  <c r="C108" i="5"/>
  <c r="B93" i="26" s="1"/>
  <c r="B88" i="26"/>
  <c r="U23" i="9"/>
  <c r="D45" i="9"/>
  <c r="D44" i="9"/>
  <c r="C37" i="9"/>
  <c r="G92" i="8"/>
  <c r="C92" i="8"/>
  <c r="C105" i="5" l="1"/>
  <c r="B89" i="26"/>
  <c r="C109" i="5"/>
  <c r="B94" i="26" s="1"/>
  <c r="V23" i="9"/>
  <c r="J106" i="8"/>
  <c r="E97" i="8"/>
  <c r="E95" i="8"/>
  <c r="E94" i="8"/>
  <c r="E93" i="8"/>
  <c r="E90" i="8"/>
  <c r="E89" i="8"/>
  <c r="D135" i="8"/>
  <c r="K136" i="8"/>
  <c r="J8" i="8"/>
  <c r="E11" i="8"/>
  <c r="E10" i="8"/>
  <c r="E9" i="8"/>
  <c r="C106" i="5" l="1"/>
  <c r="C110" i="5"/>
  <c r="B95" i="26" s="1"/>
  <c r="B90" i="26"/>
  <c r="W23" i="9"/>
  <c r="M33" i="3"/>
  <c r="N33" i="3" s="1"/>
  <c r="M32" i="3"/>
  <c r="N32" i="3" s="1"/>
  <c r="J105" i="8"/>
  <c r="J104" i="8"/>
  <c r="J103" i="8"/>
  <c r="J102" i="8"/>
  <c r="O162" i="5"/>
  <c r="C107" i="5" l="1"/>
  <c r="B91" i="26"/>
  <c r="C111" i="5"/>
  <c r="B96" i="26" s="1"/>
  <c r="X23" i="9"/>
  <c r="J125" i="8"/>
  <c r="I52" i="6"/>
  <c r="B92" i="26" l="1"/>
  <c r="C112" i="5"/>
  <c r="O155" i="5"/>
  <c r="O154" i="5"/>
  <c r="O163" i="5" s="1"/>
  <c r="O149" i="5"/>
  <c r="O148" i="5"/>
  <c r="O147" i="5"/>
  <c r="O146" i="5"/>
  <c r="O145" i="5"/>
  <c r="O143" i="5"/>
  <c r="O142" i="5"/>
  <c r="O141" i="5"/>
  <c r="O140" i="5"/>
  <c r="O139" i="5"/>
  <c r="G136" i="5"/>
  <c r="B97" i="26" l="1"/>
  <c r="C113" i="5"/>
  <c r="J169" i="7"/>
  <c r="G60" i="6" l="1"/>
  <c r="E484" i="24" s="1"/>
  <c r="G59" i="6"/>
  <c r="E483" i="24" s="1"/>
  <c r="G58" i="6"/>
  <c r="E482" i="24" l="1"/>
  <c r="G127" i="1"/>
  <c r="J93" i="3" l="1"/>
  <c r="G41" i="3"/>
  <c r="G59" i="3"/>
  <c r="G5" i="19" l="1"/>
  <c r="F27" i="20" l="1"/>
  <c r="F26" i="20"/>
  <c r="F25" i="20"/>
  <c r="F24" i="20"/>
  <c r="F23" i="20"/>
  <c r="F22" i="20"/>
  <c r="D763" i="24" l="1"/>
  <c r="I763" i="24" s="1"/>
  <c r="D762" i="24"/>
  <c r="I762" i="24" s="1"/>
  <c r="N5" i="7"/>
  <c r="K3" i="8"/>
  <c r="F30" i="1"/>
  <c r="F29" i="1"/>
  <c r="F28" i="1"/>
  <c r="G35" i="8"/>
  <c r="F26" i="1"/>
  <c r="G34" i="8" s="1"/>
  <c r="F25" i="1"/>
  <c r="F24" i="1"/>
  <c r="C30" i="1"/>
  <c r="C29" i="1"/>
  <c r="C28" i="1"/>
  <c r="C27" i="1"/>
  <c r="C35" i="8" s="1"/>
  <c r="C26" i="1"/>
  <c r="C34" i="8" s="1"/>
  <c r="C25" i="1"/>
  <c r="C24" i="1"/>
  <c r="G41" i="8"/>
  <c r="D679" i="24"/>
  <c r="E143" i="7"/>
  <c r="D678" i="24" s="1"/>
  <c r="L203" i="5" l="1"/>
  <c r="I210" i="5"/>
  <c r="F29" i="20" l="1"/>
  <c r="B27" i="20" l="1"/>
  <c r="B26" i="20"/>
  <c r="B25" i="20"/>
  <c r="B24" i="20"/>
  <c r="B23" i="20"/>
  <c r="B22" i="20"/>
  <c r="N3" i="20" l="1"/>
  <c r="N4" i="20"/>
  <c r="F222" i="7"/>
  <c r="I13" i="19" l="1"/>
  <c r="I18" i="19"/>
  <c r="E21" i="19"/>
  <c r="F21" i="19"/>
  <c r="I21" i="19"/>
  <c r="I30" i="19"/>
  <c r="I35" i="19"/>
  <c r="E41" i="19"/>
  <c r="I41" i="19"/>
  <c r="F46" i="19" l="1"/>
  <c r="F56" i="19" s="1"/>
  <c r="D1061" i="24" s="1"/>
  <c r="I1061" i="24" s="1"/>
  <c r="E46" i="19"/>
  <c r="E56" i="19" s="1"/>
  <c r="I56" i="19"/>
  <c r="G64" i="8"/>
  <c r="C64" i="8"/>
  <c r="C8" i="9"/>
  <c r="C7" i="9"/>
  <c r="C10" i="9"/>
  <c r="I451" i="24"/>
  <c r="D15" i="24" l="1"/>
  <c r="N15" i="24" s="1"/>
  <c r="H64" i="8"/>
  <c r="K64" i="8" l="1"/>
  <c r="C41" i="8"/>
  <c r="E825" i="24" l="1"/>
  <c r="F15" i="9"/>
  <c r="F71" i="16"/>
  <c r="E71" i="16"/>
  <c r="F75" i="16"/>
  <c r="E75" i="16"/>
  <c r="G74" i="16"/>
  <c r="G73" i="16"/>
  <c r="F59" i="16"/>
  <c r="E59" i="16"/>
  <c r="G51" i="16"/>
  <c r="F51" i="16"/>
  <c r="G58" i="16"/>
  <c r="F35" i="16"/>
  <c r="E35" i="16"/>
  <c r="G34" i="16"/>
  <c r="G33" i="16"/>
  <c r="F20" i="16"/>
  <c r="E20" i="16"/>
  <c r="F55" i="16"/>
  <c r="E55" i="16"/>
  <c r="G19" i="16"/>
  <c r="G47" i="16"/>
  <c r="F47" i="16"/>
  <c r="E47" i="16"/>
  <c r="G15" i="9" l="1"/>
  <c r="F825" i="24"/>
  <c r="E897" i="24"/>
  <c r="E829" i="24"/>
  <c r="E899" i="24" s="1"/>
  <c r="G35" i="16"/>
  <c r="G75" i="16"/>
  <c r="E51" i="16"/>
  <c r="G59" i="16" s="1"/>
  <c r="G20" i="16"/>
  <c r="G57" i="16"/>
  <c r="G825" i="24" l="1"/>
  <c r="F897" i="24"/>
  <c r="F829" i="24"/>
  <c r="F899" i="24" s="1"/>
  <c r="H15" i="9"/>
  <c r="D57" i="9"/>
  <c r="J77" i="9"/>
  <c r="C118" i="5" l="1"/>
  <c r="H825" i="24"/>
  <c r="G897" i="24"/>
  <c r="G829" i="24"/>
  <c r="G899" i="24" s="1"/>
  <c r="K97" i="8"/>
  <c r="K95" i="8"/>
  <c r="K94" i="8"/>
  <c r="K93" i="8"/>
  <c r="K91" i="8"/>
  <c r="G37" i="8"/>
  <c r="C38" i="8"/>
  <c r="C37" i="8"/>
  <c r="C36" i="8"/>
  <c r="C33" i="8"/>
  <c r="C32" i="8"/>
  <c r="C30" i="8"/>
  <c r="C29" i="8"/>
  <c r="C28" i="8"/>
  <c r="C27" i="8"/>
  <c r="K135" i="8"/>
  <c r="K134" i="8"/>
  <c r="K133" i="8"/>
  <c r="K132" i="8"/>
  <c r="C129" i="8"/>
  <c r="C97" i="8"/>
  <c r="O144" i="5"/>
  <c r="O150" i="5" s="1"/>
  <c r="C119" i="5" l="1"/>
  <c r="B99" i="26"/>
  <c r="I825" i="24"/>
  <c r="I829" i="24" s="1"/>
  <c r="I899" i="24" s="1"/>
  <c r="I15" i="9"/>
  <c r="H897" i="24"/>
  <c r="H829" i="24"/>
  <c r="H899" i="24" s="1"/>
  <c r="J15" i="9"/>
  <c r="M25" i="3"/>
  <c r="N25" i="3" s="1"/>
  <c r="M24" i="3"/>
  <c r="N24" i="3" s="1"/>
  <c r="M23" i="3"/>
  <c r="N23" i="3" s="1"/>
  <c r="M22" i="3"/>
  <c r="N22" i="3" s="1"/>
  <c r="M21" i="3"/>
  <c r="N21" i="3" s="1"/>
  <c r="M20" i="3"/>
  <c r="N20" i="3" s="1"/>
  <c r="M18" i="3"/>
  <c r="N18" i="3" s="1"/>
  <c r="M17" i="3"/>
  <c r="N17" i="3" s="1"/>
  <c r="M16" i="3"/>
  <c r="N16" i="3" s="1"/>
  <c r="J182" i="5"/>
  <c r="I23" i="5"/>
  <c r="C120" i="5" l="1"/>
  <c r="B100" i="26"/>
  <c r="J183" i="5"/>
  <c r="J184" i="5" s="1"/>
  <c r="J172" i="5"/>
  <c r="I897" i="24"/>
  <c r="K15" i="9"/>
  <c r="J825" i="24"/>
  <c r="M19" i="3"/>
  <c r="N19" i="3" s="1"/>
  <c r="L164" i="7"/>
  <c r="C121" i="5" l="1"/>
  <c r="B101" i="26"/>
  <c r="J897" i="24"/>
  <c r="J829" i="24"/>
  <c r="J899" i="24" s="1"/>
  <c r="K825" i="24"/>
  <c r="L15" i="9"/>
  <c r="K13" i="20"/>
  <c r="K15" i="20" s="1"/>
  <c r="L13" i="20"/>
  <c r="L15" i="20" s="1"/>
  <c r="F14" i="20"/>
  <c r="F15" i="20" s="1"/>
  <c r="F18" i="20" s="1"/>
  <c r="F19" i="20" s="1"/>
  <c r="F32" i="20" s="1"/>
  <c r="C122" i="5" l="1"/>
  <c r="B102" i="26"/>
  <c r="L825" i="24"/>
  <c r="M15" i="9"/>
  <c r="K897" i="24"/>
  <c r="K829" i="24"/>
  <c r="K899" i="24" s="1"/>
  <c r="M11" i="20"/>
  <c r="M15" i="20"/>
  <c r="M13" i="20"/>
  <c r="B103" i="26" l="1"/>
  <c r="C123" i="5"/>
  <c r="M825" i="24"/>
  <c r="N15" i="9"/>
  <c r="L897" i="24"/>
  <c r="L829" i="24"/>
  <c r="L899" i="24" s="1"/>
  <c r="F133" i="1"/>
  <c r="C124" i="5" l="1"/>
  <c r="B104" i="26"/>
  <c r="O15" i="9"/>
  <c r="N825" i="24"/>
  <c r="M897" i="24"/>
  <c r="M829" i="24"/>
  <c r="M899" i="24" s="1"/>
  <c r="J451" i="24"/>
  <c r="C125" i="5" l="1"/>
  <c r="B105" i="26"/>
  <c r="N897" i="24"/>
  <c r="N829" i="24"/>
  <c r="N899" i="24" s="1"/>
  <c r="O825" i="24"/>
  <c r="P15" i="9"/>
  <c r="J207" i="5"/>
  <c r="K208" i="5"/>
  <c r="J198" i="5"/>
  <c r="J197" i="5"/>
  <c r="C126" i="5" l="1"/>
  <c r="C127" i="5" s="1"/>
  <c r="C133" i="5" s="1"/>
  <c r="B106" i="26"/>
  <c r="Q15" i="9"/>
  <c r="P825" i="24"/>
  <c r="O897" i="24"/>
  <c r="O829" i="24"/>
  <c r="O899" i="24" s="1"/>
  <c r="K211" i="5"/>
  <c r="K209" i="5"/>
  <c r="K183" i="5"/>
  <c r="J208" i="5"/>
  <c r="J209" i="5" s="1"/>
  <c r="J211" i="5" s="1"/>
  <c r="K186" i="5" l="1"/>
  <c r="K184" i="5"/>
  <c r="C134" i="5"/>
  <c r="B108" i="26"/>
  <c r="P897" i="24"/>
  <c r="P829" i="24"/>
  <c r="P899" i="24" s="1"/>
  <c r="R15" i="9"/>
  <c r="Q825" i="24"/>
  <c r="M211" i="5"/>
  <c r="J4" i="2"/>
  <c r="C135" i="5" l="1"/>
  <c r="C139" i="5" s="1"/>
  <c r="B109" i="26"/>
  <c r="Q897" i="24"/>
  <c r="Q829" i="24"/>
  <c r="Q899" i="24" s="1"/>
  <c r="S15" i="9"/>
  <c r="R825" i="24"/>
  <c r="H74" i="4"/>
  <c r="C140" i="5" l="1"/>
  <c r="B111" i="26"/>
  <c r="T15" i="9"/>
  <c r="S825" i="24"/>
  <c r="R897" i="24"/>
  <c r="R829" i="24"/>
  <c r="R899" i="24" s="1"/>
  <c r="C102" i="8"/>
  <c r="C95" i="8"/>
  <c r="C94" i="8"/>
  <c r="C93" i="8"/>
  <c r="C91" i="8"/>
  <c r="C90" i="8"/>
  <c r="C89" i="8"/>
  <c r="C141" i="5" l="1"/>
  <c r="B112" i="26"/>
  <c r="U15" i="9"/>
  <c r="T825" i="24"/>
  <c r="S897" i="24"/>
  <c r="S829" i="24"/>
  <c r="S899" i="24" s="1"/>
  <c r="H3" i="10"/>
  <c r="G4" i="19"/>
  <c r="J2" i="14"/>
  <c r="J3" i="14"/>
  <c r="G3" i="16"/>
  <c r="X2" i="9"/>
  <c r="K3" i="4"/>
  <c r="N3" i="3"/>
  <c r="J3" i="2"/>
  <c r="C142" i="5" l="1"/>
  <c r="B113" i="26"/>
  <c r="V15" i="9"/>
  <c r="U825" i="24"/>
  <c r="T897" i="24"/>
  <c r="T829" i="24"/>
  <c r="T899" i="24" s="1"/>
  <c r="G32" i="8"/>
  <c r="C143" i="5" l="1"/>
  <c r="B114" i="26"/>
  <c r="U897" i="24"/>
  <c r="U829" i="24"/>
  <c r="U899" i="24" s="1"/>
  <c r="W15" i="9"/>
  <c r="V825" i="24"/>
  <c r="K33" i="8"/>
  <c r="K32" i="8"/>
  <c r="K31" i="8"/>
  <c r="K30" i="8"/>
  <c r="K29" i="8"/>
  <c r="K28" i="8"/>
  <c r="K27" i="8"/>
  <c r="C144" i="5" l="1"/>
  <c r="B115" i="26"/>
  <c r="V897" i="24"/>
  <c r="V829" i="24"/>
  <c r="V899" i="24" s="1"/>
  <c r="W825" i="24"/>
  <c r="K57" i="4"/>
  <c r="E22" i="9" s="1"/>
  <c r="F22" i="9" s="1"/>
  <c r="G22" i="9" s="1"/>
  <c r="H22" i="9" s="1"/>
  <c r="I22" i="9" s="1"/>
  <c r="J22" i="9" s="1"/>
  <c r="K22" i="9" s="1"/>
  <c r="L22" i="9" s="1"/>
  <c r="M22" i="9" s="1"/>
  <c r="N22" i="9" s="1"/>
  <c r="O22" i="9" s="1"/>
  <c r="P22" i="9" s="1"/>
  <c r="Q22" i="9" s="1"/>
  <c r="R22" i="9" s="1"/>
  <c r="S22" i="9" s="1"/>
  <c r="T22" i="9" s="1"/>
  <c r="U22" i="9" s="1"/>
  <c r="V22" i="9" s="1"/>
  <c r="W22" i="9" s="1"/>
  <c r="X22" i="9" s="1"/>
  <c r="C145" i="5" l="1"/>
  <c r="B116" i="26"/>
  <c r="X825" i="24"/>
  <c r="X829" i="24" s="1"/>
  <c r="X899" i="24" s="1"/>
  <c r="X15" i="9"/>
  <c r="W897" i="24"/>
  <c r="W829" i="24"/>
  <c r="W899" i="24" s="1"/>
  <c r="X3" i="9"/>
  <c r="G2" i="16"/>
  <c r="H4" i="10"/>
  <c r="N6" i="7"/>
  <c r="M5" i="6"/>
  <c r="C146" i="5" l="1"/>
  <c r="B117" i="26"/>
  <c r="X897" i="24"/>
  <c r="F35" i="20"/>
  <c r="G19" i="14"/>
  <c r="G18" i="14"/>
  <c r="C147" i="5" l="1"/>
  <c r="B118" i="26"/>
  <c r="J126" i="7"/>
  <c r="J125" i="7"/>
  <c r="B119" i="26" l="1"/>
  <c r="C148" i="5"/>
  <c r="J150" i="5"/>
  <c r="C149" i="5" l="1"/>
  <c r="B120" i="26"/>
  <c r="G38" i="8"/>
  <c r="C150" i="5" l="1"/>
  <c r="C154" i="5" s="1"/>
  <c r="B121" i="26"/>
  <c r="J20" i="14"/>
  <c r="J22" i="14" s="1"/>
  <c r="G17" i="14"/>
  <c r="G16" i="14"/>
  <c r="G15" i="14"/>
  <c r="C155" i="5" l="1"/>
  <c r="B123" i="26"/>
  <c r="G14" i="14"/>
  <c r="G21" i="14" s="1"/>
  <c r="I34" i="14" s="1"/>
  <c r="F44" i="14" s="1"/>
  <c r="C156" i="5" l="1"/>
  <c r="B124" i="26"/>
  <c r="C157" i="5" l="1"/>
  <c r="B125" i="26"/>
  <c r="F36" i="20"/>
  <c r="F37" i="20" s="1"/>
  <c r="C158" i="5" l="1"/>
  <c r="B126" i="26"/>
  <c r="G33" i="8"/>
  <c r="C159" i="5" l="1"/>
  <c r="B127" i="26"/>
  <c r="M4" i="5"/>
  <c r="K4" i="8"/>
  <c r="B128" i="26" l="1"/>
  <c r="C160" i="5"/>
  <c r="M11" i="3"/>
  <c r="N11" i="3" s="1"/>
  <c r="L295" i="24"/>
  <c r="Z295" i="24" s="1"/>
  <c r="C161" i="5" l="1"/>
  <c r="B129" i="26"/>
  <c r="AI295" i="24"/>
  <c r="E8" i="8"/>
  <c r="H79" i="8"/>
  <c r="G89" i="8"/>
  <c r="H89" i="8"/>
  <c r="I89" i="8"/>
  <c r="J89" i="8"/>
  <c r="K89" i="8"/>
  <c r="G90" i="8"/>
  <c r="H90" i="8"/>
  <c r="I90" i="8"/>
  <c r="G91" i="8"/>
  <c r="H91" i="8"/>
  <c r="I91" i="8"/>
  <c r="G93" i="8"/>
  <c r="H93" i="8"/>
  <c r="I93" i="8"/>
  <c r="J93" i="8"/>
  <c r="G94" i="8"/>
  <c r="H94" i="8"/>
  <c r="I94" i="8"/>
  <c r="J94" i="8"/>
  <c r="G95" i="8"/>
  <c r="H95" i="8"/>
  <c r="I95" i="8"/>
  <c r="J95" i="8"/>
  <c r="F212" i="7"/>
  <c r="G212" i="7"/>
  <c r="J164" i="7" s="1"/>
  <c r="I12" i="5"/>
  <c r="G13" i="5" s="1"/>
  <c r="N24" i="5"/>
  <c r="I28" i="5"/>
  <c r="I29" i="5"/>
  <c r="I30" i="5"/>
  <c r="M61" i="5"/>
  <c r="N61" i="5"/>
  <c r="M113" i="5"/>
  <c r="K156" i="8"/>
  <c r="K159" i="8"/>
  <c r="K32" i="4"/>
  <c r="E21" i="9" s="1"/>
  <c r="F21" i="9" s="1"/>
  <c r="G21" i="9" s="1"/>
  <c r="H21" i="9" s="1"/>
  <c r="I21" i="9" s="1"/>
  <c r="J21" i="9" s="1"/>
  <c r="K21" i="9" s="1"/>
  <c r="L21" i="9" s="1"/>
  <c r="M21" i="9" s="1"/>
  <c r="N21" i="9" s="1"/>
  <c r="O21" i="9" s="1"/>
  <c r="P21" i="9" s="1"/>
  <c r="Q21" i="9" s="1"/>
  <c r="R21" i="9" s="1"/>
  <c r="S21" i="9" s="1"/>
  <c r="T21" i="9" s="1"/>
  <c r="U21" i="9" s="1"/>
  <c r="V21" i="9" s="1"/>
  <c r="W21" i="9" s="1"/>
  <c r="X21" i="9" s="1"/>
  <c r="H75" i="8"/>
  <c r="K75" i="8" s="1"/>
  <c r="L14" i="3"/>
  <c r="L15" i="3"/>
  <c r="M48" i="3"/>
  <c r="N48" i="3" s="1"/>
  <c r="F59" i="3"/>
  <c r="I93" i="3"/>
  <c r="G36" i="8"/>
  <c r="H163" i="1" l="1"/>
  <c r="J13" i="8"/>
  <c r="O30" i="6"/>
  <c r="J12" i="8"/>
  <c r="C162" i="5"/>
  <c r="B130" i="26"/>
  <c r="M347" i="24"/>
  <c r="H161" i="1"/>
  <c r="H165" i="1" s="1"/>
  <c r="I165" i="1" s="1"/>
  <c r="O29" i="6"/>
  <c r="C222" i="7"/>
  <c r="M346" i="24"/>
  <c r="M343" i="24"/>
  <c r="M15" i="3"/>
  <c r="N15" i="3" s="1"/>
  <c r="L299" i="24"/>
  <c r="Z299" i="24" s="1"/>
  <c r="M14" i="3"/>
  <c r="N14" i="3" s="1"/>
  <c r="L298" i="24"/>
  <c r="Z298" i="24" s="1"/>
  <c r="M13" i="3"/>
  <c r="N13" i="3" s="1"/>
  <c r="L297" i="24"/>
  <c r="Z297" i="24" s="1"/>
  <c r="G62" i="8"/>
  <c r="E25" i="9"/>
  <c r="G25" i="9" s="1"/>
  <c r="H25" i="9" s="1"/>
  <c r="I25" i="9" s="1"/>
  <c r="J25" i="9" s="1"/>
  <c r="K25" i="9" s="1"/>
  <c r="L25" i="9" s="1"/>
  <c r="M25" i="9" s="1"/>
  <c r="N25" i="9" s="1"/>
  <c r="O25" i="9" s="1"/>
  <c r="P25" i="9" s="1"/>
  <c r="Q25" i="9" s="1"/>
  <c r="R25" i="9" s="1"/>
  <c r="S25" i="9" s="1"/>
  <c r="T25" i="9" s="1"/>
  <c r="U25" i="9" s="1"/>
  <c r="V25" i="9" s="1"/>
  <c r="W25" i="9" s="1"/>
  <c r="X25" i="9" s="1"/>
  <c r="H78" i="8"/>
  <c r="K78" i="8" s="1"/>
  <c r="J194" i="7"/>
  <c r="M24" i="5"/>
  <c r="M59" i="6"/>
  <c r="E205" i="26" s="1"/>
  <c r="BD205" i="26" s="1"/>
  <c r="M58" i="6"/>
  <c r="E204" i="26" s="1"/>
  <c r="BD204" i="26" s="1"/>
  <c r="N77" i="3"/>
  <c r="E9" i="9" s="1"/>
  <c r="H63" i="8"/>
  <c r="G61" i="8"/>
  <c r="E26" i="9"/>
  <c r="F26" i="9" s="1"/>
  <c r="G26" i="9" s="1"/>
  <c r="H26" i="9" s="1"/>
  <c r="I26" i="9" s="1"/>
  <c r="J26" i="9" s="1"/>
  <c r="K26" i="9" s="1"/>
  <c r="L26" i="9" s="1"/>
  <c r="M26" i="9" s="1"/>
  <c r="N26" i="9" s="1"/>
  <c r="O26" i="9" s="1"/>
  <c r="P26" i="9" s="1"/>
  <c r="Q26" i="9" s="1"/>
  <c r="R26" i="9" s="1"/>
  <c r="S26" i="9" s="1"/>
  <c r="T26" i="9" s="1"/>
  <c r="U26" i="9" s="1"/>
  <c r="V26" i="9" s="1"/>
  <c r="W26" i="9" s="1"/>
  <c r="X26" i="9" s="1"/>
  <c r="K79" i="8"/>
  <c r="K154" i="8"/>
  <c r="H74" i="8"/>
  <c r="K74" i="8" s="1"/>
  <c r="M59" i="3"/>
  <c r="J186" i="5"/>
  <c r="N59" i="3"/>
  <c r="N12" i="3"/>
  <c r="N4" i="3"/>
  <c r="K35" i="8" l="1"/>
  <c r="M348" i="24"/>
  <c r="I174" i="7"/>
  <c r="J174" i="7"/>
  <c r="N61" i="3"/>
  <c r="N62" i="3" s="1"/>
  <c r="E8" i="9"/>
  <c r="E14" i="9"/>
  <c r="F9" i="9"/>
  <c r="H9" i="9" s="1"/>
  <c r="I9" i="9" s="1"/>
  <c r="J9" i="9" s="1"/>
  <c r="K9" i="9" s="1"/>
  <c r="L9" i="9" s="1"/>
  <c r="M9" i="9" s="1"/>
  <c r="N9" i="9" s="1"/>
  <c r="O9" i="9" s="1"/>
  <c r="P9" i="9" s="1"/>
  <c r="Q9" i="9" s="1"/>
  <c r="R9" i="9" s="1"/>
  <c r="S9" i="9" s="1"/>
  <c r="T9" i="9" s="1"/>
  <c r="U9" i="9" s="1"/>
  <c r="V9" i="9" s="1"/>
  <c r="W9" i="9" s="1"/>
  <c r="X9" i="9" s="1"/>
  <c r="N79" i="3"/>
  <c r="N82" i="3" s="1"/>
  <c r="L482" i="24"/>
  <c r="Q482" i="24" s="1"/>
  <c r="G40" i="29"/>
  <c r="L483" i="24"/>
  <c r="Q483" i="24" s="1"/>
  <c r="G41" i="29"/>
  <c r="C163" i="5"/>
  <c r="C164" i="5" s="1"/>
  <c r="B131" i="26"/>
  <c r="M127" i="5"/>
  <c r="O24" i="5"/>
  <c r="E112" i="23"/>
  <c r="M41" i="3"/>
  <c r="AI298" i="24"/>
  <c r="AI299" i="24"/>
  <c r="N41" i="3"/>
  <c r="E7" i="9" s="1"/>
  <c r="AI297" i="24"/>
  <c r="K129" i="8"/>
  <c r="K130" i="8"/>
  <c r="K34" i="8"/>
  <c r="K63" i="8"/>
  <c r="L16" i="20"/>
  <c r="L17" i="20" s="1"/>
  <c r="K16" i="20"/>
  <c r="K17" i="20" s="1"/>
  <c r="K153" i="8"/>
  <c r="H62" i="8"/>
  <c r="M17" i="20" l="1"/>
  <c r="E11" i="9"/>
  <c r="F7" i="9"/>
  <c r="E12" i="9"/>
  <c r="E13" i="9"/>
  <c r="F8" i="9"/>
  <c r="G8" i="9" s="1"/>
  <c r="H61" i="8"/>
  <c r="K61" i="8" s="1"/>
  <c r="N42" i="3"/>
  <c r="N43" i="3" s="1"/>
  <c r="M340" i="24" s="1"/>
  <c r="E824" i="24"/>
  <c r="E828" i="24" s="1"/>
  <c r="E896" i="24" s="1"/>
  <c r="M341" i="24"/>
  <c r="C483" i="24"/>
  <c r="P483" i="24" s="1"/>
  <c r="C482" i="24"/>
  <c r="P482" i="24" s="1"/>
  <c r="M342" i="24"/>
  <c r="M345" i="24"/>
  <c r="AA27" i="24" s="1"/>
  <c r="Y483" i="24"/>
  <c r="R483" i="24"/>
  <c r="Y482" i="24"/>
  <c r="R482" i="24"/>
  <c r="K36" i="8"/>
  <c r="N22" i="20"/>
  <c r="K62" i="8"/>
  <c r="M186" i="5"/>
  <c r="F14" i="9"/>
  <c r="K134" i="5" l="1"/>
  <c r="E109" i="26"/>
  <c r="BD109" i="26" s="1"/>
  <c r="C122" i="29"/>
  <c r="O134" i="5"/>
  <c r="D631" i="24"/>
  <c r="L34" i="8"/>
  <c r="L137" i="8"/>
  <c r="L138" i="8"/>
  <c r="L139" i="8"/>
  <c r="L140" i="8"/>
  <c r="L141" i="8"/>
  <c r="L142" i="8"/>
  <c r="L143" i="8"/>
  <c r="L144" i="8"/>
  <c r="L145" i="8"/>
  <c r="L32" i="8"/>
  <c r="L33" i="8"/>
  <c r="L28" i="8"/>
  <c r="L30" i="8"/>
  <c r="L27" i="8"/>
  <c r="L29" i="8"/>
  <c r="L31" i="8"/>
  <c r="L35" i="8"/>
  <c r="L92" i="8"/>
  <c r="L102" i="8"/>
  <c r="L108" i="8"/>
  <c r="L115" i="8"/>
  <c r="L122" i="8"/>
  <c r="L106" i="8"/>
  <c r="L120" i="8"/>
  <c r="L104" i="8"/>
  <c r="L111" i="8"/>
  <c r="L118" i="8"/>
  <c r="L124" i="8"/>
  <c r="L109" i="8"/>
  <c r="L113" i="8"/>
  <c r="L116" i="8"/>
  <c r="L123" i="8"/>
  <c r="L114" i="8"/>
  <c r="L121" i="8"/>
  <c r="L105" i="8"/>
  <c r="L112" i="8"/>
  <c r="L117" i="8"/>
  <c r="L107" i="8"/>
  <c r="L119" i="8"/>
  <c r="L110" i="8"/>
  <c r="L103" i="8"/>
  <c r="L125" i="8"/>
  <c r="L96" i="8"/>
  <c r="L136" i="8"/>
  <c r="L94" i="8"/>
  <c r="L135" i="8"/>
  <c r="L95" i="8"/>
  <c r="L91" i="8"/>
  <c r="L132" i="8"/>
  <c r="L93" i="8"/>
  <c r="L133" i="8"/>
  <c r="L134" i="8"/>
  <c r="L97" i="8"/>
  <c r="L159" i="8"/>
  <c r="L156" i="8"/>
  <c r="L89" i="8"/>
  <c r="L154" i="8"/>
  <c r="L130" i="8"/>
  <c r="L153" i="8"/>
  <c r="L129" i="8"/>
  <c r="E16" i="9"/>
  <c r="G7" i="9"/>
  <c r="F12" i="9"/>
  <c r="H8" i="9"/>
  <c r="I8" i="9" s="1"/>
  <c r="J8" i="9" s="1"/>
  <c r="K8" i="9" s="1"/>
  <c r="K66" i="8"/>
  <c r="H65" i="8"/>
  <c r="E823" i="24"/>
  <c r="E827" i="24" s="1"/>
  <c r="E898" i="24" s="1"/>
  <c r="G14" i="9"/>
  <c r="F824" i="24"/>
  <c r="F828" i="24" s="1"/>
  <c r="F896" i="24" s="1"/>
  <c r="N83" i="3"/>
  <c r="J12" i="4" s="1"/>
  <c r="K65" i="8"/>
  <c r="H7" i="9" l="1"/>
  <c r="I7" i="9" s="1"/>
  <c r="J7" i="9" s="1"/>
  <c r="K7" i="9" s="1"/>
  <c r="L7" i="9" s="1"/>
  <c r="M7" i="9" s="1"/>
  <c r="N7" i="9" s="1"/>
  <c r="O7" i="9" s="1"/>
  <c r="P7" i="9" s="1"/>
  <c r="Q7" i="9" s="1"/>
  <c r="R7" i="9" s="1"/>
  <c r="S7" i="9" s="1"/>
  <c r="T7" i="9" s="1"/>
  <c r="U7" i="9" s="1"/>
  <c r="V7" i="9" s="1"/>
  <c r="W7" i="9" s="1"/>
  <c r="X7" i="9" s="1"/>
  <c r="G11" i="9"/>
  <c r="Z631" i="24"/>
  <c r="N631" i="24"/>
  <c r="M135" i="5"/>
  <c r="M164" i="5" s="1"/>
  <c r="I163" i="7" s="1"/>
  <c r="I170" i="7" s="1"/>
  <c r="E631" i="24"/>
  <c r="S630" i="24" s="1"/>
  <c r="E20" i="9"/>
  <c r="L36" i="8"/>
  <c r="L8" i="9"/>
  <c r="M8" i="9" s="1"/>
  <c r="N8" i="9" s="1"/>
  <c r="O8" i="9" s="1"/>
  <c r="P8" i="9" s="1"/>
  <c r="Q8" i="9" s="1"/>
  <c r="R8" i="9" s="1"/>
  <c r="S8" i="9" s="1"/>
  <c r="T8" i="9" s="1"/>
  <c r="U8" i="9" s="1"/>
  <c r="V8" i="9" s="1"/>
  <c r="W8" i="9" s="1"/>
  <c r="X8" i="9" s="1"/>
  <c r="E894" i="24"/>
  <c r="F823" i="24"/>
  <c r="F827" i="24" s="1"/>
  <c r="F898" i="24" s="1"/>
  <c r="F13" i="9"/>
  <c r="H14" i="9"/>
  <c r="G824" i="24"/>
  <c r="G828" i="24" s="1"/>
  <c r="G896" i="24" s="1"/>
  <c r="G13" i="9"/>
  <c r="K67" i="8"/>
  <c r="F11" i="9" l="1"/>
  <c r="F894" i="24"/>
  <c r="H12" i="9"/>
  <c r="G12" i="9"/>
  <c r="I14" i="9"/>
  <c r="H824" i="24"/>
  <c r="H828" i="24" s="1"/>
  <c r="H896" i="24" s="1"/>
  <c r="H13" i="9"/>
  <c r="G823" i="24"/>
  <c r="K23" i="4"/>
  <c r="D389" i="24"/>
  <c r="I389" i="24" s="1"/>
  <c r="H73" i="8"/>
  <c r="E834" i="24" s="1"/>
  <c r="K73" i="8"/>
  <c r="K75" i="4" l="1"/>
  <c r="E19" i="9"/>
  <c r="E30" i="9" s="1"/>
  <c r="E31" i="9" s="1"/>
  <c r="F16" i="9"/>
  <c r="F20" i="9" s="1"/>
  <c r="E904" i="24"/>
  <c r="E885" i="24"/>
  <c r="J14" i="9"/>
  <c r="I824" i="24"/>
  <c r="I828" i="24" s="1"/>
  <c r="I896" i="24" s="1"/>
  <c r="G827" i="24"/>
  <c r="G898" i="24" s="1"/>
  <c r="G894" i="24"/>
  <c r="I13" i="9"/>
  <c r="H823" i="24"/>
  <c r="H72" i="8"/>
  <c r="K72" i="8" s="1"/>
  <c r="K78" i="4" l="1"/>
  <c r="K76" i="4"/>
  <c r="F19" i="9"/>
  <c r="F30" i="9" s="1"/>
  <c r="F31" i="9" s="1"/>
  <c r="K14" i="9"/>
  <c r="J824" i="24"/>
  <c r="J828" i="24" s="1"/>
  <c r="J896" i="24" s="1"/>
  <c r="H827" i="24"/>
  <c r="H898" i="24" s="1"/>
  <c r="H894" i="24"/>
  <c r="J13" i="9"/>
  <c r="I823" i="24"/>
  <c r="H80" i="8"/>
  <c r="K80" i="8"/>
  <c r="K81" i="8" s="1"/>
  <c r="E49" i="9" l="1"/>
  <c r="E48" i="9"/>
  <c r="L14" i="9"/>
  <c r="K824" i="24"/>
  <c r="K828" i="24" s="1"/>
  <c r="K896" i="24" s="1"/>
  <c r="I827" i="24"/>
  <c r="I898" i="24" s="1"/>
  <c r="I894" i="24"/>
  <c r="K13" i="9"/>
  <c r="J823" i="24"/>
  <c r="J163" i="5"/>
  <c r="E884" i="24" l="1"/>
  <c r="E886" i="24" s="1"/>
  <c r="L824" i="24"/>
  <c r="L828" i="24" s="1"/>
  <c r="L896" i="24" s="1"/>
  <c r="M14" i="9"/>
  <c r="L6" i="9"/>
  <c r="J827" i="24"/>
  <c r="J898" i="24" s="1"/>
  <c r="J894" i="24"/>
  <c r="L13" i="9"/>
  <c r="K823" i="24"/>
  <c r="K160" i="8"/>
  <c r="L160" i="8" s="1"/>
  <c r="G19" i="9"/>
  <c r="N14" i="9" l="1"/>
  <c r="M824" i="24"/>
  <c r="M828" i="24" s="1"/>
  <c r="M896" i="24" s="1"/>
  <c r="K827" i="24"/>
  <c r="K898" i="24" s="1"/>
  <c r="K894" i="24"/>
  <c r="M13" i="9"/>
  <c r="L823" i="24"/>
  <c r="H19" i="9"/>
  <c r="O14" i="9" l="1"/>
  <c r="N824" i="24"/>
  <c r="N828" i="24" s="1"/>
  <c r="N896" i="24" s="1"/>
  <c r="L827" i="24"/>
  <c r="L898" i="24" s="1"/>
  <c r="L894" i="24"/>
  <c r="N13" i="9"/>
  <c r="M823" i="24"/>
  <c r="I19" i="9"/>
  <c r="P14" i="9" l="1"/>
  <c r="O824" i="24"/>
  <c r="O828" i="24" s="1"/>
  <c r="O896" i="24" s="1"/>
  <c r="M827" i="24"/>
  <c r="M898" i="24" s="1"/>
  <c r="M894" i="24"/>
  <c r="O13" i="9"/>
  <c r="N823" i="24"/>
  <c r="J19" i="9"/>
  <c r="Q14" i="9" l="1"/>
  <c r="P824" i="24"/>
  <c r="P828" i="24" s="1"/>
  <c r="P896" i="24" s="1"/>
  <c r="N827" i="24"/>
  <c r="N898" i="24" s="1"/>
  <c r="N894" i="24"/>
  <c r="P13" i="9"/>
  <c r="O823" i="24"/>
  <c r="K19" i="9"/>
  <c r="R14" i="9" l="1"/>
  <c r="Q824" i="24"/>
  <c r="Q828" i="24" s="1"/>
  <c r="Q896" i="24" s="1"/>
  <c r="O827" i="24"/>
  <c r="O898" i="24" s="1"/>
  <c r="O894" i="24"/>
  <c r="Q13" i="9"/>
  <c r="P823" i="24"/>
  <c r="L19" i="9"/>
  <c r="S14" i="9" l="1"/>
  <c r="R824" i="24"/>
  <c r="R828" i="24" s="1"/>
  <c r="R896" i="24" s="1"/>
  <c r="P827" i="24"/>
  <c r="P898" i="24" s="1"/>
  <c r="P894" i="24"/>
  <c r="R13" i="9"/>
  <c r="Q823" i="24"/>
  <c r="M19" i="9"/>
  <c r="T14" i="9" l="1"/>
  <c r="S824" i="24"/>
  <c r="S828" i="24" s="1"/>
  <c r="S896" i="24" s="1"/>
  <c r="S13" i="9"/>
  <c r="R823" i="24"/>
  <c r="Q827" i="24"/>
  <c r="Q898" i="24" s="1"/>
  <c r="Q894" i="24"/>
  <c r="N19" i="9"/>
  <c r="U14" i="9" l="1"/>
  <c r="T824" i="24"/>
  <c r="T828" i="24" s="1"/>
  <c r="T896" i="24" s="1"/>
  <c r="R827" i="24"/>
  <c r="R898" i="24" s="1"/>
  <c r="R894" i="24"/>
  <c r="T13" i="9"/>
  <c r="S823" i="24"/>
  <c r="O19" i="9"/>
  <c r="V14" i="9" l="1"/>
  <c r="U824" i="24"/>
  <c r="U828" i="24" s="1"/>
  <c r="U896" i="24" s="1"/>
  <c r="S827" i="24"/>
  <c r="S898" i="24" s="1"/>
  <c r="S894" i="24"/>
  <c r="U13" i="9"/>
  <c r="T823" i="24"/>
  <c r="P19" i="9"/>
  <c r="W14" i="9" l="1"/>
  <c r="V824" i="24"/>
  <c r="V828" i="24" s="1"/>
  <c r="V896" i="24" s="1"/>
  <c r="T827" i="24"/>
  <c r="T898" i="24" s="1"/>
  <c r="T894" i="24"/>
  <c r="V13" i="9"/>
  <c r="U823" i="24"/>
  <c r="Q19" i="9"/>
  <c r="W824" i="24" l="1"/>
  <c r="W828" i="24" s="1"/>
  <c r="W896" i="24" s="1"/>
  <c r="W13" i="9"/>
  <c r="V823" i="24"/>
  <c r="U827" i="24"/>
  <c r="U898" i="24" s="1"/>
  <c r="U894" i="24"/>
  <c r="R19" i="9"/>
  <c r="X824" i="24" l="1"/>
  <c r="X828" i="24" s="1"/>
  <c r="X896" i="24" s="1"/>
  <c r="X14" i="9"/>
  <c r="V827" i="24"/>
  <c r="V898" i="24" s="1"/>
  <c r="V894" i="24"/>
  <c r="W823" i="24"/>
  <c r="S19" i="9"/>
  <c r="X823" i="24" l="1"/>
  <c r="X827" i="24" s="1"/>
  <c r="X898" i="24" s="1"/>
  <c r="X13" i="9"/>
  <c r="W827" i="24"/>
  <c r="W898" i="24" s="1"/>
  <c r="W894" i="24"/>
  <c r="T19" i="9"/>
  <c r="X894" i="24" l="1"/>
  <c r="U19" i="9"/>
  <c r="V19" i="9" l="1"/>
  <c r="W19" i="9" l="1"/>
  <c r="X19" i="9" l="1"/>
  <c r="I12" i="9" l="1"/>
  <c r="G16" i="9"/>
  <c r="G20" i="9" l="1"/>
  <c r="G30" i="9" s="1"/>
  <c r="G31" i="9" s="1"/>
  <c r="F834" i="24"/>
  <c r="I11" i="9"/>
  <c r="I16" i="9" s="1"/>
  <c r="H11" i="9"/>
  <c r="H16" i="9" s="1"/>
  <c r="H20" i="9" s="1"/>
  <c r="H30" i="9" s="1"/>
  <c r="J12" i="9"/>
  <c r="I20" i="9" l="1"/>
  <c r="F884" i="24"/>
  <c r="F904" i="24"/>
  <c r="F885" i="24"/>
  <c r="J11" i="9"/>
  <c r="J16" i="9" s="1"/>
  <c r="J20" i="9" s="1"/>
  <c r="J30" i="9" s="1"/>
  <c r="K12" i="9"/>
  <c r="I30" i="9" l="1"/>
  <c r="I31" i="9" s="1"/>
  <c r="F886" i="24"/>
  <c r="H31" i="9"/>
  <c r="H834" i="24"/>
  <c r="G834" i="24"/>
  <c r="K11" i="9"/>
  <c r="K16" i="9" s="1"/>
  <c r="K20" i="9" s="1"/>
  <c r="K30" i="9" s="1"/>
  <c r="L12" i="9"/>
  <c r="G884" i="24" l="1"/>
  <c r="H884" i="24"/>
  <c r="H904" i="24"/>
  <c r="H885" i="24"/>
  <c r="G904" i="24"/>
  <c r="G885" i="24"/>
  <c r="L11" i="9"/>
  <c r="L16" i="9" s="1"/>
  <c r="L20" i="9" s="1"/>
  <c r="L30" i="9" s="1"/>
  <c r="M12" i="9"/>
  <c r="H886" i="24" l="1"/>
  <c r="G886" i="24"/>
  <c r="I834" i="24"/>
  <c r="J31" i="9"/>
  <c r="J834" i="24"/>
  <c r="M11" i="9"/>
  <c r="M16" i="9" s="1"/>
  <c r="M20" i="9" s="1"/>
  <c r="M30" i="9" s="1"/>
  <c r="N12" i="9"/>
  <c r="J884" i="24" l="1"/>
  <c r="I884" i="24"/>
  <c r="J904" i="24"/>
  <c r="J885" i="24"/>
  <c r="I904" i="24"/>
  <c r="I885" i="24"/>
  <c r="K31" i="9"/>
  <c r="K834" i="24"/>
  <c r="N11" i="9"/>
  <c r="N16" i="9" s="1"/>
  <c r="N20" i="9" s="1"/>
  <c r="N30" i="9" s="1"/>
  <c r="O12" i="9"/>
  <c r="I886" i="24" l="1"/>
  <c r="J886" i="24"/>
  <c r="K884" i="24"/>
  <c r="K904" i="24"/>
  <c r="K885" i="24"/>
  <c r="L31" i="9"/>
  <c r="L834" i="24"/>
  <c r="O11" i="9"/>
  <c r="O16" i="9" s="1"/>
  <c r="O20" i="9" s="1"/>
  <c r="O30" i="9" s="1"/>
  <c r="P12" i="9"/>
  <c r="K886" i="24" l="1"/>
  <c r="L884" i="24"/>
  <c r="L904" i="24"/>
  <c r="L885" i="24"/>
  <c r="M31" i="9"/>
  <c r="M834" i="24"/>
  <c r="P11" i="9"/>
  <c r="P16" i="9" s="1"/>
  <c r="P20" i="9" s="1"/>
  <c r="P30" i="9" s="1"/>
  <c r="Q12" i="9"/>
  <c r="L886" i="24" l="1"/>
  <c r="M884" i="24"/>
  <c r="M904" i="24"/>
  <c r="M885" i="24"/>
  <c r="N31" i="9"/>
  <c r="N834" i="24"/>
  <c r="Q11" i="9"/>
  <c r="Q16" i="9" s="1"/>
  <c r="Q20" i="9" s="1"/>
  <c r="Q30" i="9" s="1"/>
  <c r="R12" i="9"/>
  <c r="M886" i="24" l="1"/>
  <c r="N884" i="24"/>
  <c r="N904" i="24"/>
  <c r="N885" i="24"/>
  <c r="O31" i="9"/>
  <c r="O834" i="24"/>
  <c r="R11" i="9"/>
  <c r="R16" i="9" s="1"/>
  <c r="R20" i="9" s="1"/>
  <c r="R30" i="9" s="1"/>
  <c r="S12" i="9"/>
  <c r="N886" i="24" l="1"/>
  <c r="O884" i="24"/>
  <c r="O904" i="24"/>
  <c r="O885" i="24"/>
  <c r="P31" i="9"/>
  <c r="P834" i="24"/>
  <c r="S11" i="9"/>
  <c r="S16" i="9" s="1"/>
  <c r="S20" i="9" s="1"/>
  <c r="S30" i="9" s="1"/>
  <c r="T12" i="9"/>
  <c r="O886" i="24" l="1"/>
  <c r="P884" i="24"/>
  <c r="P904" i="24"/>
  <c r="P885" i="24"/>
  <c r="Q31" i="9"/>
  <c r="Q834" i="24"/>
  <c r="T11" i="9"/>
  <c r="T16" i="9" s="1"/>
  <c r="T20" i="9" s="1"/>
  <c r="T30" i="9" s="1"/>
  <c r="U12" i="9"/>
  <c r="P886" i="24" l="1"/>
  <c r="Q884" i="24"/>
  <c r="Q904" i="24"/>
  <c r="Q885" i="24"/>
  <c r="R31" i="9"/>
  <c r="R834" i="24"/>
  <c r="U11" i="9"/>
  <c r="U16" i="9" s="1"/>
  <c r="U20" i="9" s="1"/>
  <c r="U30" i="9" s="1"/>
  <c r="V12" i="9"/>
  <c r="Q886" i="24" l="1"/>
  <c r="R884" i="24"/>
  <c r="R904" i="24"/>
  <c r="R885" i="24"/>
  <c r="S31" i="9"/>
  <c r="S834" i="24"/>
  <c r="V11" i="9"/>
  <c r="V16" i="9" s="1"/>
  <c r="V20" i="9" s="1"/>
  <c r="V30" i="9" s="1"/>
  <c r="W12" i="9"/>
  <c r="R886" i="24" l="1"/>
  <c r="S884" i="24"/>
  <c r="S904" i="24"/>
  <c r="S885" i="24"/>
  <c r="T31" i="9"/>
  <c r="T834" i="24"/>
  <c r="W11" i="9"/>
  <c r="W16" i="9" s="1"/>
  <c r="W20" i="9" s="1"/>
  <c r="W30" i="9" s="1"/>
  <c r="X12" i="9"/>
  <c r="S886" i="24" l="1"/>
  <c r="T884" i="24"/>
  <c r="T904" i="24"/>
  <c r="T885" i="24"/>
  <c r="U31" i="9"/>
  <c r="U834" i="24"/>
  <c r="X11" i="9"/>
  <c r="X16" i="9" s="1"/>
  <c r="X20" i="9" s="1"/>
  <c r="X30" i="9" s="1"/>
  <c r="T886" i="24" l="1"/>
  <c r="U884" i="24"/>
  <c r="U904" i="24"/>
  <c r="U885" i="24"/>
  <c r="V31" i="9"/>
  <c r="V834" i="24"/>
  <c r="U886" i="24" l="1"/>
  <c r="V884" i="24"/>
  <c r="V904" i="24"/>
  <c r="V885" i="24"/>
  <c r="W31" i="9"/>
  <c r="W834" i="24"/>
  <c r="V886" i="24" l="1"/>
  <c r="W884" i="24"/>
  <c r="W904" i="24"/>
  <c r="W885" i="24"/>
  <c r="X31" i="9"/>
  <c r="X834" i="24"/>
  <c r="N113" i="5"/>
  <c r="N127" i="5" l="1"/>
  <c r="W886" i="24"/>
  <c r="X884" i="24"/>
  <c r="X904" i="24"/>
  <c r="X885" i="24"/>
  <c r="X886" i="24" l="1"/>
  <c r="I173" i="7" l="1"/>
  <c r="I175" i="7" l="1"/>
  <c r="I177" i="7" s="1"/>
  <c r="F21" i="1"/>
  <c r="G30" i="8" s="1"/>
  <c r="F20" i="1" l="1"/>
  <c r="G29" i="8" s="1"/>
  <c r="L451" i="24"/>
  <c r="K90" i="8"/>
  <c r="L90" i="8" s="1"/>
  <c r="M21" i="6"/>
  <c r="M53" i="6" s="1"/>
  <c r="H453" i="24" l="1"/>
  <c r="U453" i="24" s="1"/>
  <c r="W451" i="24"/>
  <c r="X451" i="24"/>
  <c r="V451" i="24"/>
  <c r="Q451" i="24"/>
  <c r="S451" i="24"/>
  <c r="Y451" i="24"/>
  <c r="C451" i="24"/>
  <c r="P451" i="24" s="1"/>
  <c r="R451" i="24"/>
  <c r="H451" i="24"/>
  <c r="U451" i="24" s="1"/>
  <c r="K98" i="8"/>
  <c r="L98" i="8" s="1"/>
  <c r="J90" i="8"/>
  <c r="I21" i="6"/>
  <c r="J92" i="8"/>
  <c r="F47" i="9" l="1"/>
  <c r="F48" i="9" s="1"/>
  <c r="I53" i="6"/>
  <c r="J98" i="8"/>
  <c r="K82" i="8" s="1"/>
  <c r="K83" i="8" s="1"/>
  <c r="I155" i="5"/>
  <c r="F55" i="9" l="1"/>
  <c r="F57" i="9"/>
  <c r="G47" i="9"/>
  <c r="G48" i="9" s="1"/>
  <c r="E57" i="9"/>
  <c r="E59" i="9"/>
  <c r="F89" i="8"/>
  <c r="F49" i="9"/>
  <c r="G55" i="9" l="1"/>
  <c r="G59" i="9"/>
  <c r="G49" i="9"/>
  <c r="G57" i="9"/>
  <c r="H47" i="9"/>
  <c r="F93" i="8"/>
  <c r="F91" i="8"/>
  <c r="F95" i="8"/>
  <c r="E55" i="9"/>
  <c r="E65" i="9" s="1"/>
  <c r="E66" i="9" s="1"/>
  <c r="F90" i="8"/>
  <c r="F96" i="8"/>
  <c r="F94" i="8"/>
  <c r="F97" i="8"/>
  <c r="F59" i="9"/>
  <c r="G65" i="9" l="1"/>
  <c r="G66" i="9" s="1"/>
  <c r="G67" i="9" s="1"/>
  <c r="I47" i="9"/>
  <c r="H48" i="9"/>
  <c r="H49" i="9"/>
  <c r="E67" i="9"/>
  <c r="F65" i="9"/>
  <c r="F66" i="9" s="1"/>
  <c r="F67" i="9" s="1"/>
  <c r="D41" i="8"/>
  <c r="H57" i="9" l="1"/>
  <c r="H55" i="9"/>
  <c r="H59" i="9"/>
  <c r="I48" i="9"/>
  <c r="I49" i="9"/>
  <c r="J47" i="9"/>
  <c r="J48" i="9" l="1"/>
  <c r="J49" i="9"/>
  <c r="K47" i="9"/>
  <c r="I55" i="9"/>
  <c r="I57" i="9"/>
  <c r="I59" i="9"/>
  <c r="H65" i="9"/>
  <c r="H66" i="9" s="1"/>
  <c r="H67" i="9" s="1"/>
  <c r="Z599" i="24"/>
  <c r="N599" i="24"/>
  <c r="J183" i="7" l="1"/>
  <c r="J197" i="7" s="1"/>
  <c r="I65" i="9"/>
  <c r="I66" i="9" s="1"/>
  <c r="I67" i="9" s="1"/>
  <c r="K48" i="9"/>
  <c r="K49" i="9"/>
  <c r="L47" i="9"/>
  <c r="J57" i="9"/>
  <c r="J59" i="9"/>
  <c r="J55" i="9"/>
  <c r="J65" i="9" l="1"/>
  <c r="J66" i="9" s="1"/>
  <c r="J67" i="9" s="1"/>
  <c r="L48" i="9"/>
  <c r="L49" i="9"/>
  <c r="M47" i="9"/>
  <c r="K57" i="9"/>
  <c r="K59" i="9"/>
  <c r="K55" i="9"/>
  <c r="K65" i="9" l="1"/>
  <c r="K66" i="9" s="1"/>
  <c r="K67" i="9" s="1"/>
  <c r="N47" i="9"/>
  <c r="M48" i="9"/>
  <c r="M49" i="9"/>
  <c r="L57" i="9"/>
  <c r="L55" i="9"/>
  <c r="L59" i="9"/>
  <c r="J199" i="7"/>
  <c r="I145" i="5" s="1"/>
  <c r="M344" i="24"/>
  <c r="L65" i="9" l="1"/>
  <c r="L66" i="9" s="1"/>
  <c r="L67" i="9" s="1"/>
  <c r="M55" i="9"/>
  <c r="M57" i="9"/>
  <c r="M59" i="9"/>
  <c r="N48" i="9"/>
  <c r="N49" i="9"/>
  <c r="O47" i="9"/>
  <c r="C77" i="29"/>
  <c r="K82" i="5"/>
  <c r="L82" i="5"/>
  <c r="O48" i="9" l="1"/>
  <c r="O49" i="9"/>
  <c r="N55" i="9"/>
  <c r="N59" i="9"/>
  <c r="N57" i="9"/>
  <c r="P47" i="9"/>
  <c r="M65" i="9"/>
  <c r="M66" i="9" s="1"/>
  <c r="M67" i="9" s="1"/>
  <c r="Z592" i="24"/>
  <c r="N592" i="24"/>
  <c r="Q47" i="9" l="1"/>
  <c r="N65" i="9"/>
  <c r="N66" i="9" s="1"/>
  <c r="N67" i="9" s="1"/>
  <c r="P48" i="9"/>
  <c r="P49" i="9"/>
  <c r="O57" i="9"/>
  <c r="O55" i="9"/>
  <c r="O59" i="9"/>
  <c r="O65" i="9" l="1"/>
  <c r="O66" i="9" s="1"/>
  <c r="O67" i="9" s="1"/>
  <c r="P55" i="9"/>
  <c r="P57" i="9"/>
  <c r="P59" i="9"/>
  <c r="Q48" i="9"/>
  <c r="Q49" i="9"/>
  <c r="R47" i="9"/>
  <c r="P65" i="9" l="1"/>
  <c r="P66" i="9" s="1"/>
  <c r="P67" i="9" s="1"/>
  <c r="R48" i="9"/>
  <c r="R49" i="9"/>
  <c r="S47" i="9"/>
  <c r="Q55" i="9"/>
  <c r="Q57" i="9"/>
  <c r="Q59" i="9"/>
  <c r="Q65" i="9" l="1"/>
  <c r="Q66" i="9" s="1"/>
  <c r="Q67" i="9" s="1"/>
  <c r="S48" i="9"/>
  <c r="S49" i="9"/>
  <c r="T47" i="9"/>
  <c r="R57" i="9"/>
  <c r="R59" i="9"/>
  <c r="R55" i="9"/>
  <c r="K126" i="5"/>
  <c r="L126" i="5"/>
  <c r="J185" i="7"/>
  <c r="M60" i="6" l="1"/>
  <c r="L484" i="24" s="1"/>
  <c r="Y484" i="24" s="1"/>
  <c r="L183" i="7"/>
  <c r="R65" i="9"/>
  <c r="R66" i="9" s="1"/>
  <c r="R67" i="9" s="1"/>
  <c r="T48" i="9"/>
  <c r="T49" i="9"/>
  <c r="S57" i="9"/>
  <c r="S55" i="9"/>
  <c r="S59" i="9"/>
  <c r="U47" i="9"/>
  <c r="J188" i="7"/>
  <c r="J192" i="7" l="1"/>
  <c r="J195" i="7" s="1"/>
  <c r="K131" i="8"/>
  <c r="M75" i="6"/>
  <c r="M76" i="6" s="1"/>
  <c r="E206" i="26"/>
  <c r="G42" i="29"/>
  <c r="G57" i="29" s="1"/>
  <c r="R484" i="24"/>
  <c r="Q484" i="24"/>
  <c r="S65" i="9"/>
  <c r="S66" i="9" s="1"/>
  <c r="S67" i="9" s="1"/>
  <c r="M71" i="9"/>
  <c r="V47" i="9"/>
  <c r="U48" i="9"/>
  <c r="U49" i="9"/>
  <c r="T57" i="9"/>
  <c r="T55" i="9"/>
  <c r="T59" i="9"/>
  <c r="C484" i="24"/>
  <c r="P484" i="24" s="1"/>
  <c r="L131" i="8" l="1"/>
  <c r="K146" i="8"/>
  <c r="E221" i="26"/>
  <c r="BD206" i="26"/>
  <c r="T65" i="9"/>
  <c r="T66" i="9" s="1"/>
  <c r="T67" i="9" s="1"/>
  <c r="V48" i="9"/>
  <c r="V49" i="9"/>
  <c r="U55" i="9"/>
  <c r="U59" i="9"/>
  <c r="U57" i="9"/>
  <c r="X47" i="9"/>
  <c r="W47" i="9"/>
  <c r="L146" i="8" l="1"/>
  <c r="K147" i="8"/>
  <c r="L147" i="8" s="1"/>
  <c r="BD221" i="26"/>
  <c r="W48" i="9"/>
  <c r="W49" i="9"/>
  <c r="U65" i="9"/>
  <c r="U66" i="9" s="1"/>
  <c r="U67" i="9" s="1"/>
  <c r="X48" i="9"/>
  <c r="X49" i="9"/>
  <c r="V55" i="9"/>
  <c r="V59" i="9"/>
  <c r="V57" i="9"/>
  <c r="V65" i="9" l="1"/>
  <c r="V66" i="9" s="1"/>
  <c r="V67" i="9" s="1"/>
  <c r="X59" i="9"/>
  <c r="X57" i="9"/>
  <c r="X55" i="9"/>
  <c r="W57" i="9"/>
  <c r="W55" i="9"/>
  <c r="W59" i="9"/>
  <c r="X65" i="9" l="1"/>
  <c r="X66" i="9" s="1"/>
  <c r="X67" i="9" s="1"/>
  <c r="W65" i="9"/>
  <c r="W66" i="9" s="1"/>
  <c r="W67" i="9" s="1"/>
  <c r="F43" i="20"/>
  <c r="G48" i="20"/>
  <c r="G49" i="20" s="1"/>
  <c r="U630" i="24"/>
  <c r="J204" i="5"/>
  <c r="K204" i="5"/>
  <c r="M204" i="5"/>
  <c r="M213" i="5"/>
  <c r="I159" i="5" s="1"/>
  <c r="F40" i="20"/>
  <c r="E59" i="26"/>
  <c r="BD59" i="26" s="1"/>
  <c r="E36" i="16"/>
  <c r="E37" i="16" s="1"/>
  <c r="C69" i="29"/>
  <c r="C108" i="29"/>
  <c r="C119" i="29"/>
  <c r="D577" i="24"/>
  <c r="J577" i="24"/>
  <c r="R577" i="24"/>
  <c r="K155" i="8"/>
  <c r="L155" i="8"/>
  <c r="K157" i="8"/>
  <c r="L157" i="8" s="1"/>
  <c r="K74" i="5"/>
  <c r="K113" i="5" s="1"/>
  <c r="K127" i="5" s="1"/>
  <c r="L74" i="5"/>
  <c r="L113" i="5" s="1"/>
  <c r="L127" i="5" s="1"/>
  <c r="L164" i="5" s="1"/>
  <c r="O74" i="5"/>
  <c r="J113" i="5"/>
  <c r="I74" i="5" s="1"/>
  <c r="O113" i="5"/>
  <c r="O127" i="5" s="1"/>
  <c r="J127" i="5"/>
  <c r="F36" i="16" s="1"/>
  <c r="F37" i="16" s="1"/>
  <c r="J174" i="5"/>
  <c r="J199" i="5"/>
  <c r="G52" i="16" l="1"/>
  <c r="G53" i="16" s="1"/>
  <c r="F52" i="16"/>
  <c r="F53" i="16" s="1"/>
  <c r="F13" i="16"/>
  <c r="F14" i="16" s="1"/>
  <c r="J196" i="5"/>
  <c r="E76" i="16"/>
  <c r="E77" i="16" s="1"/>
  <c r="F21" i="16"/>
  <c r="F22" i="16" s="1"/>
  <c r="E13" i="16"/>
  <c r="E14" i="16" s="1"/>
  <c r="F76" i="16"/>
  <c r="F77" i="16" s="1"/>
  <c r="G36" i="16"/>
  <c r="G37" i="16" s="1"/>
  <c r="E21" i="16"/>
  <c r="E22" i="16" s="1"/>
  <c r="E52" i="16"/>
  <c r="E53" i="16" s="1"/>
  <c r="G13" i="16"/>
  <c r="G14" i="16" s="1"/>
  <c r="G60" i="16"/>
  <c r="G61" i="16" s="1"/>
  <c r="J171" i="5"/>
  <c r="G76" i="16"/>
  <c r="G77" i="16" s="1"/>
  <c r="F60" i="16"/>
  <c r="F61" i="16" s="1"/>
  <c r="E60" i="16"/>
  <c r="E61" i="16" s="1"/>
  <c r="G21" i="16"/>
  <c r="G22" i="16" s="1"/>
  <c r="H26" i="16" l="1"/>
  <c r="H28" i="16"/>
  <c r="H27" i="16"/>
  <c r="H84" i="16"/>
  <c r="H81" i="16"/>
  <c r="H82" i="16"/>
  <c r="H83" i="16"/>
  <c r="J200" i="5"/>
  <c r="J175" i="5"/>
  <c r="H67" i="16"/>
  <c r="H65" i="16"/>
  <c r="H68" i="16"/>
  <c r="H66" i="16"/>
  <c r="H41" i="16"/>
  <c r="H42" i="16"/>
  <c r="H43" i="16"/>
  <c r="F79" i="16" l="1"/>
  <c r="F63" i="16"/>
  <c r="K176" i="5"/>
  <c r="K201" i="5"/>
  <c r="J176" i="5"/>
  <c r="J177" i="5"/>
  <c r="J179" i="5" s="1"/>
  <c r="J201" i="5"/>
  <c r="J202" i="5"/>
  <c r="F39" i="16"/>
  <c r="F24" i="16"/>
  <c r="F86" i="16" s="1"/>
  <c r="K177" i="5" l="1"/>
  <c r="K179" i="5" s="1"/>
  <c r="M179" i="5" s="1"/>
  <c r="K202" i="5"/>
  <c r="M188" i="5" l="1"/>
  <c r="J135" i="5" l="1"/>
  <c r="E108" i="26"/>
  <c r="K133" i="5"/>
  <c r="C121" i="29"/>
  <c r="D630" i="24"/>
  <c r="K135" i="5" l="1"/>
  <c r="K164" i="5" s="1"/>
  <c r="R630" i="24"/>
  <c r="J630" i="24"/>
  <c r="Z630" i="24"/>
  <c r="N630" i="24"/>
  <c r="D93" i="29"/>
  <c r="C123" i="29"/>
  <c r="C148" i="29" s="1"/>
  <c r="G59" i="29" s="1"/>
  <c r="BD108" i="26"/>
  <c r="BD132" i="26" s="1"/>
  <c r="BD223" i="26" s="1"/>
  <c r="E132" i="26"/>
  <c r="E223" i="26" s="1"/>
  <c r="K158" i="8"/>
  <c r="J164" i="5"/>
  <c r="J61" i="6"/>
  <c r="M349" i="24" l="1"/>
  <c r="M77" i="6"/>
  <c r="M78" i="6" s="1"/>
  <c r="F38" i="20"/>
  <c r="F39" i="20" s="1"/>
  <c r="L158" i="8"/>
  <c r="K161" i="8"/>
  <c r="L161" i="8" s="1"/>
  <c r="N135" i="5"/>
  <c r="N164" i="5" s="1"/>
  <c r="J163" i="7" s="1"/>
  <c r="F630" i="24"/>
  <c r="O133" i="5"/>
  <c r="O135" i="5" s="1"/>
  <c r="P164" i="5" l="1"/>
  <c r="O164" i="5"/>
  <c r="L163" i="7"/>
  <c r="J170" i="7"/>
  <c r="J173" i="7" s="1"/>
  <c r="J175" i="7" s="1"/>
  <c r="J177" i="7" s="1"/>
  <c r="N163" i="7" l="1"/>
  <c r="L165" i="7"/>
  <c r="L167" i="7" s="1"/>
  <c r="L23" i="1" l="1"/>
  <c r="M26" i="6"/>
  <c r="N165" i="7"/>
  <c r="L19" i="1"/>
  <c r="L21" i="1" l="1"/>
  <c r="N167" i="7"/>
  <c r="L25" i="1" l="1"/>
  <c r="M2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Steele, Angela</author>
  </authors>
  <commentList>
    <comment ref="I8" authorId="0" shapeId="0" xr:uid="{0F419607-3A1B-48C7-95EE-C584EB0E683F}">
      <text>
        <r>
          <rPr>
            <b/>
            <sz val="9"/>
            <color indexed="81"/>
            <rFont val="Tahoma"/>
            <family val="2"/>
          </rPr>
          <t>&lt;[[DEVDeals] Tax Credit Percent Type - Both]&gt;</t>
        </r>
      </text>
    </comment>
    <comment ref="T8" authorId="0" shapeId="0" xr:uid="{4C185EF5-92DC-4E37-90E5-2472ED9DCE03}">
      <text>
        <r>
          <rPr>
            <b/>
            <sz val="9"/>
            <color indexed="81"/>
            <rFont val="Tahoma"/>
            <family val="2"/>
          </rPr>
          <t>&lt;[[DEVDeals] - [Associated TC Deal (Seq: 1)] - [TC Property Current Stage (Seq: 1)] Is QCT - Both]&gt;</t>
        </r>
      </text>
    </comment>
    <comment ref="AA8" authorId="0" shapeId="0" xr:uid="{0DF96863-06EB-4179-97F6-959F2E299572}">
      <text>
        <r>
          <rPr>
            <b/>
            <sz val="9"/>
            <color indexed="81"/>
            <rFont val="Tahoma"/>
            <family val="2"/>
          </rPr>
          <t>&lt;[[DEVDeals] - [Deal Property (Seq: 1)] - [Locations (Seq: 1)] Address1 - Both]&gt;</t>
        </r>
      </text>
    </comment>
    <comment ref="T9" authorId="0" shapeId="0" xr:uid="{D68F0F05-D9B5-4769-94EB-4CDE1965CFEC}">
      <text>
        <r>
          <rPr>
            <b/>
            <sz val="9"/>
            <color indexed="81"/>
            <rFont val="Tahoma"/>
            <family val="2"/>
          </rPr>
          <t>&lt;[[DEVDeals] - [Associated TC Deal (Seq: 1)] - [TC Property Current Stage (Seq: 1)] Is DDA - Both]&gt;</t>
        </r>
      </text>
    </comment>
    <comment ref="AA9" authorId="0" shapeId="0" xr:uid="{DFC0DEFB-28B5-4709-AE33-A776FDD4F814}">
      <text>
        <r>
          <rPr>
            <b/>
            <sz val="9"/>
            <color indexed="81"/>
            <rFont val="Tahoma"/>
            <family val="2"/>
          </rPr>
          <t>&lt;[[DEVDeals] - [Deal Property (Seq: 1)] - [Locations (Seq: 1)] City - Both]&gt;</t>
        </r>
      </text>
    </comment>
    <comment ref="T10" authorId="0" shapeId="0" xr:uid="{A2A1A25B-604E-47F5-BDBF-0E89047ADEC5}">
      <text>
        <r>
          <rPr>
            <b/>
            <sz val="9"/>
            <color indexed="81"/>
            <rFont val="Tahoma"/>
            <family val="2"/>
          </rPr>
          <t>&lt;[[DEVDeals] - [Associated TC Deal (Seq: 1)] - [TC Property Current Stage (Seq: 1)] Is SADDA - Both]&gt;</t>
        </r>
      </text>
    </comment>
    <comment ref="AA10" authorId="0" shapeId="0" xr:uid="{941F60A3-2B31-4167-9065-1000E7103699}">
      <text>
        <r>
          <rPr>
            <b/>
            <sz val="9"/>
            <color indexed="81"/>
            <rFont val="Tahoma"/>
            <family val="2"/>
          </rPr>
          <t>&lt;[[DEVDeals] - [Deal Property (Seq: 1)] - [Locations (Seq: 1)] Zip Code - Both]&gt;</t>
        </r>
      </text>
    </comment>
    <comment ref="AA11" authorId="0" shapeId="0" xr:uid="{17EA83A3-C628-4DC4-8A55-E1065B796E4A}">
      <text>
        <r>
          <rPr>
            <b/>
            <sz val="9"/>
            <color indexed="81"/>
            <rFont val="Tahoma"/>
            <family val="2"/>
          </rPr>
          <t>&lt;[[DEVDeals] - [Deal Property (Seq: 1)] - [Locations (Seq: 1)] Jurisdiction - Both]&gt;</t>
        </r>
      </text>
    </comment>
    <comment ref="AA12" authorId="0" shapeId="0" xr:uid="{CBC73ADE-4849-416E-A36A-10F07D34D28A}">
      <text>
        <r>
          <rPr>
            <b/>
            <sz val="9"/>
            <color indexed="81"/>
            <rFont val="Tahoma"/>
            <family val="2"/>
          </rPr>
          <t>&lt;[[DEVDeals] - [Deal Property (Seq: 1)] - [Locations (Seq: 1)] Has Laundry - Both]&gt;</t>
        </r>
      </text>
    </comment>
    <comment ref="N13" authorId="0" shapeId="0" xr:uid="{6D73DC71-AD76-4138-BCFB-EA3E5335D735}">
      <text>
        <r>
          <rPr>
            <b/>
            <sz val="9"/>
            <color indexed="81"/>
            <rFont val="Tahoma"/>
            <family val="2"/>
          </rPr>
          <t>&lt;[[DEVDeals] - [Associated TC Deal (Seq: 1)] - [TC Property Current Stage (Seq: 1)] - [TC Property Current Stage - User Defined Field Values (Seq: 1)] Tax Credit Information - Credit Enhancement - Both]&gt;</t>
        </r>
      </text>
    </comment>
    <comment ref="AA13" authorId="0" shapeId="0" xr:uid="{025BD8E0-090E-4C30-AE58-AE7C0A994B1C}">
      <text>
        <r>
          <rPr>
            <b/>
            <sz val="9"/>
            <color indexed="81"/>
            <rFont val="Tahoma"/>
            <family val="2"/>
          </rPr>
          <t>&lt;[[DEVDeals] - [Deal Property (Seq: 1)] - [Locations (Seq: 1)] Total Sq Footage - Both]&gt;</t>
        </r>
      </text>
    </comment>
    <comment ref="AA14" authorId="0" shapeId="0" xr:uid="{C332B489-0666-4068-B446-8C00FE4BDD13}">
      <text>
        <r>
          <rPr>
            <b/>
            <sz val="9"/>
            <color indexed="81"/>
            <rFont val="Tahoma"/>
            <family val="2"/>
          </rPr>
          <t>&lt;[[DEVDeals] - [Deal Property (Seq: 1)] - [Locations (Seq: 1)] Is Electric Landlord Paid - Both]&gt;</t>
        </r>
      </text>
    </comment>
    <comment ref="N15" authorId="0" shapeId="0" xr:uid="{AA6F483E-AA5C-4028-ACA0-4FF448890531}">
      <text>
        <r>
          <rPr>
            <b/>
            <sz val="9"/>
            <color indexed="81"/>
            <rFont val="Tahoma"/>
            <family val="2"/>
          </rPr>
          <t>&lt;[[DEVDeals] - [Associated TC Deal (Seq: 1)] - [TC Property Current Stage (Seq: 1)] Total Score - Both]&gt;</t>
        </r>
      </text>
    </comment>
    <comment ref="AA15" authorId="0" shapeId="0" xr:uid="{84A2F9D3-F48D-4A53-A497-493B59A9282A}">
      <text>
        <r>
          <rPr>
            <b/>
            <sz val="9"/>
            <color indexed="81"/>
            <rFont val="Tahoma"/>
            <family val="2"/>
          </rPr>
          <t>&lt;[[DEVDeals] - [Deal Property (Seq: 1)] - [Locations (Seq: 1)] Is AC Landlord Paid - Both]&gt;</t>
        </r>
      </text>
    </comment>
    <comment ref="I16" authorId="0" shapeId="0" xr:uid="{0CEE50E4-48E3-4EE4-B09C-0D9F1FB6CEA9}">
      <text>
        <r>
          <rPr>
            <b/>
            <sz val="9"/>
            <color indexed="81"/>
            <rFont val="Tahoma"/>
            <family val="2"/>
          </rPr>
          <t>&lt;[[DEVDeals] - [Deal Property (Seq: 1)] Process Type - Both]&gt;</t>
        </r>
      </text>
    </comment>
    <comment ref="AA16" authorId="0" shapeId="0" xr:uid="{CAD850E6-F823-41CC-9C65-938592FFF7A3}">
      <text>
        <r>
          <rPr>
            <b/>
            <sz val="9"/>
            <color indexed="81"/>
            <rFont val="Tahoma"/>
            <family val="2"/>
          </rPr>
          <t>&lt;[[DEVDeals] - [Deal Property (Seq: 1)] - [Locations (Seq: 1)] Is Hot Water Landlord Paid - Both]&gt;</t>
        </r>
      </text>
    </comment>
    <comment ref="AA17" authorId="0" shapeId="0" xr:uid="{9FC31B1C-E7B8-41BA-B554-58FFCAB87F8A}">
      <text>
        <r>
          <rPr>
            <b/>
            <sz val="9"/>
            <color indexed="81"/>
            <rFont val="Tahoma"/>
            <family val="2"/>
          </rPr>
          <t>&lt;[[DEVDeals] - [Deal Property (Seq: 1)] - [Locations (Seq: 1)] Is Cooking Landlord Paid - Both]&gt;</t>
        </r>
      </text>
    </comment>
    <comment ref="AA18" authorId="0" shapeId="0" xr:uid="{6DF8D3E8-C781-4C10-AB6C-39FFE3FE595B}">
      <text>
        <r>
          <rPr>
            <b/>
            <sz val="9"/>
            <color indexed="81"/>
            <rFont val="Tahoma"/>
            <family val="2"/>
          </rPr>
          <t>&lt;[[DEVDeals] - [Deal Property (Seq: 1)] - [Locations (Seq: 1)] Is Heat Landlord Paid - Both]&gt;</t>
        </r>
      </text>
    </comment>
    <comment ref="AA19" authorId="0" shapeId="0" xr:uid="{A5685A9E-8B56-4AE3-888C-B3A8C27D23E5}">
      <text>
        <r>
          <rPr>
            <b/>
            <sz val="9"/>
            <color indexed="81"/>
            <rFont val="Tahoma"/>
            <family val="2"/>
          </rPr>
          <t>&lt;[[DEVDeals] - [Deal Property (Seq: 1)] - [Locations (Seq: 1)] Has Other Amenity1 - Both]&gt;</t>
        </r>
      </text>
    </comment>
    <comment ref="I20" authorId="0" shapeId="0" xr:uid="{9D7B5A31-45B5-4168-BCF7-816226DCCEBE}">
      <text>
        <r>
          <rPr>
            <b/>
            <sz val="9"/>
            <color indexed="81"/>
            <rFont val="Tahoma"/>
            <family val="2"/>
          </rPr>
          <t>&lt;[[DEVDeals] Deal Name - Both]&gt;</t>
        </r>
      </text>
    </comment>
    <comment ref="N20" authorId="0" shapeId="0" xr:uid="{D001C7A0-D034-4067-B147-B2B128BA3F3F}">
      <text>
        <r>
          <rPr>
            <b/>
            <sz val="9"/>
            <color indexed="81"/>
            <rFont val="Tahoma"/>
            <family val="2"/>
          </rPr>
          <t>&lt;[[DEVDeals] - [Associated TC Deal (Seq: 1)] Deal Name - Both]&gt;</t>
        </r>
      </text>
    </comment>
    <comment ref="AA20" authorId="0" shapeId="0" xr:uid="{DB00C954-D972-40A6-9AC0-D28E9FB8AC99}">
      <text>
        <r>
          <rPr>
            <b/>
            <sz val="9"/>
            <color indexed="81"/>
            <rFont val="Tahoma"/>
            <family val="2"/>
          </rPr>
          <t>&lt;[[DEVDeals] - [Deal Property (Seq: 1)] - [Locations (Seq: 1)] Other Amenity1 Desc - Both]&gt;</t>
        </r>
      </text>
    </comment>
    <comment ref="I21" authorId="0" shapeId="0" xr:uid="{61556011-4E05-4395-8F58-2E8E2188B92F}">
      <text>
        <r>
          <rPr>
            <b/>
            <sz val="9"/>
            <color indexed="81"/>
            <rFont val="Tahoma"/>
            <family val="2"/>
          </rPr>
          <t>&lt;[[DEVDeals] - [Deal Property (Seq: 1)] Address1 - Both]&gt;</t>
        </r>
      </text>
    </comment>
    <comment ref="N21" authorId="0" shapeId="0" xr:uid="{63DC9509-5413-4297-9705-6AE71A893E82}">
      <text>
        <r>
          <rPr>
            <b/>
            <sz val="9"/>
            <color indexed="81"/>
            <rFont val="Tahoma"/>
            <family val="2"/>
          </rPr>
          <t>&lt;[[DEVDeals] - [Associated TC Deal (Seq: 1)] - [TC Property Current Stage (Seq: 1)] Address1 - Both]&gt;</t>
        </r>
      </text>
    </comment>
    <comment ref="AA21" authorId="0" shapeId="0" xr:uid="{D94FFE42-4917-4F4A-9479-0A0071D5B0B0}">
      <text>
        <r>
          <rPr>
            <b/>
            <sz val="9"/>
            <color indexed="81"/>
            <rFont val="Tahoma"/>
            <family val="2"/>
          </rPr>
          <t>&lt;[[DEVDeals] - [Deal Property (Seq: 1)] - [Locations (Seq: 1)] Has Other Amenity2 - Both]&gt;</t>
        </r>
      </text>
    </comment>
    <comment ref="I22" authorId="0" shapeId="0" xr:uid="{6E1FC721-DA16-4C02-A092-8DD572D1755C}">
      <text>
        <r>
          <rPr>
            <b/>
            <sz val="9"/>
            <color indexed="81"/>
            <rFont val="Tahoma"/>
            <family val="2"/>
          </rPr>
          <t>&lt;[[DEVDeals] - [Primary Portfolio Property (Seq: 1)] - [Primary Property - User Defined Field Values (Seq: 1)] Additional Project Information - Tax Lot - Both]&gt;</t>
        </r>
      </text>
    </comment>
    <comment ref="AA22" authorId="0" shapeId="0" xr:uid="{549F225B-F80C-4BA1-BFEF-F6AAFE56C8D5}">
      <text>
        <r>
          <rPr>
            <b/>
            <sz val="9"/>
            <color indexed="81"/>
            <rFont val="Tahoma"/>
            <family val="2"/>
          </rPr>
          <t>&lt;[[DEVDeals] - [Deal Property (Seq: 1)] - [Locations (Seq: 1)] Other Amenity2 Desc - Both]&gt;</t>
        </r>
      </text>
    </comment>
    <comment ref="I23" authorId="0" shapeId="0" xr:uid="{70D2C617-98D3-40E5-A1B4-F772F52C9A1A}">
      <text>
        <r>
          <rPr>
            <b/>
            <sz val="9"/>
            <color indexed="81"/>
            <rFont val="Tahoma"/>
            <family val="2"/>
          </rPr>
          <t>&lt;[[DEVDeals] - [Deal Property (Seq: 1)] City - Both]&gt;</t>
        </r>
      </text>
    </comment>
    <comment ref="N23" authorId="0" shapeId="0" xr:uid="{0D6CB721-D5AA-4C05-9ED1-1E7D79CA192E}">
      <text>
        <r>
          <rPr>
            <b/>
            <sz val="9"/>
            <color indexed="81"/>
            <rFont val="Tahoma"/>
            <family val="2"/>
          </rPr>
          <t>&lt;[[DEVDeals] - [Associated TC Deal (Seq: 1)] - [TC Property Current Stage (Seq: 1)] City - Both]&gt;</t>
        </r>
      </text>
    </comment>
    <comment ref="AA23" authorId="0" shapeId="0" xr:uid="{3A7D61C3-46C2-4175-A602-B1790164C500}">
      <text>
        <r>
          <rPr>
            <b/>
            <sz val="9"/>
            <color indexed="81"/>
            <rFont val="Tahoma"/>
            <family val="2"/>
          </rPr>
          <t>&lt;[[DEVDeals] - [Deal Property (Seq: 1)] - [Locations (Seq: 1)] Has Other Amenity3 - Both]&gt;</t>
        </r>
      </text>
    </comment>
    <comment ref="I24" authorId="0" shapeId="0" xr:uid="{F4524BB8-5718-482C-9591-9BC7B4F37AB0}">
      <text>
        <r>
          <rPr>
            <b/>
            <sz val="9"/>
            <color indexed="81"/>
            <rFont val="Tahoma"/>
            <family val="2"/>
          </rPr>
          <t>&lt;[[DEVDeals] - [Deal Property (Seq: 1)] Zip Code - Both]&gt;</t>
        </r>
      </text>
    </comment>
    <comment ref="N24" authorId="0" shapeId="0" xr:uid="{ECA95277-8376-4AF7-B862-0258DB716BD3}">
      <text>
        <r>
          <rPr>
            <b/>
            <sz val="9"/>
            <color indexed="81"/>
            <rFont val="Tahoma"/>
            <family val="2"/>
          </rPr>
          <t>&lt;[[DEVDeals] - [Associated TC Deal (Seq: 1)] - [TC Property Current Stage (Seq: 1)] Zip Code - Both]&gt;</t>
        </r>
      </text>
    </comment>
    <comment ref="AA24" authorId="0" shapeId="0" xr:uid="{3695D725-B8AF-415F-A9E8-B25938086C71}">
      <text>
        <r>
          <rPr>
            <b/>
            <sz val="9"/>
            <color indexed="81"/>
            <rFont val="Tahoma"/>
            <family val="2"/>
          </rPr>
          <t>&lt;[[DEVDeals] - [Deal Property (Seq: 1)] - [Locations (Seq: 1)] Other Amenity3 Desc - Both]&gt;</t>
        </r>
      </text>
    </comment>
    <comment ref="I25" authorId="0" shapeId="0" xr:uid="{CD9EF1EE-DF6D-4021-8F89-442A69448F32}">
      <text>
        <r>
          <rPr>
            <b/>
            <sz val="9"/>
            <color indexed="81"/>
            <rFont val="Tahoma"/>
            <family val="2"/>
          </rPr>
          <t>&lt;[[DEVDeals] - [Deal Property (Seq: 1)] - [Property - User Defined Field Values (Seq: 1)] Additional Deal Information - Congressional District - Both]&gt;</t>
        </r>
      </text>
    </comment>
    <comment ref="N25" authorId="0" shapeId="0" xr:uid="{F598865E-53F1-46D8-8D6B-159015E1AD9E}">
      <text>
        <r>
          <rPr>
            <b/>
            <sz val="9"/>
            <color indexed="81"/>
            <rFont val="Tahoma"/>
            <family val="2"/>
          </rPr>
          <t>&lt;[[DEVDeals] - [Associated TC Deal (Seq: 1)] - [TC Property Current Stage (Seq: 1)] Congressional District - Both]&gt;</t>
        </r>
      </text>
    </comment>
    <comment ref="AA25" authorId="0" shapeId="0" xr:uid="{62592AA4-49B1-4A2E-8319-EB811DF94D3C}">
      <text>
        <r>
          <rPr>
            <b/>
            <sz val="9"/>
            <color indexed="81"/>
            <rFont val="Tahoma"/>
            <family val="2"/>
          </rPr>
          <t>&lt;[[DEVDeals] - [Deal Property (Seq: 1)] - [Locations (Seq: 1)] Has Other Amenity4 - Both]&gt;</t>
        </r>
      </text>
    </comment>
    <comment ref="I26" authorId="0" shapeId="0" xr:uid="{6A2A3B61-069C-4EA8-9A55-759C454150D5}">
      <text>
        <r>
          <rPr>
            <b/>
            <sz val="9"/>
            <color indexed="81"/>
            <rFont val="Tahoma"/>
            <family val="2"/>
          </rPr>
          <t>&lt;[[DEVDeals] - [Primary Portfolio Property (Seq: 1)] - [Primary Property - User Defined Field Values (Seq: 1)] Additional Project Information - Tax Parcel - Both]&gt;</t>
        </r>
      </text>
    </comment>
    <comment ref="AA26" authorId="0" shapeId="0" xr:uid="{E13B62EC-305E-4495-8846-C5724E10F595}">
      <text>
        <r>
          <rPr>
            <b/>
            <sz val="9"/>
            <color indexed="81"/>
            <rFont val="Tahoma"/>
            <family val="2"/>
          </rPr>
          <t>&lt;[[DEVDeals] - [Deal Property (Seq: 1)] - [Locations (Seq: 1)] Other Amenity4 Desc - Both]&gt;</t>
        </r>
      </text>
    </comment>
    <comment ref="I27" authorId="0" shapeId="0" xr:uid="{0195BD19-CAD3-4CDE-B5C3-422AD759161A}">
      <text>
        <r>
          <rPr>
            <b/>
            <sz val="9"/>
            <color indexed="81"/>
            <rFont val="Tahoma"/>
            <family val="2"/>
          </rPr>
          <t>&lt;[[DEVDeals] - [Deal Property (Seq: 1)] Jurisdiction - Both]&gt;</t>
        </r>
      </text>
    </comment>
    <comment ref="N27" authorId="0" shapeId="0" xr:uid="{A6E9AA92-9EC9-4EBF-B5BC-0892EE8C97DC}">
      <text>
        <r>
          <rPr>
            <b/>
            <sz val="9"/>
            <color indexed="81"/>
            <rFont val="Tahoma"/>
            <family val="2"/>
          </rPr>
          <t>&lt;[[DEVDeals] - [Associated TC Deal (Seq: 1)] - [TC Property Current Stage (Seq: 1)] Jurisdiction - Both]&gt;</t>
        </r>
      </text>
    </comment>
    <comment ref="AA27" authorId="0" shapeId="0" xr:uid="{656F50E1-21F2-4D21-BC86-C28AFCFFDCB4}">
      <text>
        <r>
          <rPr>
            <b/>
            <sz val="9"/>
            <color indexed="81"/>
            <rFont val="Tahoma"/>
            <family val="2"/>
          </rPr>
          <t>&lt;[[DEVDeals] - [Deal Property (Seq: 1)] - [Locations (Seq: 1)] Total Units - Both]&gt;</t>
        </r>
      </text>
    </comment>
    <comment ref="N28" authorId="0" shapeId="0" xr:uid="{328BC175-0819-460A-BE25-C775AD56199A}">
      <text>
        <r>
          <rPr>
            <b/>
            <sz val="9"/>
            <color indexed="81"/>
            <rFont val="Tahoma"/>
            <family val="2"/>
          </rPr>
          <t>&lt;[[DEVDeals] - [Associated TC Deal (Seq: 1)] - [TC Property Current Stage (Seq: 1)] Census Tract - Both]&gt;</t>
        </r>
      </text>
    </comment>
    <comment ref="AA28" authorId="0" shapeId="0" xr:uid="{1BB58D7D-16D9-47B4-AB36-C08C36DCF30C}">
      <text>
        <r>
          <rPr>
            <b/>
            <sz val="9"/>
            <color indexed="81"/>
            <rFont val="Tahoma"/>
            <family val="2"/>
          </rPr>
          <t>&lt;[[DEVDeals] - [Deal Property (Seq: 1)] - [Locations (Seq: 1)] State - Both]&gt;</t>
        </r>
      </text>
    </comment>
    <comment ref="I29" authorId="0" shapeId="0" xr:uid="{9B99778B-F02F-4A87-863C-F84E90E3DD6D}">
      <text>
        <r>
          <rPr>
            <b/>
            <sz val="9"/>
            <color indexed="81"/>
            <rFont val="Tahoma"/>
            <family val="2"/>
          </rPr>
          <t>&lt;[[DEVDeals] - [Deal Property (Seq: 1)] - [Property - User Defined Field Values (Seq: 1)] Additional Deal Information - Legislative District - Both]&gt;</t>
        </r>
      </text>
    </comment>
    <comment ref="AA29" authorId="0" shapeId="0" xr:uid="{EDA1D52F-017D-481C-B979-9D7558E13D07}">
      <text>
        <r>
          <rPr>
            <b/>
            <sz val="9"/>
            <color indexed="81"/>
            <rFont val="Tahoma"/>
            <family val="2"/>
          </rPr>
          <t>&lt;[[DEVDeals] - [Deal Property (Seq: 1)] - [Locations (Seq: 1)] Total Beds - Both]&gt;</t>
        </r>
      </text>
    </comment>
    <comment ref="N30" authorId="0" shapeId="0" xr:uid="{1671FD60-BAF0-4167-82D4-03359459B9BE}">
      <text>
        <r>
          <rPr>
            <b/>
            <sz val="9"/>
            <color indexed="81"/>
            <rFont val="Tahoma"/>
            <family val="2"/>
          </rPr>
          <t>&lt;[[DEVDeals] - [Associated TC Deal (Seq: 1)] HUD - ID - Both]&gt;</t>
        </r>
      </text>
    </comment>
    <comment ref="AA30" authorId="0" shapeId="0" xr:uid="{22F6751F-D1BB-48BA-9A2C-F5F1038F29CF}">
      <text>
        <r>
          <rPr>
            <b/>
            <sz val="9"/>
            <color indexed="81"/>
            <rFont val="Tahoma"/>
            <family val="2"/>
          </rPr>
          <t>&lt;[[DEVDeals] - [Deal Property (Seq: 1)] - [Locations (Seq: 1)] Num Stories - Both]&gt;</t>
        </r>
      </text>
    </comment>
    <comment ref="I31" authorId="0" shapeId="0" xr:uid="{54703FD8-D26D-4D1C-8975-B89B74C4A5FD}">
      <text>
        <r>
          <rPr>
            <b/>
            <sz val="9"/>
            <color indexed="81"/>
            <rFont val="Tahoma"/>
            <family val="2"/>
          </rPr>
          <t>&lt;[[DEVDeals] - [Primary Portfolio Property (Seq: 1)] - [Primary Property - User Defined Field Values (Seq: 1)] Additional Project Information - Tax Map - Both]&gt;</t>
        </r>
      </text>
    </comment>
    <comment ref="I32" authorId="0" shapeId="0" xr:uid="{DD43D917-814F-4B5E-A4E4-02EB6D7CA168}">
      <text>
        <r>
          <rPr>
            <b/>
            <sz val="9"/>
            <color indexed="81"/>
            <rFont val="Tahoma"/>
            <family val="2"/>
          </rPr>
          <t>&lt;[[DEVDeals] - [Deal Property (Seq: 1)] - [Property - User Defined Field Values (Seq: 1)] Additional Property Information - Cable Access - Both]&gt;</t>
        </r>
      </text>
    </comment>
    <comment ref="I33" authorId="0" shapeId="0" xr:uid="{43DB7143-BF1F-49A4-8325-C0162FDA8961}">
      <text>
        <r>
          <rPr>
            <b/>
            <sz val="9"/>
            <color indexed="81"/>
            <rFont val="Tahoma"/>
            <family val="2"/>
          </rPr>
          <t>&lt;[[DEVDeals] - [Deal Property (Seq: 1)] - [Property - User Defined Field Values (Seq: 1)] Additional Property Information - Transportation Services - Both]&gt;</t>
        </r>
      </text>
    </comment>
    <comment ref="I34" authorId="0" shapeId="0" xr:uid="{60E49734-4029-49A9-901B-506046AD4683}">
      <text>
        <r>
          <rPr>
            <b/>
            <sz val="9"/>
            <color indexed="81"/>
            <rFont val="Tahoma"/>
            <family val="2"/>
          </rPr>
          <t>&lt;[[DEVDeals] - [Deal Property (Seq: 1)] - [Property - User Defined Field Values (Seq: 1)] Additional Property Information - Carpet - Both]&gt;</t>
        </r>
      </text>
    </comment>
    <comment ref="I35" authorId="0" shapeId="0" xr:uid="{9FE54D54-4ED8-4197-9D20-FD51822EAAD5}">
      <text>
        <r>
          <rPr>
            <b/>
            <sz val="9"/>
            <color indexed="81"/>
            <rFont val="Tahoma"/>
            <family val="2"/>
          </rPr>
          <t>&lt;[[DEVDeals] - [Deal Property (Seq: 1)] - [Property - User Defined Field Values (Seq: 1)] Additional Property Information - Dishwasher - Both]&gt;</t>
        </r>
      </text>
    </comment>
    <comment ref="I36" authorId="0" shapeId="0" xr:uid="{C9C10160-3EA7-45BF-A9D1-1414A21E283C}">
      <text>
        <r>
          <rPr>
            <b/>
            <sz val="9"/>
            <color indexed="81"/>
            <rFont val="Tahoma"/>
            <family val="2"/>
          </rPr>
          <t>&lt;[[DEVDeals] - [Deal Property (Seq: 1)] - [Property - User Defined Field Values (Seq: 1)] Additional Property Information - Disposal - Both]&gt;</t>
        </r>
      </text>
    </comment>
    <comment ref="I37" authorId="0" shapeId="0" xr:uid="{87EBDFA2-F6BE-4B5A-AC5B-E01A46AD7E87}">
      <text>
        <r>
          <rPr>
            <b/>
            <sz val="9"/>
            <color indexed="81"/>
            <rFont val="Tahoma"/>
            <family val="2"/>
          </rPr>
          <t>&lt;[[DEVDeals] - [Deal Property (Seq: 1)] - [Property - User Defined Field Values (Seq: 1)] Additional Property Information - Microwave - Both]&gt;</t>
        </r>
      </text>
    </comment>
    <comment ref="I38" authorId="0" shapeId="0" xr:uid="{4E57D2A4-7241-459B-BED9-732FA437ADAF}">
      <text>
        <r>
          <rPr>
            <b/>
            <sz val="9"/>
            <color indexed="81"/>
            <rFont val="Tahoma"/>
            <family val="2"/>
          </rPr>
          <t>&lt;[[DEVDeals] - [Deal Property (Seq: 1)] Has Laundry - Both]&gt;</t>
        </r>
      </text>
    </comment>
    <comment ref="I39" authorId="0" shapeId="0" xr:uid="{9697C8D1-F717-457C-B550-1AAF19A3805E}">
      <text>
        <r>
          <rPr>
            <b/>
            <sz val="9"/>
            <color indexed="81"/>
            <rFont val="Tahoma"/>
            <family val="2"/>
          </rPr>
          <t>&lt;[[DEVDeals] - [Deal Property (Seq: 1)] - [Property - User Defined Field Values (Seq: 1)] Additional Property Information - Washer/Dryer Hook-up - Both]&gt;</t>
        </r>
      </text>
    </comment>
    <comment ref="I40" authorId="0" shapeId="0" xr:uid="{AACCC0D6-AF10-4EDF-9261-D0E91713D4F3}">
      <text>
        <r>
          <rPr>
            <b/>
            <sz val="9"/>
            <color indexed="81"/>
            <rFont val="Tahoma"/>
            <family val="2"/>
          </rPr>
          <t>&lt;[[DEVDeals] - [Deal Property (Seq: 1)] - [Property - User Defined Field Values (Seq: 1)] Additional Property Information - High Speed Internet Access - Both]&gt;</t>
        </r>
      </text>
    </comment>
    <comment ref="I41" authorId="0" shapeId="0" xr:uid="{AAD62820-D36C-42FB-855E-4787DA12F3E0}">
      <text>
        <r>
          <rPr>
            <b/>
            <sz val="9"/>
            <color indexed="81"/>
            <rFont val="Tahoma"/>
            <family val="2"/>
          </rPr>
          <t>&lt;[[DEVDeals] - [Deal Property (Seq: 1)] Has Other Amenity1 - Both]&gt;</t>
        </r>
      </text>
    </comment>
    <comment ref="I42" authorId="0" shapeId="0" xr:uid="{08716E15-C66B-4763-81A8-87203A1A8E69}">
      <text>
        <r>
          <rPr>
            <b/>
            <sz val="9"/>
            <color indexed="81"/>
            <rFont val="Tahoma"/>
            <family val="2"/>
          </rPr>
          <t>&lt;[[DEVDeals] - [Deal Property (Seq: 1)] Other Amenity1 Desc - Both]&gt;</t>
        </r>
      </text>
    </comment>
    <comment ref="I43" authorId="0" shapeId="0" xr:uid="{5345E73D-21DB-4953-A077-E9B5F8ED7AD9}">
      <text>
        <r>
          <rPr>
            <b/>
            <sz val="9"/>
            <color indexed="81"/>
            <rFont val="Tahoma"/>
            <family val="2"/>
          </rPr>
          <t>&lt;[[DEVDeals] - [Deal Property (Seq: 1)] Has Other Amenity2 - Both]&gt;</t>
        </r>
      </text>
    </comment>
    <comment ref="I44" authorId="0" shapeId="0" xr:uid="{8B3387BC-8DDF-4833-A11E-DCB342B414DC}">
      <text>
        <r>
          <rPr>
            <b/>
            <sz val="9"/>
            <color indexed="81"/>
            <rFont val="Tahoma"/>
            <family val="2"/>
          </rPr>
          <t>&lt;[[DEVDeals] - [Deal Property (Seq: 1)] Other Amenity2 Desc - Both]&gt;</t>
        </r>
      </text>
    </comment>
    <comment ref="I45" authorId="0" shapeId="0" xr:uid="{26B81C7E-2FF4-4103-BD25-0F9A3BE4115E}">
      <text>
        <r>
          <rPr>
            <b/>
            <sz val="9"/>
            <color indexed="81"/>
            <rFont val="Tahoma"/>
            <family val="2"/>
          </rPr>
          <t>&lt;[[DEVDeals] - [Deal Property (Seq: 1)] Has Other Amenity3 - Both]&gt;</t>
        </r>
      </text>
    </comment>
    <comment ref="I46" authorId="0" shapeId="0" xr:uid="{50D01046-11FB-4652-B42A-57DFDC482069}">
      <text>
        <r>
          <rPr>
            <b/>
            <sz val="9"/>
            <color indexed="81"/>
            <rFont val="Tahoma"/>
            <family val="2"/>
          </rPr>
          <t>&lt;[[DEVDeals] - [Deal Property (Seq: 1)] Other Amenity3 Desc - Both]&gt;</t>
        </r>
      </text>
    </comment>
    <comment ref="T47" authorId="0" shapeId="0" xr:uid="{C779C30D-728A-4E65-B1AA-59EE448C6ED9}">
      <text>
        <r>
          <rPr>
            <b/>
            <sz val="9"/>
            <color indexed="81"/>
            <rFont val="Tahoma"/>
            <family val="2"/>
          </rPr>
          <t>&lt;[[DEVDeals] DEV Deal Type - Both]&gt;</t>
        </r>
      </text>
    </comment>
    <comment ref="N51" authorId="0" shapeId="0" xr:uid="{B66561F6-C5B7-4731-95A9-D14AA170AF41}">
      <text>
        <r>
          <rPr>
            <b/>
            <sz val="9"/>
            <color indexed="81"/>
            <rFont val="Tahoma"/>
            <family val="2"/>
          </rPr>
          <t>&lt;[[DEVDeals] - [Associated TC Deal (Seq: 1)] - [TC Property Current Stage (Seq: 1)] Total New Units - Both]&gt;</t>
        </r>
      </text>
    </comment>
    <comment ref="N52" authorId="0" shapeId="0" xr:uid="{BA456615-2846-4EEA-A62E-DC497EE1CBB1}">
      <text>
        <r>
          <rPr>
            <b/>
            <sz val="9"/>
            <color indexed="81"/>
            <rFont val="Tahoma"/>
            <family val="2"/>
          </rPr>
          <t>&lt;[[DEVDeals] - [Associated TC Deal (Seq: 1)] - [TC Property Current Stage (Seq: 1)] Total Rehab Units - Both]&gt;</t>
        </r>
      </text>
    </comment>
    <comment ref="N53" authorId="0" shapeId="0" xr:uid="{6CF23E44-2296-44D4-A34D-696D254EBE9B}">
      <text>
        <r>
          <rPr>
            <b/>
            <sz val="9"/>
            <color indexed="81"/>
            <rFont val="Tahoma"/>
            <family val="2"/>
          </rPr>
          <t>&lt;[[DEVDeals] - [Associated TC Deal (Seq: 1)] - [TC Property Current Stage (Seq: 1)] - [TC Property Current Stage - User Defined Field Values (Seq: 1)] Tax Credit Information - UFAS Units 1 BR - Both]&gt;</t>
        </r>
      </text>
    </comment>
    <comment ref="N54" authorId="0" shapeId="0" xr:uid="{CDC1655C-AB52-4F65-8790-F98B9C6CE082}">
      <text>
        <r>
          <rPr>
            <b/>
            <sz val="9"/>
            <color indexed="81"/>
            <rFont val="Tahoma"/>
            <family val="2"/>
          </rPr>
          <t>&lt;[[DEVDeals] - [Associated TC Deal (Seq: 1)] - [TC Property Current Stage (Seq: 1)] - [TC Property Current Stage - User Defined Field Values (Seq: 1)] Tax Credit Information - UFAS Units 2 BR - Both]&gt;</t>
        </r>
      </text>
    </comment>
    <comment ref="N55" authorId="0" shapeId="0" xr:uid="{1C750596-F4C3-4913-8A83-382C266FC76C}">
      <text>
        <r>
          <rPr>
            <b/>
            <sz val="9"/>
            <color indexed="81"/>
            <rFont val="Tahoma"/>
            <family val="2"/>
          </rPr>
          <t>&lt;[[DEVDeals] - [Associated TC Deal (Seq: 1)] - [TC Property Current Stage (Seq: 1)] - [TC Property Current Stage - User Defined Field Values (Seq: 1)] Tax Credit Information - UFAS Units 3 BR - Both]&gt;</t>
        </r>
      </text>
    </comment>
    <comment ref="N56" authorId="0" shapeId="0" xr:uid="{7DAB49A2-1330-411B-9665-1324132A3806}">
      <text>
        <r>
          <rPr>
            <b/>
            <sz val="9"/>
            <color indexed="81"/>
            <rFont val="Tahoma"/>
            <family val="2"/>
          </rPr>
          <t>&lt;[[DEVDeals] - [Associated TC Deal (Seq: 1)] - [TC Property Current Stage (Seq: 1)] - [TC Property Current Stage - User Defined Field Values (Seq: 1)] Tax Credit Information - UFAS Units 4 BR - Both]&gt;</t>
        </r>
      </text>
    </comment>
    <comment ref="N57" authorId="0" shapeId="0" xr:uid="{49207076-39BC-44D2-ACF5-0C84E02AD8CA}">
      <text>
        <r>
          <rPr>
            <b/>
            <sz val="9"/>
            <color indexed="81"/>
            <rFont val="Tahoma"/>
            <family val="2"/>
          </rPr>
          <t>&lt;[[DEVDeals] - [Associated TC Deal (Seq: 1)] - [TC Property Current Stage (Seq: 1)] - [TC Property Current Stage - User Defined Field Values (Seq: 1)] Tax Credit Information - UFAS Units 5 BR - Both]&gt;</t>
        </r>
      </text>
    </comment>
    <comment ref="N58" authorId="0" shapeId="0" xr:uid="{68FC2A62-88CA-4E06-BEEC-F9B9126D6212}">
      <text>
        <r>
          <rPr>
            <b/>
            <sz val="9"/>
            <color indexed="81"/>
            <rFont val="Tahoma"/>
            <family val="2"/>
          </rPr>
          <t>&lt;[[DEVDeals] - [Associated TC Deal (Seq: 1)] - [TC Property Current Stage (Seq: 1)] - [TC Property Current Stage - User Defined Field Values (Seq: 1)] Tax Credit Information - UFAS Units 6 BR - Both]&gt;</t>
        </r>
      </text>
    </comment>
    <comment ref="N59" authorId="0" shapeId="0" xr:uid="{B9ABBD23-E178-454D-BD88-AE9CA98FDA7A}">
      <text>
        <r>
          <rPr>
            <b/>
            <sz val="9"/>
            <color indexed="81"/>
            <rFont val="Tahoma"/>
            <family val="2"/>
          </rPr>
          <t>&lt;[[DEVDeals] - [Associated TC Deal (Seq: 1)] - [TC Property Current Stage (Seq: 1)] - [TC Property Current Stage - User Defined Field Values (Seq: 1)] Tax Credit Information - Total UFAS Units - Both]&gt;</t>
        </r>
      </text>
    </comment>
    <comment ref="N60" authorId="0" shapeId="0" xr:uid="{F22DFB6D-66AA-4973-9A64-364C6B5F5E1B}">
      <text>
        <r>
          <rPr>
            <b/>
            <sz val="9"/>
            <color indexed="81"/>
            <rFont val="Tahoma"/>
            <family val="2"/>
          </rPr>
          <t>&lt;[[DEVDeals] - [Associated TC Deal (Seq: 1)] - [TC Property Current Stage (Seq: 1)] - [TC Property Current Stage - User Defined Field Values (Seq: 1)] Tax Credit Information - Total PWD Units - Both]&gt;</t>
        </r>
      </text>
    </comment>
    <comment ref="N65" authorId="0" shapeId="0" xr:uid="{41853B6A-2E96-4086-A6D2-0218946D5C22}">
      <text>
        <r>
          <rPr>
            <b/>
            <sz val="9"/>
            <color indexed="81"/>
            <rFont val="Tahoma"/>
            <family val="2"/>
          </rPr>
          <t>[[DEVDeals] - [Associated TC Deal (Seq: 1)] - [TC Property Current Stage (Seq: 1)] - [TC Property Current Stage - User Defined Field Values (Seq: 1)] Tax Credit Information - Transaction between parties where close ties exist prior to the transaction (Se  &lt;[[DEVDeals] - [Associated TC Deal (Seq: 1)] - [TC Property Current Stage (Seq: 1)] - [TC Property Current Stage - User Defined Field Values (Seq: 1)] Tax Credit Information - Transaction between parties where close ties exist prior to the transaction (Section 3.9.8.1) - Both]&gt;</t>
        </r>
      </text>
    </comment>
    <comment ref="I66" authorId="0" shapeId="0" xr:uid="{10B6F16A-8DF5-4ABE-AC06-48FA377DA617}">
      <text>
        <r>
          <rPr>
            <b/>
            <sz val="9"/>
            <color indexed="81"/>
            <rFont val="Tahoma"/>
            <family val="2"/>
          </rPr>
          <t>&lt;[[DEVDeals] - [Deal Property (Seq: 1)] Occupancy Pct - Both]&gt;</t>
        </r>
      </text>
    </comment>
    <comment ref="I67" authorId="0" shapeId="0" xr:uid="{1A5D7DF1-50FD-4727-9BAE-86F21B6DC532}">
      <text>
        <r>
          <rPr>
            <b/>
            <sz val="9"/>
            <color indexed="81"/>
            <rFont val="Tahoma"/>
            <family val="2"/>
          </rPr>
          <t>&lt;[[DEVDeals] - [Deal Property (Seq: 1)] - [Property - User Defined Field Values (Seq: 1)] Additional Property Information - Project includes historic rehabilitation? - Both]&gt;</t>
        </r>
      </text>
    </comment>
    <comment ref="I68" authorId="0" shapeId="0" xr:uid="{C081A4F0-EE1E-41FE-83F6-E8425E6F0C20}">
      <text>
        <r>
          <rPr>
            <b/>
            <sz val="9"/>
            <color indexed="81"/>
            <rFont val="Tahoma"/>
            <family val="2"/>
          </rPr>
          <t>&lt;[[DEVDeals] - [Deal Property (Seq: 1)] - [Property - User Defined Field Values (Seq: 1)] Additional Property Information - Project involves the permanent relocation of tenants? - Both]&gt;</t>
        </r>
      </text>
    </comment>
    <comment ref="I69" authorId="0" shapeId="0" xr:uid="{CBE1FD34-7FE4-4BF2-9302-B13F3D8BF921}">
      <text>
        <r>
          <rPr>
            <b/>
            <sz val="9"/>
            <color indexed="81"/>
            <rFont val="Tahoma"/>
            <family val="2"/>
          </rPr>
          <t>&lt;[[DEVDeals] - [Deal Property (Seq: 1)] - [Property - User Defined Field Values (Seq: 1)] Additional Property Information - Project involves the temporary relocation of tenants? - Both]&gt;</t>
        </r>
      </text>
    </comment>
    <comment ref="I70" authorId="0" shapeId="0" xr:uid="{C7F36939-4097-4E8B-A07B-A9C94040DF1B}">
      <text>
        <r>
          <rPr>
            <b/>
            <sz val="9"/>
            <color indexed="81"/>
            <rFont val="Tahoma"/>
            <family val="2"/>
          </rPr>
          <t>&lt;[[DEVDeals] - [Budget Initial (Seq: 1)] - [Budget Initial - User Defined Field Values (Seq: 1)] Development Budget Details - Developer Fee Funded Supportive Services / Rent Subsidy / Sponsor Note Reserve - Both]&gt;</t>
        </r>
      </text>
    </comment>
    <comment ref="N71" authorId="0" shapeId="0" xr:uid="{C24496C8-80FA-4635-A332-4CE7F5DF7F63}">
      <text>
        <r>
          <rPr>
            <b/>
            <sz val="9"/>
            <color indexed="81"/>
            <rFont val="Tahoma"/>
            <family val="2"/>
          </rPr>
          <t>&lt;[[DEVDeals] - [Associated TC Deal (Seq: 1)] - [TC Property Current Stage (Seq: 1)] Site Acreage - Both]&gt;</t>
        </r>
      </text>
    </comment>
    <comment ref="I72" authorId="0" shapeId="0" xr:uid="{AE534854-73B8-44E4-8825-9D8EBACC0DFC}">
      <text>
        <r>
          <rPr>
            <b/>
            <sz val="9"/>
            <color indexed="81"/>
            <rFont val="Tahoma"/>
            <family val="2"/>
          </rPr>
          <t>&lt;[[DEVDeals] - [Deal Property (Seq: 1)] - [Property - User Defined Field Values (Seq: 1)] Additional Property Information - Square footage - Residential Units: Low-Income - Both]&gt;</t>
        </r>
      </text>
    </comment>
    <comment ref="I73" authorId="0" shapeId="0" xr:uid="{593E849B-9A69-43EB-A4D8-9598B3CB3FCE}">
      <text>
        <r>
          <rPr>
            <b/>
            <sz val="9"/>
            <color indexed="81"/>
            <rFont val="Tahoma"/>
            <family val="2"/>
          </rPr>
          <t>&lt;[[DEVDeals] - [Deal Property (Seq: 1)] - [Property - User Defined Field Values (Seq: 1)] Additional Property Information - Square footage - Residential Units: Market - Both]&gt;</t>
        </r>
      </text>
    </comment>
    <comment ref="T73" authorId="0" shapeId="0" xr:uid="{E4A91FF3-905A-4DA1-917B-6E31ED2BF1F9}">
      <text>
        <r>
          <rPr>
            <b/>
            <sz val="9"/>
            <color indexed="81"/>
            <rFont val="Tahoma"/>
            <family val="2"/>
          </rPr>
          <t>&lt;[[DEVDeals] - [Deal Property (Seq: 1)] Total Square Footage - Both]&gt;</t>
        </r>
      </text>
    </comment>
    <comment ref="I74" authorId="0" shapeId="0" xr:uid="{61AB4E3C-CB22-49AF-952C-8B78966174D4}">
      <text>
        <r>
          <rPr>
            <b/>
            <sz val="9"/>
            <color indexed="81"/>
            <rFont val="Tahoma"/>
            <family val="2"/>
          </rPr>
          <t>&lt;[[DEVDeals] - [Deal Property (Seq: 1)] - [Property - User Defined Field Values (Seq: 1)] Additional Property Information - Square footage - Nonresidential Units and Staff Units - Both]&gt;</t>
        </r>
      </text>
    </comment>
    <comment ref="I75" authorId="0" shapeId="0" xr:uid="{533AE39D-19C9-4D37-AFFC-E17968D358D3}">
      <text>
        <r>
          <rPr>
            <b/>
            <sz val="9"/>
            <color indexed="81"/>
            <rFont val="Tahoma"/>
            <family val="2"/>
          </rPr>
          <t>&lt;[[DEVDeals] - [Deal Property (Seq: 1)] - [Property - User Defined Field Values (Seq: 1)] Additional Property Information - Square footage - Commercial Space - Both]&gt;</t>
        </r>
      </text>
    </comment>
    <comment ref="I76" authorId="0" shapeId="0" xr:uid="{ECBE726D-21D1-4576-9C57-6DB1BE29AA40}">
      <text>
        <r>
          <rPr>
            <b/>
            <sz val="9"/>
            <color indexed="81"/>
            <rFont val="Tahoma"/>
            <family val="2"/>
          </rPr>
          <t>&lt;[[DEVDeals] - [Deal Property (Seq: 1)] - [Property - User Defined Field Values (Seq: 1)] Additional Property Information - Commercial Space Description - Both]&gt;</t>
        </r>
      </text>
    </comment>
    <comment ref="I77" authorId="0" shapeId="0" xr:uid="{F6967636-12C5-45D0-9427-96B50DDA8BAC}">
      <text>
        <r>
          <rPr>
            <b/>
            <sz val="9"/>
            <color indexed="81"/>
            <rFont val="Tahoma"/>
            <family val="2"/>
          </rPr>
          <t>&lt;[[DEVDeals] - [Deal Property (Seq: 1)] - [Property - User Defined Field Values (Seq: 1)] Additional Property Information - Square footage - Common Space - Both]&gt;</t>
        </r>
      </text>
    </comment>
    <comment ref="I78" authorId="0" shapeId="0" xr:uid="{20045EEA-62BF-4735-8D8E-8239B75BC7AF}">
      <text>
        <r>
          <rPr>
            <b/>
            <sz val="9"/>
            <color indexed="81"/>
            <rFont val="Tahoma"/>
            <family val="2"/>
          </rPr>
          <t>&lt;[[DEVDeals] - [Deal Property (Seq: 1)] - [Property - User Defined Field Values (Seq: 1)] Additional Property Information - Square footage - Circulation (hallways, stairways etc.) - Both]&gt;</t>
        </r>
      </text>
    </comment>
    <comment ref="I79" authorId="0" shapeId="0" xr:uid="{0005AED6-139E-4474-AE8F-4516AC9BAE82}">
      <text>
        <r>
          <rPr>
            <b/>
            <sz val="9"/>
            <color indexed="81"/>
            <rFont val="Tahoma"/>
            <family val="2"/>
          </rPr>
          <t>&lt;[[DEVDeals] - [Deal Property (Seq: 1)] - [Property - User Defined Field Values (Seq: 1)] Additional Property Information - Square footage - Recreation - Both]&gt;</t>
        </r>
      </text>
    </comment>
    <comment ref="I80" authorId="0" shapeId="0" xr:uid="{07970620-C3ED-432D-AC8D-26B1F4D56FCD}">
      <text>
        <r>
          <rPr>
            <b/>
            <sz val="9"/>
            <color indexed="81"/>
            <rFont val="Tahoma"/>
            <family val="2"/>
          </rPr>
          <t>&lt;[[DEVDeals] - [Deal Property (Seq: 1)] - [Property - User Defined Field Values (Seq: 1)] Additional Property Information - Square footage - Other 1 - Both]&gt;</t>
        </r>
      </text>
    </comment>
    <comment ref="I81" authorId="0" shapeId="0" xr:uid="{D5F7B97B-5436-49FD-AE74-3D3425EED5C5}">
      <text>
        <r>
          <rPr>
            <b/>
            <sz val="9"/>
            <color indexed="81"/>
            <rFont val="Tahoma"/>
            <family val="2"/>
          </rPr>
          <t>&lt;[[DEVDeals] - [Deal Property (Seq: 1)] - [Property - User Defined Field Values (Seq: 1)] Additional Property Information - Square footage - Other 2 - Both]&gt;</t>
        </r>
      </text>
    </comment>
    <comment ref="I82" authorId="0" shapeId="0" xr:uid="{DBA2FB43-E20C-46A1-AFFA-1084E13671AE}">
      <text>
        <r>
          <rPr>
            <b/>
            <sz val="9"/>
            <color indexed="81"/>
            <rFont val="Tahoma"/>
            <family val="2"/>
          </rPr>
          <t>&lt;[[DEVDeals] - [Deal Property (Seq: 1)] - [Property - User Defined Field Values (Seq: 1)] Additional Property Information - Square footage - Other 3 - Both]&gt;</t>
        </r>
      </text>
    </comment>
    <comment ref="I83" authorId="0" shapeId="0" xr:uid="{62B9418F-1D99-4221-89D0-870869F696DB}">
      <text>
        <r>
          <rPr>
            <b/>
            <sz val="9"/>
            <color indexed="81"/>
            <rFont val="Tahoma"/>
            <family val="2"/>
          </rPr>
          <t>&lt;[[DEVDeals] - [Deal Property (Seq: 1)] - [Property - User Defined Field Values (Seq: 1)] Additional Property Information - Square footage - Other 4 - Both]&gt;</t>
        </r>
      </text>
    </comment>
    <comment ref="I84" authorId="0" shapeId="0" xr:uid="{CEDAE807-CA22-4790-8563-92CF2EB1A53B}">
      <text>
        <r>
          <rPr>
            <b/>
            <sz val="9"/>
            <color indexed="81"/>
            <rFont val="Tahoma"/>
            <family val="2"/>
          </rPr>
          <t>&lt;[[DEVDeals] - [Deal Property (Seq: 1)] - [Property - User Defined Field Values (Seq: 1)] Additional Property Information - Square footage - Other 5 - Both]&gt;</t>
        </r>
      </text>
    </comment>
    <comment ref="I85" authorId="0" shapeId="0" xr:uid="{F56A459F-8366-4F7C-925F-6DCB0E0E805F}">
      <text>
        <r>
          <rPr>
            <b/>
            <sz val="9"/>
            <color indexed="81"/>
            <rFont val="Tahoma"/>
            <family val="2"/>
          </rPr>
          <t>&lt;[[DEVDeals] - [Deal Property (Seq: 1)] - [Property - User Defined Field Values (Seq: 1)] Additional Property Information - Other 1 Description - Both]&gt;</t>
        </r>
      </text>
    </comment>
    <comment ref="I86" authorId="0" shapeId="0" xr:uid="{2A05723C-62D9-4621-B639-25AE7EF883B1}">
      <text>
        <r>
          <rPr>
            <b/>
            <sz val="9"/>
            <color indexed="81"/>
            <rFont val="Tahoma"/>
            <family val="2"/>
          </rPr>
          <t>&lt;[[DEVDeals] - [Deal Property (Seq: 1)] - [Property - User Defined Field Values (Seq: 1)] Additional Property Information - Other 2 Description - Both]&gt;</t>
        </r>
      </text>
    </comment>
    <comment ref="I87" authorId="0" shapeId="0" xr:uid="{51158BF8-7253-47E9-9C01-E20563499A04}">
      <text>
        <r>
          <rPr>
            <b/>
            <sz val="9"/>
            <color indexed="81"/>
            <rFont val="Tahoma"/>
            <family val="2"/>
          </rPr>
          <t>&lt;[[DEVDeals] - [Deal Property (Seq: 1)] - [Property - User Defined Field Values (Seq: 1)] Additional Property Information - Other 3 Description - Both]&gt;</t>
        </r>
      </text>
    </comment>
    <comment ref="I88" authorId="0" shapeId="0" xr:uid="{97949BB6-8C0B-4E17-B207-807AB2506287}">
      <text>
        <r>
          <rPr>
            <b/>
            <sz val="9"/>
            <color indexed="81"/>
            <rFont val="Tahoma"/>
            <family val="2"/>
          </rPr>
          <t>&lt;[[DEVDeals] - [Deal Property (Seq: 1)] - [Property - User Defined Field Values (Seq: 1)] Additional Property Information - Other 4 Description - Both]&gt;</t>
        </r>
      </text>
    </comment>
    <comment ref="I89" authorId="0" shapeId="0" xr:uid="{8454D313-CA5B-46AF-B0EE-7C1F07F8793E}">
      <text>
        <r>
          <rPr>
            <b/>
            <sz val="9"/>
            <color indexed="81"/>
            <rFont val="Tahoma"/>
            <family val="2"/>
          </rPr>
          <t>&lt;[[DEVDeals] - [Deal Property (Seq: 1)] - [Property - User Defined Field Values (Seq: 1)] Additional Property Information - Other 5 Description - Both]&gt;</t>
        </r>
      </text>
    </comment>
    <comment ref="N90" authorId="0" shapeId="0" xr:uid="{0262680F-88F3-4ABB-B444-A66912665B9E}">
      <text>
        <r>
          <rPr>
            <b/>
            <sz val="9"/>
            <color indexed="81"/>
            <rFont val="Tahoma"/>
            <family val="2"/>
          </rPr>
          <t>&lt;[[DEVDeals] - [Associated TC Deal (Seq: 1)] - [TC Property Current Stage (Seq: 1)] - [TC Property Current Stage - User Defined Field Values (Seq: 1)] Tax Credit Information - General Occupancy - Both]&gt;</t>
        </r>
      </text>
    </comment>
    <comment ref="N91" authorId="0" shapeId="0" xr:uid="{B2ACDB16-8DAA-48B8-BA43-B44D9B9FBDBD}">
      <text>
        <r>
          <rPr>
            <b/>
            <sz val="9"/>
            <color indexed="81"/>
            <rFont val="Tahoma"/>
            <family val="2"/>
          </rPr>
          <t>&lt;[[DEVDeals] - [Associated TC Deal (Seq: 1)] - [TC Property Current Stage (Seq: 1)] - [TC Property Current Stage - User Defined Field Values (Seq: 1)] Tax Credit Information - Elderly - Both]&gt;</t>
        </r>
      </text>
    </comment>
    <comment ref="N92" authorId="0" shapeId="0" xr:uid="{580A2F9C-834B-48A1-86AB-01C3CB9E1E3C}">
      <text>
        <r>
          <rPr>
            <b/>
            <sz val="9"/>
            <color indexed="81"/>
            <rFont val="Tahoma"/>
            <family val="2"/>
          </rPr>
          <t>&lt;[[DEVDeals] - [Associated TC Deal (Seq: 1)] - [TC Property Current Stage (Seq: 1)] - [TC Property Current Stage - User Defined Field Values (Seq: 1)] Tax Credit Information - Special Needs or Alternative Housing - Both]&gt;</t>
        </r>
      </text>
    </comment>
    <comment ref="N93" authorId="0" shapeId="0" xr:uid="{67FF7685-8041-4E5E-A5E9-52AD55458950}">
      <text>
        <r>
          <rPr>
            <b/>
            <sz val="9"/>
            <color indexed="81"/>
            <rFont val="Tahoma"/>
            <family val="2"/>
          </rPr>
          <t>&lt;[[DEVDeals] - [Associated TC Deal (Seq: 1)] - [TC Property Current Stage (Seq: 1)] - [TC Property Current Stage - User Defined Field Values (Seq: 1)] Tax Credit Information - Commercial Unit - Both]&gt;</t>
        </r>
      </text>
    </comment>
    <comment ref="N94" authorId="0" shapeId="0" xr:uid="{D79D927B-64BB-4878-8950-C6BA2954FCA5}">
      <text>
        <r>
          <rPr>
            <b/>
            <sz val="9"/>
            <color indexed="81"/>
            <rFont val="Tahoma"/>
            <family val="2"/>
          </rPr>
          <t>&lt;[[DEVDeals] - [Associated TC Deal (Seq: 1)] - [TC Property Current Stage (Seq: 1)] - [TC Property Current Stage - User Defined Field Values (Seq: 1)] Additional Property Information - Target Population(s) - Units Count 1 - Both]&gt;</t>
        </r>
      </text>
    </comment>
    <comment ref="N95" authorId="0" shapeId="0" xr:uid="{60778372-1211-4275-919E-85F7A83A4D2B}">
      <text>
        <r>
          <rPr>
            <b/>
            <sz val="9"/>
            <color indexed="81"/>
            <rFont val="Tahoma"/>
            <family val="2"/>
          </rPr>
          <t>&lt;[[DEVDeals] - [Associated TC Deal (Seq: 1)] - [TC Property Current Stage (Seq: 1)] - [TC Property Current Stage - User Defined Field Values (Seq: 1)] Additional Property Information - Target Population(s) - Units Count 2 - Both]&gt;</t>
        </r>
      </text>
    </comment>
    <comment ref="N96" authorId="0" shapeId="0" xr:uid="{7368C357-42FB-45EA-8F67-D68EC9E4CA39}">
      <text>
        <r>
          <rPr>
            <b/>
            <sz val="9"/>
            <color indexed="81"/>
            <rFont val="Tahoma"/>
            <family val="2"/>
          </rPr>
          <t>&lt;[[DEVDeals] - [Associated TC Deal (Seq: 1)] - [TC Property Current Stage (Seq: 1)] - [TC Property Current Stage - User Defined Field Values (Seq: 1)] Additional Property Information - Threshold 9% Units for Persons Experiencing Homelessness - Both]&gt;</t>
        </r>
      </text>
    </comment>
    <comment ref="N97" authorId="0" shapeId="0" xr:uid="{B3B87769-ECB2-4A87-B484-47F29FE06702}">
      <text>
        <r>
          <rPr>
            <b/>
            <sz val="9"/>
            <color indexed="81"/>
            <rFont val="Tahoma"/>
            <family val="2"/>
          </rPr>
          <t>&lt;[[DEVDeals] - [Associated TC Deal (Seq: 1)] - [TC Property Current Stage (Seq: 1)] - [TC Property Current Stage - User Defined Field Values (Seq: 1)] Additional Property Information - Target Population(s) - Targeted Population 1 - Both]&gt;</t>
        </r>
      </text>
    </comment>
    <comment ref="N98" authorId="0" shapeId="0" xr:uid="{1B88F38E-DC48-4F70-BC26-1F09D5845081}">
      <text>
        <r>
          <rPr>
            <b/>
            <sz val="9"/>
            <color indexed="81"/>
            <rFont val="Tahoma"/>
            <family val="2"/>
          </rPr>
          <t>&lt;[[DEVDeals] - [Associated TC Deal (Seq: 1)] - [TC Property Current Stage (Seq: 1)] - [TC Property Current Stage - User Defined Field Values (Seq: 1)] Additional Property Information - Target Population(s) - Targeted Population 2 - Both]&gt;</t>
        </r>
      </text>
    </comment>
    <comment ref="N99" authorId="0" shapeId="0" xr:uid="{5670C465-C66D-4EED-A679-E7F6C18E28A6}">
      <text>
        <r>
          <rPr>
            <b/>
            <sz val="9"/>
            <color indexed="81"/>
            <rFont val="Tahoma"/>
            <family val="2"/>
          </rPr>
          <t>&lt;[[DEVDeals] - [Associated TC Deal (Seq: 1)] - [TC Property Current Stage (Seq: 1)] Num Units With Assistance - Both]&gt;</t>
        </r>
      </text>
    </comment>
    <comment ref="N100" authorId="0" shapeId="0" xr:uid="{7211175C-6DD5-4D3B-9E31-68F5948CAF74}">
      <text>
        <r>
          <rPr>
            <b/>
            <sz val="9"/>
            <color indexed="81"/>
            <rFont val="Tahoma"/>
            <family val="2"/>
          </rPr>
          <t>&lt;[[DEVDeals] - [Associated TC Deal (Seq: 1)] - [TC Property Current Stage (Seq: 1)] - [TC Property Current Stage - User Defined Field Values (Seq: 1)] Additional Property Information - Structured Year-15 transition to a homeownership program - Both]&gt;</t>
        </r>
      </text>
    </comment>
    <comment ref="N101" authorId="0" shapeId="0" xr:uid="{5EFF8E40-6334-43FA-BE82-FE885F193CCC}">
      <text>
        <r>
          <rPr>
            <b/>
            <sz val="9"/>
            <color indexed="81"/>
            <rFont val="Tahoma"/>
            <family val="2"/>
          </rPr>
          <t>&lt;[[DEVDeals] - [Associated TC Deal (Seq: 1)] - [TC Property Current Stage (Seq: 1)] - [TC Property Current Stage - User Defined Field Values (Seq: 1)] Additional Property Information - The Sponsor has site control - Both]&gt;</t>
        </r>
      </text>
    </comment>
    <comment ref="N102" authorId="0" shapeId="0" xr:uid="{6F16617A-3FFD-4F73-98A2-724F091E036E}">
      <text>
        <r>
          <rPr>
            <b/>
            <sz val="9"/>
            <color indexed="81"/>
            <rFont val="Tahoma"/>
            <family val="2"/>
          </rPr>
          <t>&lt;[[DEVDeals] - [Associated TC Deal (Seq: 1)] - [TC Property Current Stage (Seq: 1)] Site Control Type - Both]&gt;</t>
        </r>
      </text>
    </comment>
    <comment ref="N103" authorId="0" shapeId="0" xr:uid="{5779838C-FED3-4791-825F-C43839F87090}">
      <text>
        <r>
          <rPr>
            <b/>
            <sz val="9"/>
            <color indexed="81"/>
            <rFont val="Tahoma"/>
            <family val="2"/>
          </rPr>
          <t>&lt;[[DEVDeals] - [Associated TC Deal (Seq: 1)] - [TC Property Current Stage (Seq: 1)] - [TC Property Current Stage - User Defined Field Values (Seq: 1)] Additional Property Information - Identity of interest between the seller and sponsor/applicant - Both]&gt;</t>
        </r>
      </text>
    </comment>
    <comment ref="N104" authorId="0" shapeId="0" xr:uid="{A68DA6FA-85A6-4D50-BE49-90244CE3A434}">
      <text>
        <r>
          <rPr>
            <b/>
            <sz val="9"/>
            <color indexed="81"/>
            <rFont val="Tahoma"/>
            <family val="2"/>
          </rPr>
          <t>&lt;[[DEVDeals] - [Associated TC Deal (Seq: 1)] - [TC Property Current Stage (Seq: 1)] - [TC Property Current Stage - User Defined Field Values (Seq: 1)] Additional Property Information - Date site control expires Site 1 - Both]&gt;</t>
        </r>
      </text>
    </comment>
    <comment ref="N105" authorId="0" shapeId="0" xr:uid="{21CEAFD7-C610-44A3-A202-273E6A346A11}">
      <text>
        <r>
          <rPr>
            <b/>
            <sz val="9"/>
            <color indexed="81"/>
            <rFont val="Tahoma"/>
            <family val="2"/>
          </rPr>
          <t>&lt;[[DEVDeals] - [Associated TC Deal (Seq: 1)] - [TC Property Current Stage (Seq: 1)] - [TC Property Current Stage - User Defined Field Values (Seq: 1)] Additional Property Information - Date site control expires Site 2 - Both]&gt;</t>
        </r>
      </text>
    </comment>
    <comment ref="N106" authorId="0" shapeId="0" xr:uid="{627EC04E-043A-40C4-B69F-F4BC3439D6F1}">
      <text>
        <r>
          <rPr>
            <b/>
            <sz val="9"/>
            <color indexed="81"/>
            <rFont val="Tahoma"/>
            <family val="2"/>
          </rPr>
          <t>&lt;[[DEVDeals] - [Associated TC Deal (Seq: 1)] - [TC Property Current Stage (Seq: 1)] - [TC Property Current Stage - User Defined Field Values (Seq: 1)] Additional Property Information - Date site control expires Site 3 - Both]&gt;</t>
        </r>
      </text>
    </comment>
    <comment ref="N107" authorId="0" shapeId="0" xr:uid="{00FD7248-3741-4CB3-B7D3-2F93A7809FAE}">
      <text>
        <r>
          <rPr>
            <b/>
            <sz val="9"/>
            <color indexed="81"/>
            <rFont val="Tahoma"/>
            <family val="2"/>
          </rPr>
          <t>&lt;[[DEVDeals] - [Associated TC Deal (Seq: 1)] - [TC Property Current Stage (Seq: 1)] - [TC Property Current Stage - User Defined Field Values (Seq: 1)] Additional Property Information - No. of extensions 1 - Both]&gt;</t>
        </r>
      </text>
    </comment>
    <comment ref="N108" authorId="0" shapeId="0" xr:uid="{917ABF23-EE1C-48EF-86BC-AA80D09AF0F1}">
      <text>
        <r>
          <rPr>
            <b/>
            <sz val="9"/>
            <color indexed="81"/>
            <rFont val="Tahoma"/>
            <family val="2"/>
          </rPr>
          <t>&lt;[[DEVDeals] - [Associated TC Deal (Seq: 1)] - [TC Property Current Stage (Seq: 1)] - [TC Property Current Stage - User Defined Field Values (Seq: 1)] Additional Property Information - No. of extensions 2 - Both]&gt;</t>
        </r>
      </text>
    </comment>
    <comment ref="N109" authorId="0" shapeId="0" xr:uid="{8F5A702D-9B80-4F26-BBAA-DCA66FC07DB9}">
      <text>
        <r>
          <rPr>
            <b/>
            <sz val="9"/>
            <color indexed="81"/>
            <rFont val="Tahoma"/>
            <family val="2"/>
          </rPr>
          <t>&lt;[[DEVDeals] - [Associated TC Deal (Seq: 1)] - [TC Property Current Stage (Seq: 1)] - [TC Property Current Stage - User Defined Field Values (Seq: 1)] Additional Property Information - No. of extensions 3 - Both]&gt;</t>
        </r>
      </text>
    </comment>
    <comment ref="N110" authorId="0" shapeId="0" xr:uid="{EBAE77AF-296A-44BC-9E6F-41A955AE41B0}">
      <text>
        <r>
          <rPr>
            <b/>
            <sz val="9"/>
            <color indexed="81"/>
            <rFont val="Tahoma"/>
            <family val="2"/>
          </rPr>
          <t>&lt;[[DEVDeals] - [Associated TC Deal (Seq: 1)] - [TC Property Current Stage (Seq: 1)] - [TC Property Current Stage - User Defined Field Values (Seq: 1)] Additional Property Information - Date site will be acquired by the ownership entity - Both]&gt;</t>
        </r>
      </text>
    </comment>
    <comment ref="N111" authorId="0" shapeId="0" xr:uid="{47E8EC1D-4CF3-4FFB-8F57-4CEF3669CDC5}">
      <text>
        <r>
          <rPr>
            <b/>
            <sz val="9"/>
            <color indexed="81"/>
            <rFont val="Tahoma"/>
            <family val="2"/>
          </rPr>
          <t>&lt;[[DEVDeals] - [Associated TC Deal (Seq: 1)] - [TC Property Current Stage (Seq: 1)] - [TC Property Current Stage - User Defined Field Values (Seq: 1)] Additional Property Information - Contract extension period (in days) - Both]&gt;</t>
        </r>
      </text>
    </comment>
    <comment ref="N112" authorId="0" shapeId="0" xr:uid="{84CFDC81-F884-4D40-AFAA-3B191C774BB1}">
      <text>
        <r>
          <rPr>
            <b/>
            <sz val="9"/>
            <color indexed="81"/>
            <rFont val="Tahoma"/>
            <family val="2"/>
          </rPr>
          <t>&lt;[[DEVDeals] - [Associated TC Deal (Seq: 1)] - [TC Property Current Stage (Seq: 1)] - [TC Property Current Stage - User Defined Field Values (Seq: 1)] Additional Property Information - Current Zoning Classification - Both]&gt;</t>
        </r>
      </text>
    </comment>
    <comment ref="N113" authorId="0" shapeId="0" xr:uid="{0375106D-2708-4EBD-8D05-137598D9C036}">
      <text>
        <r>
          <rPr>
            <b/>
            <sz val="9"/>
            <color indexed="81"/>
            <rFont val="Tahoma"/>
            <family val="2"/>
          </rPr>
          <t>&lt;[[DEVDeals] - [Associated TC Deal (Seq: 1)] - [TC Property Current Stage (Seq: 1)] - [TC Property Current Stage - User Defined Field Values (Seq: 1)] Additional Property Information - Describe Current Classification - Both]&gt;</t>
        </r>
      </text>
    </comment>
    <comment ref="N114" authorId="0" shapeId="0" xr:uid="{D932BDCD-05CE-4266-B470-6C971885D33A}">
      <text>
        <r>
          <rPr>
            <b/>
            <sz val="9"/>
            <color indexed="81"/>
            <rFont val="Tahoma"/>
            <family val="2"/>
          </rPr>
          <t>&lt;[[DEVDeals] - [Associated TC Deal (Seq: 1)] - [TC Property Current Stage (Seq: 1)] - [TC Property Current Stage - User Defined Field Values (Seq: 1)] Additional Property Information - Zoning change, variance or waiver required - Both]&gt;</t>
        </r>
      </text>
    </comment>
    <comment ref="N115" authorId="0" shapeId="0" xr:uid="{F9A2A38F-A6E9-40F8-9656-E0DEEBA4F348}">
      <text>
        <r>
          <rPr>
            <b/>
            <sz val="9"/>
            <color indexed="81"/>
            <rFont val="Tahoma"/>
            <family val="2"/>
          </rPr>
          <t>&lt;[[DEVDeals] - [Associated TC Deal (Seq: 1)] - [TC Property Current Stage (Seq: 1)] - [TC Property Current Stage - User Defined Field Values (Seq: 1)] Additional Property Information - Date application for zoning change, variance or waiver filed - Both]&gt;</t>
        </r>
      </text>
    </comment>
    <comment ref="N116" authorId="0" shapeId="0" xr:uid="{F2BDCC03-FB3F-481B-A673-9AD49810A514}">
      <text>
        <r>
          <rPr>
            <b/>
            <sz val="9"/>
            <color indexed="81"/>
            <rFont val="Tahoma"/>
            <family val="2"/>
          </rPr>
          <t>&lt;[[DEVDeals] - [Associated TC Deal (Seq: 1)] - [TC Property Current Stage (Seq: 1)] - [TC Property Current Stage - User Defined Field Values (Seq: 1)] Additional Property Information - Date of final hearing on zoning change, variance or waiver - Both]&gt;</t>
        </r>
      </text>
    </comment>
    <comment ref="N117" authorId="0" shapeId="0" xr:uid="{2203406F-E155-488E-818E-5BF33EBDAFEA}">
      <text>
        <r>
          <rPr>
            <b/>
            <sz val="9"/>
            <color indexed="81"/>
            <rFont val="Tahoma"/>
            <family val="2"/>
          </rPr>
          <t>&lt;[[DEVDeals] - [Associated TC Deal (Seq: 1)] - [TC Property Current Stage (Seq: 1)] - [TC Property Current Stage - User Defined Field Values (Seq: 1)] Additional Property Information - Date of final approval of zoning change, variance or waiver - Both]&gt;</t>
        </r>
      </text>
    </comment>
    <comment ref="I118" authorId="0" shapeId="0" xr:uid="{58EF0503-35B2-4B06-A7BA-C0904A5095CA}">
      <text>
        <r>
          <rPr>
            <b/>
            <sz val="9"/>
            <color indexed="81"/>
            <rFont val="Tahoma"/>
            <family val="2"/>
          </rPr>
          <t>&lt;[[DEVDeals] - [DEV User Defined Fields (Seq: 1)] Development Dates - Date of local planning approval - Both]&gt;</t>
        </r>
      </text>
    </comment>
    <comment ref="I119" authorId="0" shapeId="0" xr:uid="{4E2A3C82-CF84-4B9A-892B-0A51F2E36DF8}">
      <text>
        <r>
          <rPr>
            <b/>
            <sz val="9"/>
            <color indexed="81"/>
            <rFont val="Tahoma"/>
            <family val="2"/>
          </rPr>
          <t>&lt;[[DEVDeals] - [DEV User Defined Fields (Seq: 1)] Development Dates - Date financing applications filed with other lenders (public and private) - Both]&gt;</t>
        </r>
      </text>
    </comment>
    <comment ref="I120" authorId="0" shapeId="0" xr:uid="{3020EADC-E53F-42C0-9748-3417AB04C2CB}">
      <text>
        <r>
          <rPr>
            <b/>
            <sz val="9"/>
            <color indexed="81"/>
            <rFont val="Tahoma"/>
            <family val="2"/>
          </rPr>
          <t>&lt;[[DEVDeals] - [DEV User Defined Fields (Seq: 1)] Development Dates - Date firm commitments received from other lenders (public and private) - Both]&gt;</t>
        </r>
      </text>
    </comment>
    <comment ref="I121" authorId="0" shapeId="0" xr:uid="{EE9F0CEB-91B6-4C32-A2B3-D8A06FDAC886}">
      <text>
        <r>
          <rPr>
            <b/>
            <sz val="9"/>
            <color indexed="81"/>
            <rFont val="Tahoma"/>
            <family val="2"/>
          </rPr>
          <t>&lt;[[DEVDeals] - [DEV User Defined Fields (Seq: 1)] Development Dates - Date final plans and specifications completed - Both]&gt;</t>
        </r>
      </text>
    </comment>
    <comment ref="I122" authorId="0" shapeId="0" xr:uid="{FD1630CE-6354-49FE-9EFD-703EC091C6B1}">
      <text>
        <r>
          <rPr>
            <b/>
            <sz val="9"/>
            <color indexed="81"/>
            <rFont val="Tahoma"/>
            <family val="2"/>
          </rPr>
          <t>&lt;[[DEVDeals] - [DEV User Defined Fields (Seq: 1)] Development Dates - Date 10% of project costs incurred (No later than 12 months from carryover allocation.) - Both]&gt;</t>
        </r>
      </text>
    </comment>
    <comment ref="I123" authorId="0" shapeId="0" xr:uid="{10DD127D-F224-4382-9447-6B6B82C5DB8A}">
      <text>
        <r>
          <rPr>
            <b/>
            <sz val="9"/>
            <color indexed="81"/>
            <rFont val="Tahoma"/>
            <family val="2"/>
          </rPr>
          <t>&lt;[[DEVDeals] - [DEV User Defined Fields (Seq: 1)] Development Dates - Date evidence will be provided that 10% of project costs have been incurred - Both]&gt;</t>
        </r>
      </text>
    </comment>
    <comment ref="I124" authorId="0" shapeId="0" xr:uid="{B890E263-F76A-402B-B748-2AD4323CC36A}">
      <text>
        <r>
          <rPr>
            <b/>
            <sz val="9"/>
            <color indexed="81"/>
            <rFont val="Tahoma"/>
            <family val="2"/>
          </rPr>
          <t>&lt;[[DEVDeals] - [DEV User Defined Fields (Seq: 1)] Development Dates - Date of construction loan closing - Both]&gt;</t>
        </r>
      </text>
    </comment>
    <comment ref="I125" authorId="0" shapeId="0" xr:uid="{5D6AC9C8-3C7F-49CD-B88C-3A2C3C539BA1}">
      <text>
        <r>
          <rPr>
            <b/>
            <sz val="9"/>
            <color indexed="81"/>
            <rFont val="Tahoma"/>
            <family val="2"/>
          </rPr>
          <t>&lt;[[DEVDeals] - [DEV User Defined Fields (Seq: 1)] Development Dates - Construction Start Date - Both]&gt;</t>
        </r>
      </text>
    </comment>
    <comment ref="I126" authorId="0" shapeId="0" xr:uid="{ACA10E28-A8B7-4498-899C-99D123246242}">
      <text>
        <r>
          <rPr>
            <b/>
            <sz val="9"/>
            <color indexed="81"/>
            <rFont val="Tahoma"/>
            <family val="2"/>
          </rPr>
          <t>&lt;[[DEVDeals] - [DEV User Defined Fields (Seq: 1)] Development Dates - Date 50% of construction or rehabilitation completed - Both]&gt;</t>
        </r>
      </text>
    </comment>
    <comment ref="I127" authorId="0" shapeId="0" xr:uid="{BBAB028C-1E23-4122-821E-C265C9C2B059}">
      <text>
        <r>
          <rPr>
            <b/>
            <sz val="9"/>
            <color indexed="81"/>
            <rFont val="Tahoma"/>
            <family val="2"/>
          </rPr>
          <t>&lt;[[DEVDeals] - [DEV User Defined Fields (Seq: 1)] Development Dates - Construction Completion Date - Both]&gt;</t>
        </r>
      </text>
    </comment>
    <comment ref="I128" authorId="0" shapeId="0" xr:uid="{C56E9C48-72D1-48B3-A39B-1353B527733D}">
      <text>
        <r>
          <rPr>
            <b/>
            <sz val="9"/>
            <color indexed="81"/>
            <rFont val="Tahoma"/>
            <family val="2"/>
          </rPr>
          <t>&lt;[[DEVDeals] - [DEV User Defined Fields (Seq: 1)] Development Dates - Date first certificate of occupancy received - Both]&gt;</t>
        </r>
      </text>
    </comment>
    <comment ref="I129" authorId="0" shapeId="0" xr:uid="{F253F45F-EF42-4FC0-8EEE-47263266F1A0}">
      <text>
        <r>
          <rPr>
            <b/>
            <sz val="9"/>
            <color indexed="81"/>
            <rFont val="Tahoma"/>
            <family val="2"/>
          </rPr>
          <t>&lt;[[DEVDeals] - [DEV User Defined Fields (Seq: 1)] Development Dates - Date final certificate of occupancy received - Both]&gt;</t>
        </r>
      </text>
    </comment>
    <comment ref="I130" authorId="0" shapeId="0" xr:uid="{462FBA63-9FEE-424D-8B5C-E28F2CA2AC5C}">
      <text>
        <r>
          <rPr>
            <b/>
            <sz val="9"/>
            <color indexed="81"/>
            <rFont val="Tahoma"/>
            <family val="2"/>
          </rPr>
          <t>&lt;[[DEVDeals] - [DEV User Defined Fields (Seq: 1)] Development Dates - Date sustaining occupancy achieved - Both]&gt;</t>
        </r>
      </text>
    </comment>
    <comment ref="I131" authorId="0" shapeId="0" xr:uid="{5CF1008F-26BF-4859-85BE-D66DCA9BC37E}">
      <text>
        <r>
          <rPr>
            <b/>
            <sz val="9"/>
            <color indexed="81"/>
            <rFont val="Tahoma"/>
            <family val="2"/>
          </rPr>
          <t>&lt;[[DEVDeals] - [DEV User Defined Fields (Seq: 1)] Development Dates - Date of permanent loan closing - Both]&gt;</t>
        </r>
      </text>
    </comment>
    <comment ref="D136" authorId="0" shapeId="0" xr:uid="{B4844F9B-ECF4-4F53-BC48-D65B3B5A9773}">
      <text>
        <r>
          <rPr>
            <b/>
            <sz val="9"/>
            <color indexed="81"/>
            <rFont val="Tahoma"/>
            <family val="2"/>
          </rPr>
          <t>&lt;[[DEVDeals] - [Proxy Entities (Seq: 1)] Deal Entity Role - Both]&gt;</t>
        </r>
      </text>
    </comment>
    <comment ref="E136" authorId="0" shapeId="0" xr:uid="{D353327D-3669-47EB-960F-1C5EE35D909E}">
      <text>
        <r>
          <rPr>
            <b/>
            <sz val="9"/>
            <color indexed="81"/>
            <rFont val="Tahoma"/>
            <family val="2"/>
          </rPr>
          <t>&lt;[[DEVDeals] - [Proxy Entities (Seq: 1)] Name (Doing Business As) - Both]&gt;</t>
        </r>
      </text>
    </comment>
    <comment ref="F136" authorId="0" shapeId="0" xr:uid="{5FB064F4-5411-482B-93AA-198FC4903C44}">
      <text>
        <r>
          <rPr>
            <b/>
            <sz val="9"/>
            <color indexed="81"/>
            <rFont val="Tahoma"/>
            <family val="2"/>
          </rPr>
          <t>&lt;[[DEVDeals] - [Proxy Entities (Seq: 1)] Address 1 - Both]&gt;</t>
        </r>
      </text>
    </comment>
    <comment ref="G136" authorId="0" shapeId="0" xr:uid="{0F90179B-59D3-4B81-878A-6A39A5E3818D}">
      <text>
        <r>
          <rPr>
            <b/>
            <sz val="9"/>
            <color indexed="81"/>
            <rFont val="Tahoma"/>
            <family val="2"/>
          </rPr>
          <t>&lt;[[DEVDeals] - [Proxy Entities (Seq: 1)] City - Both]&gt;</t>
        </r>
      </text>
    </comment>
    <comment ref="H136" authorId="0" shapeId="0" xr:uid="{F04EEB1A-7551-409A-BD9E-946A69BD094B}">
      <text>
        <r>
          <rPr>
            <b/>
            <sz val="9"/>
            <color indexed="81"/>
            <rFont val="Tahoma"/>
            <family val="2"/>
          </rPr>
          <t>&lt;[[DEVDeals] - [Proxy Entities (Seq: 1)] State - Both]&gt;</t>
        </r>
      </text>
    </comment>
    <comment ref="I136" authorId="0" shapeId="0" xr:uid="{0035E883-B5FC-448F-A14A-89EE6CEE98D8}">
      <text>
        <r>
          <rPr>
            <b/>
            <sz val="9"/>
            <color indexed="81"/>
            <rFont val="Tahoma"/>
            <family val="2"/>
          </rPr>
          <t>&lt;[[DEVDeals] - [Proxy Entities (Seq: 1)] Zip Code - Both]&gt;</t>
        </r>
      </text>
    </comment>
    <comment ref="J136" authorId="0" shapeId="0" xr:uid="{82EEE1C2-4312-4035-B77E-B6D67136DC31}">
      <text>
        <r>
          <rPr>
            <b/>
            <sz val="9"/>
            <color indexed="81"/>
            <rFont val="Tahoma"/>
            <family val="2"/>
          </rPr>
          <t>&lt;[[DEVDeals] - [Proxy Entities (Seq: 1)] Email Address 1 - Both]&gt;</t>
        </r>
      </text>
    </comment>
    <comment ref="K136" authorId="0" shapeId="0" xr:uid="{CA357AF8-68E2-45C7-B791-C26998D637F5}">
      <text>
        <r>
          <rPr>
            <b/>
            <sz val="9"/>
            <color indexed="81"/>
            <rFont val="Tahoma"/>
            <family val="2"/>
          </rPr>
          <t>&lt;[[DEVDeals] - [Proxy Entities (Seq: 1)] Direct Phone - Both]&gt;</t>
        </r>
      </text>
    </comment>
    <comment ref="M136" authorId="0" shapeId="0" xr:uid="{465711D7-7EC5-4FFF-B428-2DFACF279F5C}">
      <text>
        <r>
          <rPr>
            <b/>
            <sz val="9"/>
            <color indexed="81"/>
            <rFont val="Tahoma"/>
            <family val="2"/>
          </rPr>
          <t>&lt;[[DEVDeals] - [Proxy Entities (Seq: 1)] Company or Individual? - Both]&gt;</t>
        </r>
      </text>
    </comment>
    <comment ref="D137" authorId="0" shapeId="0" xr:uid="{B29C0953-AD7D-49A5-809D-AEC050FC3F24}">
      <text>
        <r>
          <rPr>
            <b/>
            <sz val="9"/>
            <color indexed="81"/>
            <rFont val="Tahoma"/>
            <family val="2"/>
          </rPr>
          <t>&lt;[[DEVDeals] - [Proxy Entities (Seq: 2)] Deal Entity Role - Both]&gt;</t>
        </r>
      </text>
    </comment>
    <comment ref="E137" authorId="0" shapeId="0" xr:uid="{93660978-4027-4570-9D60-D71660732622}">
      <text>
        <r>
          <rPr>
            <b/>
            <sz val="9"/>
            <color indexed="81"/>
            <rFont val="Tahoma"/>
            <family val="2"/>
          </rPr>
          <t>&lt;[[DEVDeals] - [Proxy Entities (Seq: 2)] Name (Doing Business As) - Both]&gt;</t>
        </r>
      </text>
    </comment>
    <comment ref="L137" authorId="0" shapeId="0" xr:uid="{761280F5-90AD-47D3-894C-9C844A8AD29D}">
      <text>
        <r>
          <rPr>
            <b/>
            <sz val="9"/>
            <color indexed="81"/>
            <rFont val="Tahoma"/>
            <family val="2"/>
          </rPr>
          <t>&lt;[[DEVDeals] - [Proxy Entities (Seq: 2)] Tax ID Number - Both]&gt;</t>
        </r>
      </text>
    </comment>
    <comment ref="M137" authorId="0" shapeId="0" xr:uid="{B848582D-1728-4E78-9755-5CA90E32ECD7}">
      <text>
        <r>
          <rPr>
            <b/>
            <sz val="9"/>
            <color indexed="81"/>
            <rFont val="Tahoma"/>
            <family val="2"/>
          </rPr>
          <t>&lt;[[DEVDeals] - [Proxy Entities (Seq: 2)] Company or Individual? - Both]&gt;</t>
        </r>
      </text>
    </comment>
    <comment ref="D138" authorId="0" shapeId="0" xr:uid="{3BD20D5C-ACFC-4985-B975-7107DDAF07C2}">
      <text>
        <r>
          <rPr>
            <b/>
            <sz val="9"/>
            <color indexed="81"/>
            <rFont val="Tahoma"/>
            <family val="2"/>
          </rPr>
          <t>&lt;[[DEVDeals] - [Proxy Entities (Seq: 3)] Deal Entity Role - Both]&gt;</t>
        </r>
      </text>
    </comment>
    <comment ref="E138" authorId="0" shapeId="0" xr:uid="{6229F93E-4922-4F10-B422-3DC4136B4C98}">
      <text>
        <r>
          <rPr>
            <b/>
            <sz val="9"/>
            <color indexed="81"/>
            <rFont val="Tahoma"/>
            <family val="2"/>
          </rPr>
          <t>&lt;[[DEVDeals] - [Proxy Entities (Seq: 3)] Name (Doing Business As) - Both]&gt;</t>
        </r>
      </text>
    </comment>
    <comment ref="L138" authorId="0" shapeId="0" xr:uid="{448D7BCE-B6CF-489A-A834-85F93EF4D5CB}">
      <text>
        <r>
          <rPr>
            <b/>
            <sz val="9"/>
            <color indexed="81"/>
            <rFont val="Tahoma"/>
            <family val="2"/>
          </rPr>
          <t>&lt;[[DEVDeals] - [Proxy Entities (Seq: 3)] Tax ID Number - Both]&gt;</t>
        </r>
      </text>
    </comment>
    <comment ref="M138" authorId="0" shapeId="0" xr:uid="{8D897DB8-81D7-4299-AFCC-0CC8F047FD44}">
      <text>
        <r>
          <rPr>
            <b/>
            <sz val="9"/>
            <color indexed="81"/>
            <rFont val="Tahoma"/>
            <family val="2"/>
          </rPr>
          <t>&lt;[[DEVDeals] - [Proxy Entities (Seq: 3)] Company or Individual? - Both]&gt;</t>
        </r>
      </text>
    </comment>
    <comment ref="D139" authorId="0" shapeId="0" xr:uid="{1F90A0AA-DDA2-4DE6-AF60-633486F00E60}">
      <text>
        <r>
          <rPr>
            <b/>
            <sz val="9"/>
            <color indexed="81"/>
            <rFont val="Tahoma"/>
            <family val="2"/>
          </rPr>
          <t>&lt;[[DEVDeals] - [Proxy Entities (Seq: 4)] Deal Entity Role - Both]&gt;</t>
        </r>
      </text>
    </comment>
    <comment ref="E139" authorId="0" shapeId="0" xr:uid="{BF2C095A-6753-4EA7-A03D-C0BB8EECCEB3}">
      <text>
        <r>
          <rPr>
            <b/>
            <sz val="9"/>
            <color indexed="81"/>
            <rFont val="Tahoma"/>
            <family val="2"/>
          </rPr>
          <t>&lt;[[DEVDeals] - [Proxy Entities (Seq: 4)] Name (Doing Business As) - Both]&gt;</t>
        </r>
      </text>
    </comment>
    <comment ref="L139" authorId="0" shapeId="0" xr:uid="{DCCD070B-8BB9-4E11-8A4F-968803161F9A}">
      <text>
        <r>
          <rPr>
            <b/>
            <sz val="9"/>
            <color indexed="81"/>
            <rFont val="Tahoma"/>
            <family val="2"/>
          </rPr>
          <t>&lt;[[DEVDeals] - [Proxy Entities (Seq: 4)] Tax ID Number - Both]&gt;</t>
        </r>
      </text>
    </comment>
    <comment ref="M139" authorId="0" shapeId="0" xr:uid="{B1346367-B40C-4B01-A72A-B1E36BC1B485}">
      <text>
        <r>
          <rPr>
            <b/>
            <sz val="9"/>
            <color indexed="81"/>
            <rFont val="Tahoma"/>
            <family val="2"/>
          </rPr>
          <t>&lt;[[DEVDeals] - [Proxy Entities (Seq: 4)] Company or Individual? - Both]&gt;</t>
        </r>
      </text>
    </comment>
    <comment ref="D140" authorId="0" shapeId="0" xr:uid="{54020CF0-2EF0-42CA-AAA4-B6676AD55A9B}">
      <text>
        <r>
          <rPr>
            <b/>
            <sz val="9"/>
            <color indexed="81"/>
            <rFont val="Tahoma"/>
            <family val="2"/>
          </rPr>
          <t>&lt;[[DEVDeals] - [Proxy Entities (Seq: 5)] Deal Entity Role - Both]&gt;</t>
        </r>
      </text>
    </comment>
    <comment ref="E140" authorId="0" shapeId="0" xr:uid="{4B3F0089-07CB-4EC2-8370-485983B1CA45}">
      <text>
        <r>
          <rPr>
            <b/>
            <sz val="9"/>
            <color indexed="81"/>
            <rFont val="Tahoma"/>
            <family val="2"/>
          </rPr>
          <t>&lt;[[DEVDeals] - [Proxy Entities (Seq: 5)] Name (Doing Business As) - Both]&gt;</t>
        </r>
      </text>
    </comment>
    <comment ref="L140" authorId="0" shapeId="0" xr:uid="{56CE1990-4810-4CF8-8E1B-126C4F6F090E}">
      <text>
        <r>
          <rPr>
            <b/>
            <sz val="9"/>
            <color indexed="81"/>
            <rFont val="Tahoma"/>
            <family val="2"/>
          </rPr>
          <t>&lt;[[DEVDeals] - [Proxy Entities (Seq: 5)] Tax ID Number - Both]&gt;</t>
        </r>
      </text>
    </comment>
    <comment ref="M140" authorId="0" shapeId="0" xr:uid="{8EB56B14-40E7-4166-AD0B-B6A04F7147B5}">
      <text>
        <r>
          <rPr>
            <b/>
            <sz val="9"/>
            <color indexed="81"/>
            <rFont val="Tahoma"/>
            <family val="2"/>
          </rPr>
          <t>&lt;[[DEVDeals] - [Proxy Entities (Seq: 5)] Company or Individual? - Both]&gt;</t>
        </r>
      </text>
    </comment>
    <comment ref="D141" authorId="0" shapeId="0" xr:uid="{78710CDF-1ECF-4EDB-A19D-4AAD16BDBC10}">
      <text>
        <r>
          <rPr>
            <b/>
            <sz val="9"/>
            <color indexed="81"/>
            <rFont val="Tahoma"/>
            <family val="2"/>
          </rPr>
          <t>&lt;[[DEVDeals] - [Proxy Entities (Seq: 6)] Deal Entity Role - Both]&gt;</t>
        </r>
      </text>
    </comment>
    <comment ref="E141" authorId="0" shapeId="0" xr:uid="{5515AE78-D051-4DB9-9456-425BD4AAAB1C}">
      <text>
        <r>
          <rPr>
            <b/>
            <sz val="9"/>
            <color indexed="81"/>
            <rFont val="Tahoma"/>
            <family val="2"/>
          </rPr>
          <t>&lt;[[DEVDeals] - [Proxy Entities (Seq: 6)] Name (Doing Business As) - Both]&gt;</t>
        </r>
      </text>
    </comment>
    <comment ref="F141" authorId="0" shapeId="0" xr:uid="{B7AB1689-BF98-42BA-9444-4A0E499459F2}">
      <text>
        <r>
          <rPr>
            <b/>
            <sz val="9"/>
            <color indexed="81"/>
            <rFont val="Tahoma"/>
            <family val="2"/>
          </rPr>
          <t>&lt;[[DEVDeals] - [Proxy Entities (Seq: 6)] Address 1 - Both]&gt;</t>
        </r>
      </text>
    </comment>
    <comment ref="G141" authorId="0" shapeId="0" xr:uid="{5E6E8B07-44A6-4C7B-B330-5536CB6FB2B5}">
      <text>
        <r>
          <rPr>
            <b/>
            <sz val="9"/>
            <color indexed="81"/>
            <rFont val="Tahoma"/>
            <family val="2"/>
          </rPr>
          <t>&lt;[[DEVDeals] - [Proxy Entities (Seq: 6)] City - Both]&gt;</t>
        </r>
      </text>
    </comment>
    <comment ref="H141" authorId="0" shapeId="0" xr:uid="{CF870576-2B03-4A46-9BA5-27B9536FF733}">
      <text>
        <r>
          <rPr>
            <b/>
            <sz val="9"/>
            <color indexed="81"/>
            <rFont val="Tahoma"/>
            <family val="2"/>
          </rPr>
          <t>&lt;[[DEVDeals] - [Proxy Entities (Seq: 6)] State - Both]&gt;</t>
        </r>
      </text>
    </comment>
    <comment ref="I141" authorId="0" shapeId="0" xr:uid="{5930E0EF-9E94-4C42-9640-77BF88EAD28A}">
      <text>
        <r>
          <rPr>
            <b/>
            <sz val="9"/>
            <color indexed="81"/>
            <rFont val="Tahoma"/>
            <family val="2"/>
          </rPr>
          <t>&lt;[[DEVDeals] - [Proxy Entities (Seq: 6)] Zip Code - Both]&gt;</t>
        </r>
      </text>
    </comment>
    <comment ref="J141" authorId="0" shapeId="0" xr:uid="{240D6B04-815E-4F96-A899-5C619E4E35B7}">
      <text>
        <r>
          <rPr>
            <b/>
            <sz val="9"/>
            <color indexed="81"/>
            <rFont val="Tahoma"/>
            <family val="2"/>
          </rPr>
          <t>&lt;[[DEVDeals] - [Proxy Entities (Seq: 6)] Email Address 1 - Both]&gt;</t>
        </r>
      </text>
    </comment>
    <comment ref="K141" authorId="0" shapeId="0" xr:uid="{DE920F9E-7B2E-4104-A938-40A1A4829CEC}">
      <text>
        <r>
          <rPr>
            <b/>
            <sz val="9"/>
            <color indexed="81"/>
            <rFont val="Tahoma"/>
            <family val="2"/>
          </rPr>
          <t>&lt;[[DEVDeals] - [Proxy Entities (Seq: 6)] Direct Phone - Both]&gt;</t>
        </r>
      </text>
    </comment>
    <comment ref="M141" authorId="0" shapeId="0" xr:uid="{42F6AD79-A601-4DBE-AF05-CE7F7F3607D3}">
      <text>
        <r>
          <rPr>
            <b/>
            <sz val="9"/>
            <color indexed="81"/>
            <rFont val="Tahoma"/>
            <family val="2"/>
          </rPr>
          <t>&lt;[[DEVDeals] - [Proxy Entities (Seq: 6)] Company or Individual? - Both]&gt;</t>
        </r>
      </text>
    </comment>
    <comment ref="D142" authorId="0" shapeId="0" xr:uid="{3D7E989B-925E-4A46-8187-64548A8CC9AF}">
      <text>
        <r>
          <rPr>
            <b/>
            <sz val="9"/>
            <color indexed="81"/>
            <rFont val="Tahoma"/>
            <family val="2"/>
          </rPr>
          <t>&lt;[[DEVDeals] - [Proxy Entities (Seq: 7)] Deal Entity Role - Both]&gt;</t>
        </r>
      </text>
    </comment>
    <comment ref="E142" authorId="0" shapeId="0" xr:uid="{7150163B-27CF-45F7-BA28-33AD7C7A8016}">
      <text>
        <r>
          <rPr>
            <b/>
            <sz val="9"/>
            <color indexed="81"/>
            <rFont val="Tahoma"/>
            <family val="2"/>
          </rPr>
          <t>&lt;[[DEVDeals] - [Proxy Entities (Seq: 7)] Name (Doing Business As) - Both]&gt;</t>
        </r>
      </text>
    </comment>
    <comment ref="F142" authorId="0" shapeId="0" xr:uid="{B5D8F622-929D-42D2-AD90-2A3A767EBAD8}">
      <text>
        <r>
          <rPr>
            <b/>
            <sz val="9"/>
            <color indexed="81"/>
            <rFont val="Tahoma"/>
            <family val="2"/>
          </rPr>
          <t>&lt;[[DEVDeals] - [Proxy Entities (Seq: 7)] Address 1 - Both]&gt;</t>
        </r>
      </text>
    </comment>
    <comment ref="G142" authorId="0" shapeId="0" xr:uid="{44718219-A502-4A2F-8C6E-EF3875695245}">
      <text>
        <r>
          <rPr>
            <b/>
            <sz val="9"/>
            <color indexed="81"/>
            <rFont val="Tahoma"/>
            <family val="2"/>
          </rPr>
          <t>&lt;[[DEVDeals] - [Proxy Entities (Seq: 7)] City - Both]&gt;</t>
        </r>
      </text>
    </comment>
    <comment ref="H142" authorId="0" shapeId="0" xr:uid="{7C7D3B83-5E13-4392-B4B7-6398ECBAB1A7}">
      <text>
        <r>
          <rPr>
            <b/>
            <sz val="9"/>
            <color indexed="81"/>
            <rFont val="Tahoma"/>
            <family val="2"/>
          </rPr>
          <t>&lt;[[DEVDeals] - [Proxy Entities (Seq: 7)] State - Both]&gt;</t>
        </r>
      </text>
    </comment>
    <comment ref="I142" authorId="0" shapeId="0" xr:uid="{553D4062-38A5-4516-B0F0-944647F4ECA6}">
      <text>
        <r>
          <rPr>
            <b/>
            <sz val="9"/>
            <color indexed="81"/>
            <rFont val="Tahoma"/>
            <family val="2"/>
          </rPr>
          <t>&lt;[[DEVDeals] - [Proxy Entities (Seq: 7)] Zip Code - Both]&gt;</t>
        </r>
      </text>
    </comment>
    <comment ref="J142" authorId="0" shapeId="0" xr:uid="{82A13925-6735-42C2-8999-5C6C1FC207D7}">
      <text>
        <r>
          <rPr>
            <b/>
            <sz val="9"/>
            <color indexed="81"/>
            <rFont val="Tahoma"/>
            <family val="2"/>
          </rPr>
          <t>&lt;[[DEVDeals] - [Proxy Entities (Seq: 7)] Email Address 1 - Both]&gt;</t>
        </r>
      </text>
    </comment>
    <comment ref="K142" authorId="0" shapeId="0" xr:uid="{ADF21221-C9BF-436F-97D0-2CA8E05F5C9B}">
      <text>
        <r>
          <rPr>
            <b/>
            <sz val="9"/>
            <color indexed="81"/>
            <rFont val="Tahoma"/>
            <family val="2"/>
          </rPr>
          <t>&lt;[[DEVDeals] - [Proxy Entities (Seq: 7)] Direct Phone - Both]&gt;</t>
        </r>
      </text>
    </comment>
    <comment ref="M142" authorId="0" shapeId="0" xr:uid="{44E27D21-3589-4569-ADD6-9FFD849BEF83}">
      <text>
        <r>
          <rPr>
            <b/>
            <sz val="9"/>
            <color indexed="81"/>
            <rFont val="Tahoma"/>
            <family val="2"/>
          </rPr>
          <t>&lt;[[DEVDeals] - [Proxy Entities (Seq: 7)] Company or Individual? - Both]&gt;</t>
        </r>
      </text>
    </comment>
    <comment ref="D143" authorId="0" shapeId="0" xr:uid="{2595C76C-2BA1-4F03-A2B0-796E9615D5EC}">
      <text>
        <r>
          <rPr>
            <b/>
            <sz val="9"/>
            <color indexed="81"/>
            <rFont val="Tahoma"/>
            <family val="2"/>
          </rPr>
          <t>&lt;[[DEVDeals] - [Proxy Entities (Seq: 8)] Deal Entity Role - Both]&gt;</t>
        </r>
      </text>
    </comment>
    <comment ref="E143" authorId="0" shapeId="0" xr:uid="{CD64D7CA-FF4C-42C4-BF82-11A5AD90B05E}">
      <text>
        <r>
          <rPr>
            <b/>
            <sz val="9"/>
            <color indexed="81"/>
            <rFont val="Tahoma"/>
            <family val="2"/>
          </rPr>
          <t>&lt;[[DEVDeals] - [Proxy Entities (Seq: 8)] Name (Doing Business As) - Both]&gt;</t>
        </r>
      </text>
    </comment>
    <comment ref="F143" authorId="0" shapeId="0" xr:uid="{563D31CF-A226-488A-8F59-C88EA017BE46}">
      <text>
        <r>
          <rPr>
            <b/>
            <sz val="9"/>
            <color indexed="81"/>
            <rFont val="Tahoma"/>
            <family val="2"/>
          </rPr>
          <t>&lt;[[DEVDeals] - [Proxy Entities (Seq: 8)] Address 1 - Both]&gt;</t>
        </r>
      </text>
    </comment>
    <comment ref="G143" authorId="0" shapeId="0" xr:uid="{02E671D6-AA35-47F4-9C3E-BCEF39CCA0F8}">
      <text>
        <r>
          <rPr>
            <b/>
            <sz val="9"/>
            <color indexed="81"/>
            <rFont val="Tahoma"/>
            <family val="2"/>
          </rPr>
          <t>&lt;[[DEVDeals] - [Proxy Entities (Seq: 8)] City - Both]&gt;</t>
        </r>
      </text>
    </comment>
    <comment ref="H143" authorId="0" shapeId="0" xr:uid="{E25BE479-0009-47F7-9A95-8B50A004FED2}">
      <text>
        <r>
          <rPr>
            <b/>
            <sz val="9"/>
            <color indexed="81"/>
            <rFont val="Tahoma"/>
            <family val="2"/>
          </rPr>
          <t>&lt;[[DEVDeals] - [Proxy Entities (Seq: 8)] State - Both]&gt;</t>
        </r>
      </text>
    </comment>
    <comment ref="I143" authorId="0" shapeId="0" xr:uid="{5F4D3667-508B-43FF-A386-404393F88AAF}">
      <text>
        <r>
          <rPr>
            <b/>
            <sz val="9"/>
            <color indexed="81"/>
            <rFont val="Tahoma"/>
            <family val="2"/>
          </rPr>
          <t>&lt;[[DEVDeals] - [Proxy Entities (Seq: 8)] Zip Code - Both]&gt;</t>
        </r>
      </text>
    </comment>
    <comment ref="J143" authorId="0" shapeId="0" xr:uid="{0249D952-F914-4CC0-AA4A-5B5E5AEDEEFB}">
      <text>
        <r>
          <rPr>
            <b/>
            <sz val="9"/>
            <color indexed="81"/>
            <rFont val="Tahoma"/>
            <family val="2"/>
          </rPr>
          <t>&lt;[[DEVDeals] - [Proxy Entities (Seq: 8)] Email Address 1 - Both]&gt;</t>
        </r>
      </text>
    </comment>
    <comment ref="K143" authorId="0" shapeId="0" xr:uid="{92AB7B6F-8107-45A8-9FC3-F88171CFB617}">
      <text>
        <r>
          <rPr>
            <b/>
            <sz val="9"/>
            <color indexed="81"/>
            <rFont val="Tahoma"/>
            <family val="2"/>
          </rPr>
          <t>&lt;[[DEVDeals] - [Proxy Entities (Seq: 8)] Direct Phone - Both]&gt;</t>
        </r>
      </text>
    </comment>
    <comment ref="M143" authorId="0" shapeId="0" xr:uid="{E65E6BAE-AA08-4DE1-8E6E-7AB8EAD66473}">
      <text>
        <r>
          <rPr>
            <b/>
            <sz val="9"/>
            <color indexed="81"/>
            <rFont val="Tahoma"/>
            <family val="2"/>
          </rPr>
          <t>&lt;[[DEVDeals] - [Proxy Entities (Seq: 8)] Company or Individual? - Both]&gt;</t>
        </r>
      </text>
    </comment>
    <comment ref="D144" authorId="0" shapeId="0" xr:uid="{86ED7D08-1752-4CBA-B8D1-8F1650D219ED}">
      <text>
        <r>
          <rPr>
            <b/>
            <sz val="9"/>
            <color indexed="81"/>
            <rFont val="Tahoma"/>
            <family val="2"/>
          </rPr>
          <t>&lt;[[DEVDeals] - [Proxy Entities (Seq: 9)] Deal Entity Role - Both]&gt;</t>
        </r>
      </text>
    </comment>
    <comment ref="E144" authorId="0" shapeId="0" xr:uid="{D21E432A-D0BA-4450-8EDA-A71FF00B8197}">
      <text>
        <r>
          <rPr>
            <b/>
            <sz val="9"/>
            <color indexed="81"/>
            <rFont val="Tahoma"/>
            <family val="2"/>
          </rPr>
          <t>&lt;[[DEVDeals] - [Proxy Entities (Seq: 9)] Name (Doing Business As) - Both]&gt;</t>
        </r>
      </text>
    </comment>
    <comment ref="F144" authorId="0" shapeId="0" xr:uid="{2BE4F6DE-9155-4DD1-8BBC-73111AE8CC93}">
      <text>
        <r>
          <rPr>
            <b/>
            <sz val="9"/>
            <color indexed="81"/>
            <rFont val="Tahoma"/>
            <family val="2"/>
          </rPr>
          <t>&lt;[[DEVDeals] - [Proxy Entities (Seq: 9)] Address 1 - Both]&gt;</t>
        </r>
      </text>
    </comment>
    <comment ref="G144" authorId="0" shapeId="0" xr:uid="{FD4CB683-52AB-4681-920C-9EFC6B11568A}">
      <text>
        <r>
          <rPr>
            <b/>
            <sz val="9"/>
            <color indexed="81"/>
            <rFont val="Tahoma"/>
            <family val="2"/>
          </rPr>
          <t>&lt;[[DEVDeals] - [Proxy Entities (Seq: 9)] City - Both]&gt;</t>
        </r>
      </text>
    </comment>
    <comment ref="H144" authorId="0" shapeId="0" xr:uid="{BEF193FC-11E5-4C74-B4F5-A19F0AEE496F}">
      <text>
        <r>
          <rPr>
            <b/>
            <sz val="9"/>
            <color indexed="81"/>
            <rFont val="Tahoma"/>
            <family val="2"/>
          </rPr>
          <t>&lt;[[DEVDeals] - [Proxy Entities (Seq: 9)] State - Both]&gt;</t>
        </r>
      </text>
    </comment>
    <comment ref="I144" authorId="0" shapeId="0" xr:uid="{379FC833-9A08-4AC9-B516-6C90EC6A7246}">
      <text>
        <r>
          <rPr>
            <b/>
            <sz val="9"/>
            <color indexed="81"/>
            <rFont val="Tahoma"/>
            <family val="2"/>
          </rPr>
          <t>&lt;[[DEVDeals] - [Proxy Entities (Seq: 9)] Zip Code - Both]&gt;</t>
        </r>
      </text>
    </comment>
    <comment ref="J144" authorId="0" shapeId="0" xr:uid="{AAF8CF1F-8423-4B83-9C78-89FF1AF7E385}">
      <text>
        <r>
          <rPr>
            <b/>
            <sz val="9"/>
            <color indexed="81"/>
            <rFont val="Tahoma"/>
            <family val="2"/>
          </rPr>
          <t>&lt;[[DEVDeals] - [Proxy Entities (Seq: 9)] Email Address 1 - Both]&gt;</t>
        </r>
      </text>
    </comment>
    <comment ref="K144" authorId="0" shapeId="0" xr:uid="{81AF2DFB-4745-4854-ABE7-ADD326041858}">
      <text>
        <r>
          <rPr>
            <b/>
            <sz val="9"/>
            <color indexed="81"/>
            <rFont val="Tahoma"/>
            <family val="2"/>
          </rPr>
          <t>&lt;[[DEVDeals] - [Proxy Entities (Seq: 9)] Direct Phone - Both]&gt;</t>
        </r>
      </text>
    </comment>
    <comment ref="M144" authorId="0" shapeId="0" xr:uid="{69BA4BFB-F411-489D-AF16-9134B54155A5}">
      <text>
        <r>
          <rPr>
            <b/>
            <sz val="9"/>
            <color indexed="81"/>
            <rFont val="Tahoma"/>
            <family val="2"/>
          </rPr>
          <t>&lt;[[DEVDeals] - [Proxy Entities (Seq: 9)] Company or Individual? - Both]&gt;</t>
        </r>
      </text>
    </comment>
    <comment ref="D145" authorId="0" shapeId="0" xr:uid="{F50F1A4C-1B4F-42D5-AEA4-5874BAE411E4}">
      <text>
        <r>
          <rPr>
            <b/>
            <sz val="9"/>
            <color indexed="81"/>
            <rFont val="Tahoma"/>
            <family val="2"/>
          </rPr>
          <t>&lt;[[DEVDeals] - [Proxy Entities (Seq: 10)] Deal Entity Role - Both]&gt;</t>
        </r>
      </text>
    </comment>
    <comment ref="E145" authorId="0" shapeId="0" xr:uid="{CB760BF0-ADAE-4371-9890-1B268DA45476}">
      <text>
        <r>
          <rPr>
            <b/>
            <sz val="9"/>
            <color indexed="81"/>
            <rFont val="Tahoma"/>
            <family val="2"/>
          </rPr>
          <t>&lt;[[DEVDeals] - [Proxy Entities (Seq: 10)] Name (Doing Business As) - Both]&gt;</t>
        </r>
      </text>
    </comment>
    <comment ref="F145" authorId="0" shapeId="0" xr:uid="{D91110F5-EFD6-4D9C-8EF1-0EDE0F22B3C8}">
      <text>
        <r>
          <rPr>
            <b/>
            <sz val="9"/>
            <color indexed="81"/>
            <rFont val="Tahoma"/>
            <family val="2"/>
          </rPr>
          <t>&lt;[[DEVDeals] - [Proxy Entities (Seq: 10)] Address 1 - Both]&gt;</t>
        </r>
      </text>
    </comment>
    <comment ref="G145" authorId="0" shapeId="0" xr:uid="{F22EAC64-1F92-46AC-804D-80F59C0F098D}">
      <text>
        <r>
          <rPr>
            <b/>
            <sz val="9"/>
            <color indexed="81"/>
            <rFont val="Tahoma"/>
            <family val="2"/>
          </rPr>
          <t>&lt;[[DEVDeals] - [Proxy Entities (Seq: 10)] City - Both]&gt;</t>
        </r>
      </text>
    </comment>
    <comment ref="H145" authorId="0" shapeId="0" xr:uid="{ED58F734-3571-42F7-89EF-DF9CA0227C4E}">
      <text>
        <r>
          <rPr>
            <b/>
            <sz val="9"/>
            <color indexed="81"/>
            <rFont val="Tahoma"/>
            <family val="2"/>
          </rPr>
          <t>&lt;[[DEVDeals] - [Proxy Entities (Seq: 10)] State - Both]&gt;</t>
        </r>
      </text>
    </comment>
    <comment ref="I145" authorId="0" shapeId="0" xr:uid="{1D70F14E-37D8-46CF-BBF6-EEB1F471171F}">
      <text>
        <r>
          <rPr>
            <b/>
            <sz val="9"/>
            <color indexed="81"/>
            <rFont val="Tahoma"/>
            <family val="2"/>
          </rPr>
          <t>&lt;[[DEVDeals] - [Proxy Entities (Seq: 10)] Zip Code - Both]&gt;</t>
        </r>
      </text>
    </comment>
    <comment ref="J145" authorId="0" shapeId="0" xr:uid="{9578663D-6F3D-4882-BCC5-C9018EB4F8C3}">
      <text>
        <r>
          <rPr>
            <b/>
            <sz val="9"/>
            <color indexed="81"/>
            <rFont val="Tahoma"/>
            <family val="2"/>
          </rPr>
          <t>&lt;[[DEVDeals] - [Proxy Entities (Seq: 10)] Email Address 1 - Both]&gt;</t>
        </r>
      </text>
    </comment>
    <comment ref="K145" authorId="0" shapeId="0" xr:uid="{FA17A041-519C-495D-A4BB-428D4DC1159E}">
      <text>
        <r>
          <rPr>
            <b/>
            <sz val="9"/>
            <color indexed="81"/>
            <rFont val="Tahoma"/>
            <family val="2"/>
          </rPr>
          <t>&lt;[[DEVDeals] - [Proxy Entities (Seq: 10)] Direct Phone - Both]&gt;</t>
        </r>
      </text>
    </comment>
    <comment ref="M145" authorId="0" shapeId="0" xr:uid="{9C97F287-A3D6-463D-B477-8D5FDAB57A4E}">
      <text>
        <r>
          <rPr>
            <b/>
            <sz val="9"/>
            <color indexed="81"/>
            <rFont val="Tahoma"/>
            <family val="2"/>
          </rPr>
          <t>&lt;[[DEVDeals] - [Proxy Entities (Seq: 10)] Company or Individual? - Both]&gt;</t>
        </r>
      </text>
    </comment>
    <comment ref="D146" authorId="0" shapeId="0" xr:uid="{924F9C8B-B96D-4926-A999-93CAA048B5A6}">
      <text>
        <r>
          <rPr>
            <b/>
            <sz val="9"/>
            <color indexed="81"/>
            <rFont val="Tahoma"/>
            <family val="2"/>
          </rPr>
          <t>&lt;[[DEVDeals] - [Proxy Entities (Seq: 11)] Deal Entity Role - Both]&gt;</t>
        </r>
      </text>
    </comment>
    <comment ref="E146" authorId="0" shapeId="0" xr:uid="{E9E050A9-45BB-4BB3-ACDC-E106476816F4}">
      <text>
        <r>
          <rPr>
            <b/>
            <sz val="9"/>
            <color indexed="81"/>
            <rFont val="Tahoma"/>
            <family val="2"/>
          </rPr>
          <t>&lt;[[DEVDeals] - [Proxy Entities (Seq: 11)] Name (Doing Business As) - Both]&gt;</t>
        </r>
      </text>
    </comment>
    <comment ref="F146" authorId="0" shapeId="0" xr:uid="{A328810F-289B-43AB-897D-34C59511B72E}">
      <text>
        <r>
          <rPr>
            <b/>
            <sz val="9"/>
            <color indexed="81"/>
            <rFont val="Tahoma"/>
            <family val="2"/>
          </rPr>
          <t>&lt;[[DEVDeals] - [Proxy Entities (Seq: 11)] Address 1 - Both]&gt;</t>
        </r>
      </text>
    </comment>
    <comment ref="G146" authorId="0" shapeId="0" xr:uid="{A4D80DC8-2DFB-46AF-AD54-24A30AE79632}">
      <text>
        <r>
          <rPr>
            <b/>
            <sz val="9"/>
            <color indexed="81"/>
            <rFont val="Tahoma"/>
            <family val="2"/>
          </rPr>
          <t>&lt;[[DEVDeals] - [Proxy Entities (Seq: 11)] City - Both]&gt;</t>
        </r>
      </text>
    </comment>
    <comment ref="H146" authorId="0" shapeId="0" xr:uid="{223F5986-C461-4F09-9442-2B0557C0D59D}">
      <text>
        <r>
          <rPr>
            <b/>
            <sz val="9"/>
            <color indexed="81"/>
            <rFont val="Tahoma"/>
            <family val="2"/>
          </rPr>
          <t>&lt;[[DEVDeals] - [Proxy Entities (Seq: 11)] State - Both]&gt;</t>
        </r>
      </text>
    </comment>
    <comment ref="I146" authorId="0" shapeId="0" xr:uid="{522C7CA8-AD6B-4505-A032-EEFF53D2458F}">
      <text>
        <r>
          <rPr>
            <b/>
            <sz val="9"/>
            <color indexed="81"/>
            <rFont val="Tahoma"/>
            <family val="2"/>
          </rPr>
          <t>&lt;[[DEVDeals] - [Proxy Entities (Seq: 11)] Zip Code - Both]&gt;</t>
        </r>
      </text>
    </comment>
    <comment ref="J146" authorId="0" shapeId="0" xr:uid="{050C9C06-DC8B-495D-AD58-BBA25C6088FE}">
      <text>
        <r>
          <rPr>
            <b/>
            <sz val="9"/>
            <color indexed="81"/>
            <rFont val="Tahoma"/>
            <family val="2"/>
          </rPr>
          <t>&lt;[[DEVDeals] - [Proxy Entities (Seq: 11)] Email Address 1 - Both]&gt;</t>
        </r>
      </text>
    </comment>
    <comment ref="K146" authorId="0" shapeId="0" xr:uid="{E611A6DF-108D-42AB-A020-6F68108469EB}">
      <text>
        <r>
          <rPr>
            <b/>
            <sz val="9"/>
            <color indexed="81"/>
            <rFont val="Tahoma"/>
            <family val="2"/>
          </rPr>
          <t>&lt;[[DEVDeals] - [Proxy Entities (Seq: 11)] Direct Phone - Both]&gt;</t>
        </r>
      </text>
    </comment>
    <comment ref="M146" authorId="0" shapeId="0" xr:uid="{FEADCD24-0A35-43A0-A4D5-86E3E41EC57A}">
      <text>
        <r>
          <rPr>
            <b/>
            <sz val="9"/>
            <color indexed="81"/>
            <rFont val="Tahoma"/>
            <family val="2"/>
          </rPr>
          <t>&lt;[[DEVDeals] - [Proxy Entities (Seq: 11)] Company or Individual? - Both]&gt;</t>
        </r>
      </text>
    </comment>
    <comment ref="D147" authorId="0" shapeId="0" xr:uid="{FE50098F-C8AA-458E-9164-315EB061EACD}">
      <text>
        <r>
          <rPr>
            <b/>
            <sz val="9"/>
            <color indexed="81"/>
            <rFont val="Tahoma"/>
            <family val="2"/>
          </rPr>
          <t>&lt;[[DEVDeals] - [Proxy Entities (Seq: 12)] Deal Entity Role - Both]&gt;</t>
        </r>
      </text>
    </comment>
    <comment ref="E147" authorId="0" shapeId="0" xr:uid="{C4CEBDF9-36EB-46B4-BAC2-5785AC4D8EFF}">
      <text>
        <r>
          <rPr>
            <b/>
            <sz val="9"/>
            <color indexed="81"/>
            <rFont val="Tahoma"/>
            <family val="2"/>
          </rPr>
          <t>&lt;[[DEVDeals] - [Proxy Entities (Seq: 12)] Name (Doing Business As) - Both]&gt;</t>
        </r>
      </text>
    </comment>
    <comment ref="F147" authorId="0" shapeId="0" xr:uid="{F238A7AE-C3A6-4D93-832E-5B7CF0DA74FD}">
      <text>
        <r>
          <rPr>
            <b/>
            <sz val="9"/>
            <color indexed="81"/>
            <rFont val="Tahoma"/>
            <family val="2"/>
          </rPr>
          <t>&lt;[[DEVDeals] - [Proxy Entities (Seq: 12)] Address 1 - Both]&gt;</t>
        </r>
      </text>
    </comment>
    <comment ref="G147" authorId="0" shapeId="0" xr:uid="{9E89BD8A-E610-452D-9F2C-CABDE59846DA}">
      <text>
        <r>
          <rPr>
            <b/>
            <sz val="9"/>
            <color indexed="81"/>
            <rFont val="Tahoma"/>
            <family val="2"/>
          </rPr>
          <t>&lt;[[DEVDeals] - [Proxy Entities (Seq: 12)] City - Both]&gt;</t>
        </r>
      </text>
    </comment>
    <comment ref="H147" authorId="0" shapeId="0" xr:uid="{AB17FE21-1996-42A8-B0C6-66DA792CA22A}">
      <text>
        <r>
          <rPr>
            <b/>
            <sz val="9"/>
            <color indexed="81"/>
            <rFont val="Tahoma"/>
            <family val="2"/>
          </rPr>
          <t>&lt;[[DEVDeals] - [Proxy Entities (Seq: 12)] State - Both]&gt;</t>
        </r>
      </text>
    </comment>
    <comment ref="I147" authorId="0" shapeId="0" xr:uid="{71632F0C-D39D-4A27-AF56-97C33963709C}">
      <text>
        <r>
          <rPr>
            <b/>
            <sz val="9"/>
            <color indexed="81"/>
            <rFont val="Tahoma"/>
            <family val="2"/>
          </rPr>
          <t>&lt;[[DEVDeals] - [Proxy Entities (Seq: 12)] Zip Code - Both]&gt;</t>
        </r>
      </text>
    </comment>
    <comment ref="J147" authorId="0" shapeId="0" xr:uid="{483744A2-5F3D-493D-B802-883BAC6EAFE5}">
      <text>
        <r>
          <rPr>
            <b/>
            <sz val="9"/>
            <color indexed="81"/>
            <rFont val="Tahoma"/>
            <family val="2"/>
          </rPr>
          <t>&lt;[[DEVDeals] - [Proxy Entities (Seq: 12)] Email Address 1 - Both]&gt;</t>
        </r>
      </text>
    </comment>
    <comment ref="K147" authorId="0" shapeId="0" xr:uid="{DCD4A208-65F4-406C-B48F-6530015D45D7}">
      <text>
        <r>
          <rPr>
            <b/>
            <sz val="9"/>
            <color indexed="81"/>
            <rFont val="Tahoma"/>
            <family val="2"/>
          </rPr>
          <t>&lt;[[DEVDeals] - [Proxy Entities (Seq: 12)] Direct Phone - Both]&gt;</t>
        </r>
      </text>
    </comment>
    <comment ref="M147" authorId="0" shapeId="0" xr:uid="{7B296E96-6B85-40F8-B460-55E6700EC1DF}">
      <text>
        <r>
          <rPr>
            <b/>
            <sz val="9"/>
            <color indexed="81"/>
            <rFont val="Tahoma"/>
            <family val="2"/>
          </rPr>
          <t>&lt;[[DEVDeals] - [Proxy Entities (Seq: 12)] Company or Individual? - Both]&gt;</t>
        </r>
      </text>
    </comment>
    <comment ref="D148" authorId="0" shapeId="0" xr:uid="{E03C88C4-9256-4C77-99EE-7FE82E22414A}">
      <text>
        <r>
          <rPr>
            <b/>
            <sz val="9"/>
            <color indexed="81"/>
            <rFont val="Tahoma"/>
            <family val="2"/>
          </rPr>
          <t>&lt;[[DEVDeals] - [Proxy Entities (Seq: 13)] Deal Entity Role - Both]&gt;</t>
        </r>
      </text>
    </comment>
    <comment ref="E148" authorId="0" shapeId="0" xr:uid="{A19AA455-F15F-452F-9B46-352E7F410F4B}">
      <text>
        <r>
          <rPr>
            <b/>
            <sz val="9"/>
            <color indexed="81"/>
            <rFont val="Tahoma"/>
            <family val="2"/>
          </rPr>
          <t>&lt;[[DEVDeals] - [Proxy Entities (Seq: 13)] Name (Doing Business As) - Both]&gt;</t>
        </r>
      </text>
    </comment>
    <comment ref="F148" authorId="0" shapeId="0" xr:uid="{130EF480-D5EC-4F34-951D-13BD8513CEDC}">
      <text>
        <r>
          <rPr>
            <b/>
            <sz val="9"/>
            <color indexed="81"/>
            <rFont val="Tahoma"/>
            <family val="2"/>
          </rPr>
          <t>&lt;[[DEVDeals] - [Proxy Entities (Seq: 13)] Address 1 - Both]&gt;</t>
        </r>
      </text>
    </comment>
    <comment ref="G148" authorId="0" shapeId="0" xr:uid="{C30595E2-6FFC-4927-9800-A97486FBB953}">
      <text>
        <r>
          <rPr>
            <b/>
            <sz val="9"/>
            <color indexed="81"/>
            <rFont val="Tahoma"/>
            <family val="2"/>
          </rPr>
          <t>&lt;[[DEVDeals] - [Proxy Entities (Seq: 13)] City - Both]&gt;</t>
        </r>
      </text>
    </comment>
    <comment ref="H148" authorId="0" shapeId="0" xr:uid="{F0DAC101-706C-4D77-B3D7-AB0E59A7A411}">
      <text>
        <r>
          <rPr>
            <b/>
            <sz val="9"/>
            <color indexed="81"/>
            <rFont val="Tahoma"/>
            <family val="2"/>
          </rPr>
          <t>&lt;[[DEVDeals] - [Proxy Entities (Seq: 13)] State - Both]&gt;</t>
        </r>
      </text>
    </comment>
    <comment ref="I148" authorId="0" shapeId="0" xr:uid="{B35717EB-71AA-47C1-A5D1-CCC8E4B4DC47}">
      <text>
        <r>
          <rPr>
            <b/>
            <sz val="9"/>
            <color indexed="81"/>
            <rFont val="Tahoma"/>
            <family val="2"/>
          </rPr>
          <t>&lt;[[DEVDeals] - [Proxy Entities (Seq: 13)] Zip Code - Both]&gt;</t>
        </r>
      </text>
    </comment>
    <comment ref="J148" authorId="0" shapeId="0" xr:uid="{48C86D46-A224-4887-A7F6-72A902711F52}">
      <text>
        <r>
          <rPr>
            <b/>
            <sz val="9"/>
            <color indexed="81"/>
            <rFont val="Tahoma"/>
            <family val="2"/>
          </rPr>
          <t>&lt;[[DEVDeals] - [Proxy Entities (Seq: 13)] Email Address 1 - Both]&gt;</t>
        </r>
      </text>
    </comment>
    <comment ref="K148" authorId="0" shapeId="0" xr:uid="{4DC26924-032E-4119-BD23-C756AC288190}">
      <text>
        <r>
          <rPr>
            <b/>
            <sz val="9"/>
            <color indexed="81"/>
            <rFont val="Tahoma"/>
            <family val="2"/>
          </rPr>
          <t>&lt;[[DEVDeals] - [Proxy Entities (Seq: 13)] Direct Phone - Both]&gt;</t>
        </r>
      </text>
    </comment>
    <comment ref="M148" authorId="0" shapeId="0" xr:uid="{91A9A4C0-8A46-41D6-BA36-69120D9D50D0}">
      <text>
        <r>
          <rPr>
            <b/>
            <sz val="9"/>
            <color indexed="81"/>
            <rFont val="Tahoma"/>
            <family val="2"/>
          </rPr>
          <t>&lt;[[DEVDeals] - [Proxy Entities (Seq: 13)] Company or Individual? - Both]&gt;</t>
        </r>
      </text>
    </comment>
    <comment ref="D149" authorId="0" shapeId="0" xr:uid="{B08B61BE-BB13-45FB-BEE6-FD6A1FDA9C00}">
      <text>
        <r>
          <rPr>
            <b/>
            <sz val="9"/>
            <color indexed="81"/>
            <rFont val="Tahoma"/>
            <family val="2"/>
          </rPr>
          <t>&lt;[[DEVDeals] - [Proxy Entities (Seq: 14)] Deal Entity Role - Both]&gt;</t>
        </r>
      </text>
    </comment>
    <comment ref="E149" authorId="0" shapeId="0" xr:uid="{9E5BF8D1-D4F0-46A6-91CE-FB5633B4078A}">
      <text>
        <r>
          <rPr>
            <b/>
            <sz val="9"/>
            <color indexed="81"/>
            <rFont val="Tahoma"/>
            <family val="2"/>
          </rPr>
          <t>&lt;[[DEVDeals] - [Proxy Entities (Seq: 14)] Name (Doing Business As) - Both]&gt;</t>
        </r>
      </text>
    </comment>
    <comment ref="F149" authorId="0" shapeId="0" xr:uid="{5D944390-39BE-405F-904A-4AE61D27DD41}">
      <text>
        <r>
          <rPr>
            <b/>
            <sz val="9"/>
            <color indexed="81"/>
            <rFont val="Tahoma"/>
            <family val="2"/>
          </rPr>
          <t>&lt;[[DEVDeals] - [Proxy Entities (Seq: 14)] Address 1 - Both]&gt;</t>
        </r>
      </text>
    </comment>
    <comment ref="G149" authorId="0" shapeId="0" xr:uid="{204464D9-B36F-46E9-A2EE-D1E1C1129615}">
      <text>
        <r>
          <rPr>
            <b/>
            <sz val="9"/>
            <color indexed="81"/>
            <rFont val="Tahoma"/>
            <family val="2"/>
          </rPr>
          <t>&lt;[[DEVDeals] - [Proxy Entities (Seq: 14)] City - Both]&gt;</t>
        </r>
      </text>
    </comment>
    <comment ref="H149" authorId="0" shapeId="0" xr:uid="{48855759-4CC7-4A16-96CB-F48EEDDB84CD}">
      <text>
        <r>
          <rPr>
            <b/>
            <sz val="9"/>
            <color indexed="81"/>
            <rFont val="Tahoma"/>
            <family val="2"/>
          </rPr>
          <t>&lt;[[DEVDeals] - [Proxy Entities (Seq: 14)] State - Both]&gt;</t>
        </r>
      </text>
    </comment>
    <comment ref="I149" authorId="0" shapeId="0" xr:uid="{ED4FAE1F-7189-4F71-82AD-84A582E72428}">
      <text>
        <r>
          <rPr>
            <b/>
            <sz val="9"/>
            <color indexed="81"/>
            <rFont val="Tahoma"/>
            <family val="2"/>
          </rPr>
          <t>&lt;[[DEVDeals] - [Proxy Entities (Seq: 14)] Zip Code - Both]&gt;</t>
        </r>
      </text>
    </comment>
    <comment ref="J149" authorId="0" shapeId="0" xr:uid="{DFF9A4D7-BD4D-497A-8BF3-6F7B9BAB289B}">
      <text>
        <r>
          <rPr>
            <b/>
            <sz val="9"/>
            <color indexed="81"/>
            <rFont val="Tahoma"/>
            <family val="2"/>
          </rPr>
          <t>&lt;[[DEVDeals] - [Proxy Entities (Seq: 14)] Email Address 1 - Both]&gt;</t>
        </r>
      </text>
    </comment>
    <comment ref="K149" authorId="0" shapeId="0" xr:uid="{726E0A1B-2850-4CEE-9E82-A0B181C236C4}">
      <text>
        <r>
          <rPr>
            <b/>
            <sz val="9"/>
            <color indexed="81"/>
            <rFont val="Tahoma"/>
            <family val="2"/>
          </rPr>
          <t>&lt;[[DEVDeals] - [Proxy Entities (Seq: 14)] Direct Phone - Both]&gt;</t>
        </r>
      </text>
    </comment>
    <comment ref="M149" authorId="0" shapeId="0" xr:uid="{74F11F31-50B8-41D3-A97A-09F2D0853B15}">
      <text>
        <r>
          <rPr>
            <b/>
            <sz val="9"/>
            <color indexed="81"/>
            <rFont val="Tahoma"/>
            <family val="2"/>
          </rPr>
          <t>&lt;[[DEVDeals] - [Proxy Entities (Seq: 14)] Company or Individual? - Both]&gt;</t>
        </r>
      </text>
    </comment>
    <comment ref="D150" authorId="0" shapeId="0" xr:uid="{0E598277-F07C-427D-971F-5013617226BF}">
      <text>
        <r>
          <rPr>
            <b/>
            <sz val="9"/>
            <color indexed="81"/>
            <rFont val="Tahoma"/>
            <family val="2"/>
          </rPr>
          <t>&lt;[[DEVDeals] - [Proxy Entities (Seq: 15)] Deal Entity Role - Both]&gt;</t>
        </r>
      </text>
    </comment>
    <comment ref="E150" authorId="0" shapeId="0" xr:uid="{D0BCD21E-71B6-43E5-A8A3-4841DF3545AC}">
      <text>
        <r>
          <rPr>
            <b/>
            <sz val="9"/>
            <color indexed="81"/>
            <rFont val="Tahoma"/>
            <family val="2"/>
          </rPr>
          <t>&lt;[[DEVDeals] - [Proxy Entities (Seq: 15)] Name (Doing Business As) - Both]&gt;</t>
        </r>
      </text>
    </comment>
    <comment ref="F150" authorId="0" shapeId="0" xr:uid="{49FCADA4-8DD2-4882-8A9E-76E541884FFD}">
      <text>
        <r>
          <rPr>
            <b/>
            <sz val="9"/>
            <color indexed="81"/>
            <rFont val="Tahoma"/>
            <family val="2"/>
          </rPr>
          <t>&lt;[[DEVDeals] - [Proxy Entities (Seq: 15)] Address 1 - Both]&gt;</t>
        </r>
      </text>
    </comment>
    <comment ref="G150" authorId="0" shapeId="0" xr:uid="{AFCDDEF8-8463-483E-8799-6865BFAF07E6}">
      <text>
        <r>
          <rPr>
            <b/>
            <sz val="9"/>
            <color indexed="81"/>
            <rFont val="Tahoma"/>
            <family val="2"/>
          </rPr>
          <t>&lt;[[DEVDeals] - [Proxy Entities (Seq: 15)] City - Both]&gt;</t>
        </r>
      </text>
    </comment>
    <comment ref="H150" authorId="0" shapeId="0" xr:uid="{127C6C4D-9E24-49BD-A5D0-08A47D7C0218}">
      <text>
        <r>
          <rPr>
            <b/>
            <sz val="9"/>
            <color indexed="81"/>
            <rFont val="Tahoma"/>
            <family val="2"/>
          </rPr>
          <t>&lt;[[DEVDeals] - [Proxy Entities (Seq: 15)] State - Both]&gt;</t>
        </r>
      </text>
    </comment>
    <comment ref="I150" authorId="0" shapeId="0" xr:uid="{110CB781-98D8-4FFF-9F27-7C3D2F8B7709}">
      <text>
        <r>
          <rPr>
            <b/>
            <sz val="9"/>
            <color indexed="81"/>
            <rFont val="Tahoma"/>
            <family val="2"/>
          </rPr>
          <t>&lt;[[DEVDeals] - [Proxy Entities (Seq: 15)] Zip Code - Both]&gt;</t>
        </r>
      </text>
    </comment>
    <comment ref="J150" authorId="0" shapeId="0" xr:uid="{E0BF1492-2483-4E6E-A18C-F7019DB25ECB}">
      <text>
        <r>
          <rPr>
            <b/>
            <sz val="9"/>
            <color indexed="81"/>
            <rFont val="Tahoma"/>
            <family val="2"/>
          </rPr>
          <t>&lt;[[DEVDeals] - [Proxy Entities (Seq: 15)] Email Address 1 - Both]&gt;</t>
        </r>
      </text>
    </comment>
    <comment ref="K150" authorId="0" shapeId="0" xr:uid="{F74736CF-A056-41AE-8926-08739561174F}">
      <text>
        <r>
          <rPr>
            <b/>
            <sz val="9"/>
            <color indexed="81"/>
            <rFont val="Tahoma"/>
            <family val="2"/>
          </rPr>
          <t>&lt;[[DEVDeals] - [Proxy Entities (Seq: 15)] Direct Phone - Both]&gt;</t>
        </r>
      </text>
    </comment>
    <comment ref="M150" authorId="0" shapeId="0" xr:uid="{641E6659-E3D5-49DE-BC5B-927B1BBC31D2}">
      <text>
        <r>
          <rPr>
            <b/>
            <sz val="9"/>
            <color indexed="81"/>
            <rFont val="Tahoma"/>
            <family val="2"/>
          </rPr>
          <t>&lt;[[DEVDeals] - [Proxy Entities (Seq: 15)] Company or Individual? - Both]&gt;</t>
        </r>
      </text>
    </comment>
    <comment ref="D151" authorId="0" shapeId="0" xr:uid="{43E12EF2-F042-46D0-A215-48C39E385E14}">
      <text>
        <r>
          <rPr>
            <b/>
            <sz val="9"/>
            <color indexed="81"/>
            <rFont val="Tahoma"/>
            <family val="2"/>
          </rPr>
          <t>&lt;[[DEVDeals] - [Proxy Entities (Seq: 16)] Deal Entity Role - Both]&gt;</t>
        </r>
      </text>
    </comment>
    <comment ref="E151" authorId="0" shapeId="0" xr:uid="{38045DEE-A2D4-46C4-9234-F99B2AACF01F}">
      <text>
        <r>
          <rPr>
            <b/>
            <sz val="9"/>
            <color indexed="81"/>
            <rFont val="Tahoma"/>
            <family val="2"/>
          </rPr>
          <t>&lt;[[DEVDeals] - [Proxy Entities (Seq: 16)] Name (Doing Business As) - Both]&gt;</t>
        </r>
      </text>
    </comment>
    <comment ref="F151" authorId="0" shapeId="0" xr:uid="{E4CEFB45-75AD-4777-BF65-071748BE530E}">
      <text>
        <r>
          <rPr>
            <b/>
            <sz val="9"/>
            <color indexed="81"/>
            <rFont val="Tahoma"/>
            <family val="2"/>
          </rPr>
          <t>&lt;[[DEVDeals] - [Proxy Entities (Seq: 16)] Address 1 - Both]&gt;</t>
        </r>
      </text>
    </comment>
    <comment ref="G151" authorId="0" shapeId="0" xr:uid="{34BF9E77-8C57-4C4D-9E1C-FF74B834269E}">
      <text>
        <r>
          <rPr>
            <b/>
            <sz val="9"/>
            <color indexed="81"/>
            <rFont val="Tahoma"/>
            <family val="2"/>
          </rPr>
          <t>&lt;[[DEVDeals] - [Proxy Entities (Seq: 16)] City - Both]&gt;</t>
        </r>
      </text>
    </comment>
    <comment ref="H151" authorId="0" shapeId="0" xr:uid="{42D163E2-DF3F-421C-8939-8CC477EDFFE0}">
      <text>
        <r>
          <rPr>
            <b/>
            <sz val="9"/>
            <color indexed="81"/>
            <rFont val="Tahoma"/>
            <family val="2"/>
          </rPr>
          <t>&lt;[[DEVDeals] - [Proxy Entities (Seq: 16)] State - Both]&gt;</t>
        </r>
      </text>
    </comment>
    <comment ref="I151" authorId="0" shapeId="0" xr:uid="{D2E31F3E-3B15-4C1F-BDA5-C0E7E37C6FC7}">
      <text>
        <r>
          <rPr>
            <b/>
            <sz val="9"/>
            <color indexed="81"/>
            <rFont val="Tahoma"/>
            <family val="2"/>
          </rPr>
          <t>&lt;[[DEVDeals] - [Proxy Entities (Seq: 16)] Zip Code - Both]&gt;</t>
        </r>
      </text>
    </comment>
    <comment ref="J151" authorId="0" shapeId="0" xr:uid="{E3D8673E-E0CE-4E34-BD40-C86A33F4E290}">
      <text>
        <r>
          <rPr>
            <b/>
            <sz val="9"/>
            <color indexed="81"/>
            <rFont val="Tahoma"/>
            <family val="2"/>
          </rPr>
          <t>&lt;[[DEVDeals] - [Proxy Entities (Seq: 16)] Email Address 1 - Both]&gt;</t>
        </r>
      </text>
    </comment>
    <comment ref="K151" authorId="0" shapeId="0" xr:uid="{F0B89DD7-802D-4640-8AF3-1BA4B040B33A}">
      <text>
        <r>
          <rPr>
            <b/>
            <sz val="9"/>
            <color indexed="81"/>
            <rFont val="Tahoma"/>
            <family val="2"/>
          </rPr>
          <t>&lt;[[DEVDeals] - [Proxy Entities (Seq: 16)] Direct Phone - Both]&gt;</t>
        </r>
      </text>
    </comment>
    <comment ref="M151" authorId="0" shapeId="0" xr:uid="{4C735346-063C-4AE4-870E-C2BEAD688043}">
      <text>
        <r>
          <rPr>
            <b/>
            <sz val="9"/>
            <color indexed="81"/>
            <rFont val="Tahoma"/>
            <family val="2"/>
          </rPr>
          <t>&lt;[[DEVDeals] - [Proxy Entities (Seq: 16)] Company or Individual? - Both]&gt;</t>
        </r>
      </text>
    </comment>
    <comment ref="D152" authorId="0" shapeId="0" xr:uid="{0E2F029A-3158-4849-9E05-30B0CC47BAA6}">
      <text>
        <r>
          <rPr>
            <b/>
            <sz val="9"/>
            <color indexed="81"/>
            <rFont val="Tahoma"/>
            <family val="2"/>
          </rPr>
          <t>&lt;[[DEVDeals] - [Proxy Entities (Seq: 17)] Deal Entity Role - Both]&gt;</t>
        </r>
      </text>
    </comment>
    <comment ref="E152" authorId="0" shapeId="0" xr:uid="{D6D99EDB-7385-4774-9EA3-7629FCCDA377}">
      <text>
        <r>
          <rPr>
            <b/>
            <sz val="9"/>
            <color indexed="81"/>
            <rFont val="Tahoma"/>
            <family val="2"/>
          </rPr>
          <t>&lt;[[DEVDeals] - [Proxy Entities (Seq: 17)] Name (Doing Business As) - Both]&gt;</t>
        </r>
      </text>
    </comment>
    <comment ref="F152" authorId="0" shapeId="0" xr:uid="{C261A8D2-E1EE-4500-ABE2-53987C8837A5}">
      <text>
        <r>
          <rPr>
            <b/>
            <sz val="9"/>
            <color indexed="81"/>
            <rFont val="Tahoma"/>
            <family val="2"/>
          </rPr>
          <t>&lt;[[DEVDeals] - [Proxy Entities (Seq: 17)] Address 1 - Both]&gt;</t>
        </r>
      </text>
    </comment>
    <comment ref="G152" authorId="0" shapeId="0" xr:uid="{55223129-4848-42F7-9D13-F86DF643E014}">
      <text>
        <r>
          <rPr>
            <b/>
            <sz val="9"/>
            <color indexed="81"/>
            <rFont val="Tahoma"/>
            <family val="2"/>
          </rPr>
          <t>&lt;[[DEVDeals] - [Proxy Entities (Seq: 17)] City - Both]&gt;</t>
        </r>
      </text>
    </comment>
    <comment ref="H152" authorId="0" shapeId="0" xr:uid="{6B6BF667-DEC1-4FC9-9BF2-DAD712DCF193}">
      <text>
        <r>
          <rPr>
            <b/>
            <sz val="9"/>
            <color indexed="81"/>
            <rFont val="Tahoma"/>
            <family val="2"/>
          </rPr>
          <t>&lt;[[DEVDeals] - [Proxy Entities (Seq: 17)] State - Both]&gt;</t>
        </r>
      </text>
    </comment>
    <comment ref="I152" authorId="0" shapeId="0" xr:uid="{71B711B1-B812-4FCD-8416-EC9D5335D617}">
      <text>
        <r>
          <rPr>
            <b/>
            <sz val="9"/>
            <color indexed="81"/>
            <rFont val="Tahoma"/>
            <family val="2"/>
          </rPr>
          <t>&lt;[[DEVDeals] - [Proxy Entities (Seq: 17)] Zip Code - Both]&gt;</t>
        </r>
      </text>
    </comment>
    <comment ref="J152" authorId="0" shapeId="0" xr:uid="{170A9FA1-6DD5-438C-A241-59BFB8B23548}">
      <text>
        <r>
          <rPr>
            <b/>
            <sz val="9"/>
            <color indexed="81"/>
            <rFont val="Tahoma"/>
            <family val="2"/>
          </rPr>
          <t>&lt;[[DEVDeals] - [Proxy Entities (Seq: 17)] Email Address 1 - Both]&gt;</t>
        </r>
      </text>
    </comment>
    <comment ref="K152" authorId="0" shapeId="0" xr:uid="{61A9DF4A-091B-42E5-B3D4-9FECF24E6534}">
      <text>
        <r>
          <rPr>
            <b/>
            <sz val="9"/>
            <color indexed="81"/>
            <rFont val="Tahoma"/>
            <family val="2"/>
          </rPr>
          <t>&lt;[[DEVDeals] - [Proxy Entities (Seq: 17)] Direct Phone - Both]&gt;</t>
        </r>
      </text>
    </comment>
    <comment ref="M152" authorId="0" shapeId="0" xr:uid="{709C3BCE-D5D4-4C9D-8D4D-F1D8A47BA866}">
      <text>
        <r>
          <rPr>
            <b/>
            <sz val="9"/>
            <color indexed="81"/>
            <rFont val="Tahoma"/>
            <family val="2"/>
          </rPr>
          <t>&lt;[[DEVDeals] - [Proxy Entities (Seq: 17)] Company or Individual? - Both]&gt;</t>
        </r>
      </text>
    </comment>
    <comment ref="D153" authorId="0" shapeId="0" xr:uid="{68984281-43D3-41D5-91DD-BD3E5F9968B0}">
      <text>
        <r>
          <rPr>
            <b/>
            <sz val="9"/>
            <color indexed="81"/>
            <rFont val="Tahoma"/>
            <family val="2"/>
          </rPr>
          <t>&lt;[[DEVDeals] - [Proxy Entities (Seq: 18)] Deal Entity Role - Both]&gt;</t>
        </r>
      </text>
    </comment>
    <comment ref="E153" authorId="0" shapeId="0" xr:uid="{761C3A48-1E8D-4F7B-8AD6-7B9A91BD46B6}">
      <text>
        <r>
          <rPr>
            <b/>
            <sz val="9"/>
            <color indexed="81"/>
            <rFont val="Tahoma"/>
            <family val="2"/>
          </rPr>
          <t>&lt;[[DEVDeals] - [Proxy Entities (Seq: 18)] Name (Doing Business As) - Both]&gt;</t>
        </r>
      </text>
    </comment>
    <comment ref="F153" authorId="0" shapeId="0" xr:uid="{7EF9E7E4-63BE-463B-B23E-9FBA36D58BB8}">
      <text>
        <r>
          <rPr>
            <b/>
            <sz val="9"/>
            <color indexed="81"/>
            <rFont val="Tahoma"/>
            <family val="2"/>
          </rPr>
          <t>&lt;[[DEVDeals] - [Proxy Entities (Seq: 18)] Address 1 - Both]&gt;</t>
        </r>
      </text>
    </comment>
    <comment ref="G153" authorId="0" shapeId="0" xr:uid="{593CA8D2-F350-4503-9F93-E9FF90361CF1}">
      <text>
        <r>
          <rPr>
            <b/>
            <sz val="9"/>
            <color indexed="81"/>
            <rFont val="Tahoma"/>
            <family val="2"/>
          </rPr>
          <t>&lt;[[DEVDeals] - [Proxy Entities (Seq: 18)] City - Both]&gt;</t>
        </r>
      </text>
    </comment>
    <comment ref="H153" authorId="0" shapeId="0" xr:uid="{FE3975E1-30E2-4560-9FBA-623708890846}">
      <text>
        <r>
          <rPr>
            <b/>
            <sz val="9"/>
            <color indexed="81"/>
            <rFont val="Tahoma"/>
            <family val="2"/>
          </rPr>
          <t>&lt;[[DEVDeals] - [Proxy Entities (Seq: 18)] State - Both]&gt;</t>
        </r>
      </text>
    </comment>
    <comment ref="I153" authorId="0" shapeId="0" xr:uid="{26DED40D-F84B-48EA-AE57-DCD5E99D1646}">
      <text>
        <r>
          <rPr>
            <b/>
            <sz val="9"/>
            <color indexed="81"/>
            <rFont val="Tahoma"/>
            <family val="2"/>
          </rPr>
          <t>&lt;[[DEVDeals] - [Proxy Entities (Seq: 18)] Zip Code - Both]&gt;</t>
        </r>
      </text>
    </comment>
    <comment ref="J153" authorId="0" shapeId="0" xr:uid="{4D8377A9-7126-4A43-BDCD-23B8A66B8C2C}">
      <text>
        <r>
          <rPr>
            <b/>
            <sz val="9"/>
            <color indexed="81"/>
            <rFont val="Tahoma"/>
            <family val="2"/>
          </rPr>
          <t>&lt;[[DEVDeals] - [Proxy Entities (Seq: 18)] Email Address 1 - Both]&gt;</t>
        </r>
      </text>
    </comment>
    <comment ref="K153" authorId="0" shapeId="0" xr:uid="{FD195E28-0A42-49EA-929E-1F20E57ACFA6}">
      <text>
        <r>
          <rPr>
            <b/>
            <sz val="9"/>
            <color indexed="81"/>
            <rFont val="Tahoma"/>
            <family val="2"/>
          </rPr>
          <t>&lt;[[DEVDeals] - [Proxy Entities (Seq: 18)] Direct Phone - Both]&gt;</t>
        </r>
      </text>
    </comment>
    <comment ref="M153" authorId="0" shapeId="0" xr:uid="{84603487-31C9-46B7-B7FB-71A89F586D2A}">
      <text>
        <r>
          <rPr>
            <b/>
            <sz val="9"/>
            <color indexed="81"/>
            <rFont val="Tahoma"/>
            <family val="2"/>
          </rPr>
          <t>&lt;[[DEVDeals] - [Proxy Entities (Seq: 18)] Company or Individual? - Both]&gt;</t>
        </r>
      </text>
    </comment>
    <comment ref="D154" authorId="0" shapeId="0" xr:uid="{48C27994-DCCD-4FDE-BED1-03414175E534}">
      <text>
        <r>
          <rPr>
            <b/>
            <sz val="9"/>
            <color indexed="81"/>
            <rFont val="Tahoma"/>
            <family val="2"/>
          </rPr>
          <t>&lt;[[DEVDeals] - [Proxy Entities (Seq: 19)] Deal Entity Role - Both]&gt;</t>
        </r>
      </text>
    </comment>
    <comment ref="E154" authorId="0" shapeId="0" xr:uid="{FAF04D20-E992-4D1B-A6DF-2D040110D7C0}">
      <text>
        <r>
          <rPr>
            <b/>
            <sz val="9"/>
            <color indexed="81"/>
            <rFont val="Tahoma"/>
            <family val="2"/>
          </rPr>
          <t>&lt;[[DEVDeals] - [Proxy Entities (Seq: 19)] Name (Doing Business As) - Both]&gt;</t>
        </r>
      </text>
    </comment>
    <comment ref="F154" authorId="0" shapeId="0" xr:uid="{58056BE8-F8AA-4A2F-A199-ED3338FB64C0}">
      <text>
        <r>
          <rPr>
            <b/>
            <sz val="9"/>
            <color indexed="81"/>
            <rFont val="Tahoma"/>
            <family val="2"/>
          </rPr>
          <t>&lt;[[DEVDeals] - [Proxy Entities (Seq: 19)] Address 1 - Both]&gt;</t>
        </r>
      </text>
    </comment>
    <comment ref="G154" authorId="0" shapeId="0" xr:uid="{11515E6B-35BF-442F-9F77-E5C2A7120C40}">
      <text>
        <r>
          <rPr>
            <b/>
            <sz val="9"/>
            <color indexed="81"/>
            <rFont val="Tahoma"/>
            <family val="2"/>
          </rPr>
          <t>&lt;[[DEVDeals] - [Proxy Entities (Seq: 19)] City - Both]&gt;</t>
        </r>
      </text>
    </comment>
    <comment ref="H154" authorId="0" shapeId="0" xr:uid="{D8B9B899-C8FD-42DF-9C89-B5CBAB3FC1A0}">
      <text>
        <r>
          <rPr>
            <b/>
            <sz val="9"/>
            <color indexed="81"/>
            <rFont val="Tahoma"/>
            <family val="2"/>
          </rPr>
          <t>&lt;[[DEVDeals] - [Proxy Entities (Seq: 19)] State - Both]&gt;</t>
        </r>
      </text>
    </comment>
    <comment ref="I154" authorId="0" shapeId="0" xr:uid="{B434CA56-3A6E-447D-ABE3-A24DD5E46B32}">
      <text>
        <r>
          <rPr>
            <b/>
            <sz val="9"/>
            <color indexed="81"/>
            <rFont val="Tahoma"/>
            <family val="2"/>
          </rPr>
          <t>&lt;[[DEVDeals] - [Proxy Entities (Seq: 19)] Zip Code - Both]&gt;</t>
        </r>
      </text>
    </comment>
    <comment ref="J154" authorId="0" shapeId="0" xr:uid="{7F661360-250F-4133-96E3-97DBB30EDA19}">
      <text>
        <r>
          <rPr>
            <b/>
            <sz val="9"/>
            <color indexed="81"/>
            <rFont val="Tahoma"/>
            <family val="2"/>
          </rPr>
          <t>&lt;[[DEVDeals] - [Proxy Entities (Seq: 19)] Email Address 1 - Both]&gt;</t>
        </r>
      </text>
    </comment>
    <comment ref="K154" authorId="0" shapeId="0" xr:uid="{F89FB1F0-69F1-4AF6-969E-BC3E3FD11F68}">
      <text>
        <r>
          <rPr>
            <b/>
            <sz val="9"/>
            <color indexed="81"/>
            <rFont val="Tahoma"/>
            <family val="2"/>
          </rPr>
          <t>&lt;[[DEVDeals] - [Proxy Entities (Seq: 19)] Direct Phone - Both]&gt;</t>
        </r>
      </text>
    </comment>
    <comment ref="M154" authorId="0" shapeId="0" xr:uid="{3EC4FF2A-10DD-4B4A-91B7-4069A352BBAD}">
      <text>
        <r>
          <rPr>
            <b/>
            <sz val="9"/>
            <color indexed="81"/>
            <rFont val="Tahoma"/>
            <family val="2"/>
          </rPr>
          <t>&lt;[[DEVDeals] - [Proxy Entities (Seq: 19)] Company or Individual? - Both]&gt;</t>
        </r>
      </text>
    </comment>
    <comment ref="D155" authorId="0" shapeId="0" xr:uid="{18186363-285D-4CDA-9CB4-62F19AEDEC28}">
      <text>
        <r>
          <rPr>
            <b/>
            <sz val="9"/>
            <color indexed="81"/>
            <rFont val="Tahoma"/>
            <family val="2"/>
          </rPr>
          <t>&lt;[[DEVDeals] - [Proxy Entities (Seq: 20)] Deal Entity Role - Both]&gt;</t>
        </r>
      </text>
    </comment>
    <comment ref="E155" authorId="0" shapeId="0" xr:uid="{2FE77910-AA78-41EF-8DE1-3DAEC59405E6}">
      <text>
        <r>
          <rPr>
            <b/>
            <sz val="9"/>
            <color indexed="81"/>
            <rFont val="Tahoma"/>
            <family val="2"/>
          </rPr>
          <t>&lt;[[DEVDeals] - [Proxy Entities (Seq: 20)] Name (Doing Business As) - Both]&gt;</t>
        </r>
      </text>
    </comment>
    <comment ref="F155" authorId="0" shapeId="0" xr:uid="{891B49F0-BB1C-4D8B-A1C2-8BAA9CB8A993}">
      <text>
        <r>
          <rPr>
            <b/>
            <sz val="9"/>
            <color indexed="81"/>
            <rFont val="Tahoma"/>
            <family val="2"/>
          </rPr>
          <t>&lt;[[DEVDeals] - [Proxy Entities (Seq: 20)] Address 1 - Both]&gt;</t>
        </r>
      </text>
    </comment>
    <comment ref="G155" authorId="0" shapeId="0" xr:uid="{A4BC6DBE-AD29-4DAE-9646-FE4FFAE8BF36}">
      <text>
        <r>
          <rPr>
            <b/>
            <sz val="9"/>
            <color indexed="81"/>
            <rFont val="Tahoma"/>
            <family val="2"/>
          </rPr>
          <t>&lt;[[DEVDeals] - [Proxy Entities (Seq: 20)] City - Both]&gt;</t>
        </r>
      </text>
    </comment>
    <comment ref="H155" authorId="0" shapeId="0" xr:uid="{13FE7E97-7813-4D66-BAC7-889502BAD65C}">
      <text>
        <r>
          <rPr>
            <b/>
            <sz val="9"/>
            <color indexed="81"/>
            <rFont val="Tahoma"/>
            <family val="2"/>
          </rPr>
          <t>&lt;[[DEVDeals] - [Proxy Entities (Seq: 20)] State - Both]&gt;</t>
        </r>
      </text>
    </comment>
    <comment ref="I155" authorId="0" shapeId="0" xr:uid="{8FBE2BC1-2796-4AEF-9B2F-65AEB16DCE4D}">
      <text>
        <r>
          <rPr>
            <b/>
            <sz val="9"/>
            <color indexed="81"/>
            <rFont val="Tahoma"/>
            <family val="2"/>
          </rPr>
          <t>&lt;[[DEVDeals] - [Proxy Entities (Seq: 20)] Zip Code - Both]&gt;</t>
        </r>
      </text>
    </comment>
    <comment ref="J155" authorId="0" shapeId="0" xr:uid="{D8F8D53B-858F-43A4-958F-28CFD1839649}">
      <text>
        <r>
          <rPr>
            <b/>
            <sz val="9"/>
            <color indexed="81"/>
            <rFont val="Tahoma"/>
            <family val="2"/>
          </rPr>
          <t>&lt;[[DEVDeals] - [Proxy Entities (Seq: 20)] Email Address 1 - Both]&gt;</t>
        </r>
      </text>
    </comment>
    <comment ref="K155" authorId="0" shapeId="0" xr:uid="{ABE388F7-4759-4D53-90CC-4088E6B3C842}">
      <text>
        <r>
          <rPr>
            <b/>
            <sz val="9"/>
            <color indexed="81"/>
            <rFont val="Tahoma"/>
            <family val="2"/>
          </rPr>
          <t>&lt;[[DEVDeals] - [Proxy Entities (Seq: 20)] Direct Phone - Both]&gt;</t>
        </r>
      </text>
    </comment>
    <comment ref="M155" authorId="0" shapeId="0" xr:uid="{6626FEAC-E6CB-4861-BFF6-04868C667E4D}">
      <text>
        <r>
          <rPr>
            <b/>
            <sz val="9"/>
            <color indexed="81"/>
            <rFont val="Tahoma"/>
            <family val="2"/>
          </rPr>
          <t>&lt;[[DEVDeals] - [Proxy Entities (Seq: 20)] Company or Individual? - Both]&gt;</t>
        </r>
      </text>
    </comment>
    <comment ref="D156" authorId="0" shapeId="0" xr:uid="{B79779B3-95AB-4513-83FF-0BD6FDA2F2FB}">
      <text>
        <r>
          <rPr>
            <b/>
            <sz val="9"/>
            <color indexed="81"/>
            <rFont val="Tahoma"/>
            <family val="2"/>
          </rPr>
          <t>&lt;[[DEVDeals] - [Proxy Entities (Seq: 21)] Deal Entity Role - Both]&gt;</t>
        </r>
      </text>
    </comment>
    <comment ref="E156" authorId="0" shapeId="0" xr:uid="{D8C3A7A6-A5A1-4CAD-A2A6-D2AE7A9627C2}">
      <text>
        <r>
          <rPr>
            <b/>
            <sz val="9"/>
            <color indexed="81"/>
            <rFont val="Tahoma"/>
            <family val="2"/>
          </rPr>
          <t>&lt;[[DEVDeals] - [Proxy Entities (Seq: 21)] Name (Doing Business As) - Both]&gt;</t>
        </r>
      </text>
    </comment>
    <comment ref="F156" authorId="0" shapeId="0" xr:uid="{3D16B97D-A935-43B8-9329-D4E127B8CB8C}">
      <text>
        <r>
          <rPr>
            <b/>
            <sz val="9"/>
            <color indexed="81"/>
            <rFont val="Tahoma"/>
            <family val="2"/>
          </rPr>
          <t>&lt;[[DEVDeals] - [Proxy Entities (Seq: 21)] Address 1 - Both]&gt;</t>
        </r>
      </text>
    </comment>
    <comment ref="G156" authorId="0" shapeId="0" xr:uid="{1EB6736C-E028-4F92-977A-72600D0D1B32}">
      <text>
        <r>
          <rPr>
            <b/>
            <sz val="9"/>
            <color indexed="81"/>
            <rFont val="Tahoma"/>
            <family val="2"/>
          </rPr>
          <t>&lt;[[DEVDeals] - [Proxy Entities (Seq: 21)] City - Both]&gt;</t>
        </r>
      </text>
    </comment>
    <comment ref="H156" authorId="0" shapeId="0" xr:uid="{8F9E694B-9A5B-4E97-8E12-EAF28FE34261}">
      <text>
        <r>
          <rPr>
            <b/>
            <sz val="9"/>
            <color indexed="81"/>
            <rFont val="Tahoma"/>
            <family val="2"/>
          </rPr>
          <t>&lt;[[DEVDeals] - [Proxy Entities (Seq: 21)] State - Both]&gt;</t>
        </r>
      </text>
    </comment>
    <comment ref="I156" authorId="0" shapeId="0" xr:uid="{0879DAB5-7129-4433-9104-DC270EFC232D}">
      <text>
        <r>
          <rPr>
            <b/>
            <sz val="9"/>
            <color indexed="81"/>
            <rFont val="Tahoma"/>
            <family val="2"/>
          </rPr>
          <t>&lt;[[DEVDeals] - [Proxy Entities (Seq: 21)] Zip Code - Both]&gt;</t>
        </r>
      </text>
    </comment>
    <comment ref="J156" authorId="0" shapeId="0" xr:uid="{D9CCFF1F-33D5-46E1-8655-A8F2217BEBCA}">
      <text>
        <r>
          <rPr>
            <b/>
            <sz val="9"/>
            <color indexed="81"/>
            <rFont val="Tahoma"/>
            <family val="2"/>
          </rPr>
          <t>&lt;[[DEVDeals] - [Proxy Entities (Seq: 21)] Email Address 1 - Both]&gt;</t>
        </r>
      </text>
    </comment>
    <comment ref="K156" authorId="0" shapeId="0" xr:uid="{967743FA-1D1E-42D2-974E-4B1A8A75F004}">
      <text>
        <r>
          <rPr>
            <b/>
            <sz val="9"/>
            <color indexed="81"/>
            <rFont val="Tahoma"/>
            <family val="2"/>
          </rPr>
          <t>&lt;[[DEVDeals] - [Proxy Entities (Seq: 21)] Direct Phone - Both]&gt;</t>
        </r>
      </text>
    </comment>
    <comment ref="M156" authorId="0" shapeId="0" xr:uid="{FFBC07F6-F794-4BDD-9930-667A2A9DA70F}">
      <text>
        <r>
          <rPr>
            <b/>
            <sz val="9"/>
            <color indexed="81"/>
            <rFont val="Tahoma"/>
            <family val="2"/>
          </rPr>
          <t>&lt;[[DEVDeals] - [Proxy Entities (Seq: 21)] Company or Individual? - Both]&gt;</t>
        </r>
      </text>
    </comment>
    <comment ref="D157" authorId="0" shapeId="0" xr:uid="{BF2AD37A-B617-4B1E-903A-DBCFE91870C8}">
      <text>
        <r>
          <rPr>
            <b/>
            <sz val="9"/>
            <color indexed="81"/>
            <rFont val="Tahoma"/>
            <family val="2"/>
          </rPr>
          <t>&lt;[[DEVDeals] - [Proxy Entities (Seq: 22)] Deal Entity Role - Both]&gt;</t>
        </r>
      </text>
    </comment>
    <comment ref="E157" authorId="0" shapeId="0" xr:uid="{2ED4640B-6C0A-4A2D-93EB-7B3674845702}">
      <text>
        <r>
          <rPr>
            <b/>
            <sz val="9"/>
            <color indexed="81"/>
            <rFont val="Tahoma"/>
            <family val="2"/>
          </rPr>
          <t>&lt;[[DEVDeals] - [Proxy Entities (Seq: 22)] Name (Doing Business As) - Both]&gt;</t>
        </r>
      </text>
    </comment>
    <comment ref="F157" authorId="0" shapeId="0" xr:uid="{981CC0F7-F1F8-4370-A16F-4FAB97AEA9BF}">
      <text>
        <r>
          <rPr>
            <b/>
            <sz val="9"/>
            <color indexed="81"/>
            <rFont val="Tahoma"/>
            <family val="2"/>
          </rPr>
          <t>&lt;[[DEVDeals] - [Proxy Entities (Seq: 22)] Address 1 - Both]&gt;</t>
        </r>
      </text>
    </comment>
    <comment ref="G157" authorId="0" shapeId="0" xr:uid="{A5296701-6802-4D9E-893A-F4B224784D3A}">
      <text>
        <r>
          <rPr>
            <b/>
            <sz val="9"/>
            <color indexed="81"/>
            <rFont val="Tahoma"/>
            <family val="2"/>
          </rPr>
          <t>&lt;[[DEVDeals] - [Proxy Entities (Seq: 22)] City - Both]&gt;</t>
        </r>
      </text>
    </comment>
    <comment ref="H157" authorId="0" shapeId="0" xr:uid="{5B7E6979-4E07-446D-AA99-49777B9CE91C}">
      <text>
        <r>
          <rPr>
            <b/>
            <sz val="9"/>
            <color indexed="81"/>
            <rFont val="Tahoma"/>
            <family val="2"/>
          </rPr>
          <t>&lt;[[DEVDeals] - [Proxy Entities (Seq: 22)] State - Both]&gt;</t>
        </r>
      </text>
    </comment>
    <comment ref="I157" authorId="0" shapeId="0" xr:uid="{07DF0610-DBA0-46F2-A032-CA4FC6E60479}">
      <text>
        <r>
          <rPr>
            <b/>
            <sz val="9"/>
            <color indexed="81"/>
            <rFont val="Tahoma"/>
            <family val="2"/>
          </rPr>
          <t>&lt;[[DEVDeals] - [Proxy Entities (Seq: 22)] Zip Code - Both]&gt;</t>
        </r>
      </text>
    </comment>
    <comment ref="J157" authorId="0" shapeId="0" xr:uid="{54401749-1861-49FC-A4B4-301B4B68ED59}">
      <text>
        <r>
          <rPr>
            <b/>
            <sz val="9"/>
            <color indexed="81"/>
            <rFont val="Tahoma"/>
            <family val="2"/>
          </rPr>
          <t>&lt;[[DEVDeals] - [Proxy Entities (Seq: 22)] Email Address 1 - Both]&gt;</t>
        </r>
      </text>
    </comment>
    <comment ref="K157" authorId="0" shapeId="0" xr:uid="{51F6A019-C782-4E04-B9B4-BFDC1DD51339}">
      <text>
        <r>
          <rPr>
            <b/>
            <sz val="9"/>
            <color indexed="81"/>
            <rFont val="Tahoma"/>
            <family val="2"/>
          </rPr>
          <t>&lt;[[DEVDeals] - [Proxy Entities (Seq: 22)] Direct Phone - Both]&gt;</t>
        </r>
      </text>
    </comment>
    <comment ref="M157" authorId="0" shapeId="0" xr:uid="{D5683DA6-1ED2-4FD8-8AED-4507360735A6}">
      <text>
        <r>
          <rPr>
            <b/>
            <sz val="9"/>
            <color indexed="81"/>
            <rFont val="Tahoma"/>
            <family val="2"/>
          </rPr>
          <t>&lt;[[DEVDeals] - [Proxy Entities (Seq: 22)] Company or Individual? - Both]&gt;</t>
        </r>
      </text>
    </comment>
    <comment ref="D158" authorId="0" shapeId="0" xr:uid="{2EE7238D-EB3D-4ED3-B8FE-C2F1E5BD5466}">
      <text>
        <r>
          <rPr>
            <b/>
            <sz val="9"/>
            <color indexed="81"/>
            <rFont val="Tahoma"/>
            <family val="2"/>
          </rPr>
          <t>&lt;[[DEVDeals] - [Proxy Entities (Seq: 23)] Deal Entity Role - Both]&gt;</t>
        </r>
      </text>
    </comment>
    <comment ref="E158" authorId="0" shapeId="0" xr:uid="{BAC783E8-BC12-42C7-83D4-60107E34B1AC}">
      <text>
        <r>
          <rPr>
            <b/>
            <sz val="9"/>
            <color indexed="81"/>
            <rFont val="Tahoma"/>
            <family val="2"/>
          </rPr>
          <t>&lt;[[DEVDeals] - [Proxy Entities (Seq: 23)] Name (Doing Business As) - Both]&gt;</t>
        </r>
      </text>
    </comment>
    <comment ref="F158" authorId="0" shapeId="0" xr:uid="{C8806B06-05BB-4310-970B-DA5EB1CB063F}">
      <text>
        <r>
          <rPr>
            <b/>
            <sz val="9"/>
            <color indexed="81"/>
            <rFont val="Tahoma"/>
            <family val="2"/>
          </rPr>
          <t>&lt;[[DEVDeals] - [Proxy Entities (Seq: 23)] Address 1 - Both]&gt;</t>
        </r>
      </text>
    </comment>
    <comment ref="G158" authorId="0" shapeId="0" xr:uid="{F7A28ABA-0853-4038-A87C-58A7263176D6}">
      <text>
        <r>
          <rPr>
            <b/>
            <sz val="9"/>
            <color indexed="81"/>
            <rFont val="Tahoma"/>
            <family val="2"/>
          </rPr>
          <t>&lt;[[DEVDeals] - [Proxy Entities (Seq: 23)] City - Both]&gt;</t>
        </r>
      </text>
    </comment>
    <comment ref="H158" authorId="0" shapeId="0" xr:uid="{CA62B5C2-D660-4F6B-8F94-75940CA4D745}">
      <text>
        <r>
          <rPr>
            <b/>
            <sz val="9"/>
            <color indexed="81"/>
            <rFont val="Tahoma"/>
            <family val="2"/>
          </rPr>
          <t>&lt;[[DEVDeals] - [Proxy Entities (Seq: 23)] State - Both]&gt;</t>
        </r>
      </text>
    </comment>
    <comment ref="I158" authorId="0" shapeId="0" xr:uid="{212C83C7-50E1-4C82-97A1-99AB77E8DBDD}">
      <text>
        <r>
          <rPr>
            <b/>
            <sz val="9"/>
            <color indexed="81"/>
            <rFont val="Tahoma"/>
            <family val="2"/>
          </rPr>
          <t>&lt;[[DEVDeals] - [Proxy Entities (Seq: 23)] Zip Code - Both]&gt;</t>
        </r>
      </text>
    </comment>
    <comment ref="J158" authorId="0" shapeId="0" xr:uid="{22FE601C-6707-44A0-8AA8-E4F59FA9641F}">
      <text>
        <r>
          <rPr>
            <b/>
            <sz val="9"/>
            <color indexed="81"/>
            <rFont val="Tahoma"/>
            <family val="2"/>
          </rPr>
          <t>&lt;[[DEVDeals] - [Proxy Entities (Seq: 23)] Email Address 1 - Both]&gt;</t>
        </r>
      </text>
    </comment>
    <comment ref="K158" authorId="0" shapeId="0" xr:uid="{47C64F0F-F728-42BD-95CF-147362B32419}">
      <text>
        <r>
          <rPr>
            <b/>
            <sz val="9"/>
            <color indexed="81"/>
            <rFont val="Tahoma"/>
            <family val="2"/>
          </rPr>
          <t>&lt;[[DEVDeals] - [Proxy Entities (Seq: 23)] Direct Phone - Both]&gt;</t>
        </r>
      </text>
    </comment>
    <comment ref="M158" authorId="0" shapeId="0" xr:uid="{E3459C67-AF0C-4860-84BD-5738BC97DAD3}">
      <text>
        <r>
          <rPr>
            <b/>
            <sz val="9"/>
            <color indexed="81"/>
            <rFont val="Tahoma"/>
            <family val="2"/>
          </rPr>
          <t>&lt;[[DEVDeals] - [Proxy Entities (Seq: 23)] Company or Individual? - Both]&gt;</t>
        </r>
      </text>
    </comment>
    <comment ref="D159" authorId="0" shapeId="0" xr:uid="{F9879C67-15A5-4DD8-9C8C-DD2BA1B4AFDB}">
      <text>
        <r>
          <rPr>
            <b/>
            <sz val="9"/>
            <color indexed="81"/>
            <rFont val="Tahoma"/>
            <family val="2"/>
          </rPr>
          <t>&lt;[[DEVDeals] - [Proxy Entities (Seq: 24)] Deal Entity Role - Both]&gt;</t>
        </r>
      </text>
    </comment>
    <comment ref="E159" authorId="0" shapeId="0" xr:uid="{53289079-3726-4F5C-A317-1EB045EEB5B3}">
      <text>
        <r>
          <rPr>
            <b/>
            <sz val="9"/>
            <color indexed="81"/>
            <rFont val="Tahoma"/>
            <family val="2"/>
          </rPr>
          <t>&lt;[[DEVDeals] - [Proxy Entities (Seq: 24)] Name (Doing Business As) - Both]&gt;</t>
        </r>
      </text>
    </comment>
    <comment ref="F159" authorId="0" shapeId="0" xr:uid="{AA390E5C-C3F9-44FA-95AB-BAA3E98B6153}">
      <text>
        <r>
          <rPr>
            <b/>
            <sz val="9"/>
            <color indexed="81"/>
            <rFont val="Tahoma"/>
            <family val="2"/>
          </rPr>
          <t>&lt;[[DEVDeals] - [Proxy Entities (Seq: 24)] Address 1 - Both]&gt;</t>
        </r>
      </text>
    </comment>
    <comment ref="G159" authorId="0" shapeId="0" xr:uid="{159A0819-094A-4702-A887-269B8C39B46F}">
      <text>
        <r>
          <rPr>
            <b/>
            <sz val="9"/>
            <color indexed="81"/>
            <rFont val="Tahoma"/>
            <family val="2"/>
          </rPr>
          <t>&lt;[[DEVDeals] - [Proxy Entities (Seq: 24)] City - Both]&gt;</t>
        </r>
      </text>
    </comment>
    <comment ref="H159" authorId="0" shapeId="0" xr:uid="{B5408AA5-814B-4E63-BD2F-5AE70E456B59}">
      <text>
        <r>
          <rPr>
            <b/>
            <sz val="9"/>
            <color indexed="81"/>
            <rFont val="Tahoma"/>
            <family val="2"/>
          </rPr>
          <t>&lt;[[DEVDeals] - [Proxy Entities (Seq: 24)] State - Both]&gt;</t>
        </r>
      </text>
    </comment>
    <comment ref="I159" authorId="0" shapeId="0" xr:uid="{ADE623AD-8756-4A1A-9AB9-6965EB7842CD}">
      <text>
        <r>
          <rPr>
            <b/>
            <sz val="9"/>
            <color indexed="81"/>
            <rFont val="Tahoma"/>
            <family val="2"/>
          </rPr>
          <t>&lt;[[DEVDeals] - [Proxy Entities (Seq: 24)] Zip Code - Both]&gt;</t>
        </r>
      </text>
    </comment>
    <comment ref="J159" authorId="0" shapeId="0" xr:uid="{BDFD78BE-5026-41F7-AC48-F181A97A73F9}">
      <text>
        <r>
          <rPr>
            <b/>
            <sz val="9"/>
            <color indexed="81"/>
            <rFont val="Tahoma"/>
            <family val="2"/>
          </rPr>
          <t>&lt;[[DEVDeals] - [Proxy Entities (Seq: 24)] Email Address 1 - Both]&gt;</t>
        </r>
      </text>
    </comment>
    <comment ref="K159" authorId="0" shapeId="0" xr:uid="{33F440EE-7A7D-4429-9552-599E0FD72103}">
      <text>
        <r>
          <rPr>
            <b/>
            <sz val="9"/>
            <color indexed="81"/>
            <rFont val="Tahoma"/>
            <family val="2"/>
          </rPr>
          <t>&lt;[[DEVDeals] - [Proxy Entities (Seq: 24)] Direct Phone - Both]&gt;</t>
        </r>
      </text>
    </comment>
    <comment ref="M159" authorId="0" shapeId="0" xr:uid="{BE94F3F7-99E5-43C5-9DFC-9EFDAF3ADD4B}">
      <text>
        <r>
          <rPr>
            <b/>
            <sz val="9"/>
            <color indexed="81"/>
            <rFont val="Tahoma"/>
            <family val="2"/>
          </rPr>
          <t>&lt;[[DEVDeals] - [Proxy Entities (Seq: 24)] Company or Individual? - Both]&gt;</t>
        </r>
      </text>
    </comment>
    <comment ref="D160" authorId="0" shapeId="0" xr:uid="{17C87D91-D0CC-4BF4-8E67-991A4EA81F00}">
      <text>
        <r>
          <rPr>
            <b/>
            <sz val="9"/>
            <color indexed="81"/>
            <rFont val="Tahoma"/>
            <family val="2"/>
          </rPr>
          <t>&lt;[[DEVDeals] - [Proxy Entities (Seq: 25)] Deal Entity Role - Both]&gt;</t>
        </r>
      </text>
    </comment>
    <comment ref="E160" authorId="0" shapeId="0" xr:uid="{D5969760-DF5A-4653-8B32-486861A2F8EA}">
      <text>
        <r>
          <rPr>
            <b/>
            <sz val="9"/>
            <color indexed="81"/>
            <rFont val="Tahoma"/>
            <family val="2"/>
          </rPr>
          <t>&lt;[[DEVDeals] - [Proxy Entities (Seq: 25)] Name (Doing Business As) - Both]&gt;</t>
        </r>
      </text>
    </comment>
    <comment ref="F160" authorId="0" shapeId="0" xr:uid="{5A6F4EC3-8F8F-4328-BE3B-DE9A0D63E1CA}">
      <text>
        <r>
          <rPr>
            <b/>
            <sz val="9"/>
            <color indexed="81"/>
            <rFont val="Tahoma"/>
            <family val="2"/>
          </rPr>
          <t>&lt;[[DEVDeals] - [Proxy Entities (Seq: 25)] Address 1 - Both]&gt;</t>
        </r>
      </text>
    </comment>
    <comment ref="G160" authorId="0" shapeId="0" xr:uid="{DD1AFCF3-A5C7-41FD-B7FF-5F3D493BC8FB}">
      <text>
        <r>
          <rPr>
            <b/>
            <sz val="9"/>
            <color indexed="81"/>
            <rFont val="Tahoma"/>
            <family val="2"/>
          </rPr>
          <t>&lt;[[DEVDeals] - [Proxy Entities (Seq: 25)] City - Both]&gt;</t>
        </r>
      </text>
    </comment>
    <comment ref="H160" authorId="0" shapeId="0" xr:uid="{966287C4-2A58-4266-83AA-C75EB69152B7}">
      <text>
        <r>
          <rPr>
            <b/>
            <sz val="9"/>
            <color indexed="81"/>
            <rFont val="Tahoma"/>
            <family val="2"/>
          </rPr>
          <t>&lt;[[DEVDeals] - [Proxy Entities (Seq: 25)] State - Both]&gt;</t>
        </r>
      </text>
    </comment>
    <comment ref="I160" authorId="0" shapeId="0" xr:uid="{0D17E917-9FE1-40ED-A0F3-79AB5D6A11A4}">
      <text>
        <r>
          <rPr>
            <b/>
            <sz val="9"/>
            <color indexed="81"/>
            <rFont val="Tahoma"/>
            <family val="2"/>
          </rPr>
          <t>&lt;[[DEVDeals] - [Proxy Entities (Seq: 25)] Zip Code - Both]&gt;</t>
        </r>
      </text>
    </comment>
    <comment ref="J160" authorId="0" shapeId="0" xr:uid="{995C3B9C-E190-46C2-8D4F-23847643474E}">
      <text>
        <r>
          <rPr>
            <b/>
            <sz val="9"/>
            <color indexed="81"/>
            <rFont val="Tahoma"/>
            <family val="2"/>
          </rPr>
          <t>&lt;[[DEVDeals] - [Proxy Entities (Seq: 25)] Email Address 1 - Both]&gt;</t>
        </r>
      </text>
    </comment>
    <comment ref="K160" authorId="0" shapeId="0" xr:uid="{91C22635-6611-490F-89BB-69B1CEFB0EA0}">
      <text>
        <r>
          <rPr>
            <b/>
            <sz val="9"/>
            <color indexed="81"/>
            <rFont val="Tahoma"/>
            <family val="2"/>
          </rPr>
          <t>&lt;[[DEVDeals] - [Proxy Entities (Seq: 25)] Direct Phone - Both]&gt;</t>
        </r>
      </text>
    </comment>
    <comment ref="M160" authorId="0" shapeId="0" xr:uid="{597D1C0E-44DC-401A-8D59-FB4FA6BA75BB}">
      <text>
        <r>
          <rPr>
            <b/>
            <sz val="9"/>
            <color indexed="81"/>
            <rFont val="Tahoma"/>
            <family val="2"/>
          </rPr>
          <t>&lt;[[DEVDeals] - [Proxy Entities (Seq: 25)] Company or Individual? - Both]&gt;</t>
        </r>
      </text>
    </comment>
    <comment ref="D161" authorId="0" shapeId="0" xr:uid="{7F1555E6-6784-45AA-81EF-EE95F6D46717}">
      <text>
        <r>
          <rPr>
            <b/>
            <sz val="9"/>
            <color indexed="81"/>
            <rFont val="Tahoma"/>
            <family val="2"/>
          </rPr>
          <t>&lt;[[DEVDeals] - [Proxy Entities (Seq: 26)] Deal Entity Role - Both]&gt;</t>
        </r>
      </text>
    </comment>
    <comment ref="E161" authorId="0" shapeId="0" xr:uid="{60EC187D-B8A6-4F0B-A00A-F840AF5C4D35}">
      <text>
        <r>
          <rPr>
            <b/>
            <sz val="9"/>
            <color indexed="81"/>
            <rFont val="Tahoma"/>
            <family val="2"/>
          </rPr>
          <t>&lt;[[DEVDeals] - [Proxy Entities (Seq: 26)] Name (Doing Business As) - Both]&gt;</t>
        </r>
      </text>
    </comment>
    <comment ref="F161" authorId="0" shapeId="0" xr:uid="{456B2531-F3ED-486D-AF93-272ED196B15B}">
      <text>
        <r>
          <rPr>
            <b/>
            <sz val="9"/>
            <color indexed="81"/>
            <rFont val="Tahoma"/>
            <family val="2"/>
          </rPr>
          <t>&lt;[[DEVDeals] - [Proxy Entities (Seq: 26)] Address 1 - Both]&gt;</t>
        </r>
      </text>
    </comment>
    <comment ref="G161" authorId="0" shapeId="0" xr:uid="{1F4975F4-7280-4904-A468-0D1234E75427}">
      <text>
        <r>
          <rPr>
            <b/>
            <sz val="9"/>
            <color indexed="81"/>
            <rFont val="Tahoma"/>
            <family val="2"/>
          </rPr>
          <t>&lt;[[DEVDeals] - [Proxy Entities (Seq: 26)] City - Both]&gt;</t>
        </r>
      </text>
    </comment>
    <comment ref="H161" authorId="0" shapeId="0" xr:uid="{C57740D0-C7C8-4D35-82CD-25D85DF95D83}">
      <text>
        <r>
          <rPr>
            <b/>
            <sz val="9"/>
            <color indexed="81"/>
            <rFont val="Tahoma"/>
            <family val="2"/>
          </rPr>
          <t>&lt;[[DEVDeals] - [Proxy Entities (Seq: 26)] State - Both]&gt;</t>
        </r>
      </text>
    </comment>
    <comment ref="I161" authorId="0" shapeId="0" xr:uid="{B48F8698-18F7-4BB9-A59A-4C27F1E8AFEC}">
      <text>
        <r>
          <rPr>
            <b/>
            <sz val="9"/>
            <color indexed="81"/>
            <rFont val="Tahoma"/>
            <family val="2"/>
          </rPr>
          <t>&lt;[[DEVDeals] - [Proxy Entities (Seq: 26)] Zip Code - Both]&gt;</t>
        </r>
      </text>
    </comment>
    <comment ref="J161" authorId="0" shapeId="0" xr:uid="{4FBD93BC-513E-4FE9-B7F4-830EE6A832AE}">
      <text>
        <r>
          <rPr>
            <b/>
            <sz val="9"/>
            <color indexed="81"/>
            <rFont val="Tahoma"/>
            <family val="2"/>
          </rPr>
          <t>&lt;[[DEVDeals] - [Proxy Entities (Seq: 26)] Email Address 1 - Both]&gt;</t>
        </r>
      </text>
    </comment>
    <comment ref="K161" authorId="0" shapeId="0" xr:uid="{89C2E63C-C967-4339-9197-3AD970385B83}">
      <text>
        <r>
          <rPr>
            <b/>
            <sz val="9"/>
            <color indexed="81"/>
            <rFont val="Tahoma"/>
            <family val="2"/>
          </rPr>
          <t>&lt;[[DEVDeals] - [Proxy Entities (Seq: 26)] Direct Phone - Both]&gt;</t>
        </r>
      </text>
    </comment>
    <comment ref="M161" authorId="0" shapeId="0" xr:uid="{6ADAB9DC-B8EC-44E6-A77A-1E2F85DD9CEE}">
      <text>
        <r>
          <rPr>
            <b/>
            <sz val="9"/>
            <color indexed="81"/>
            <rFont val="Tahoma"/>
            <family val="2"/>
          </rPr>
          <t>&lt;[[DEVDeals] - [Proxy Entities (Seq: 26)] Company or Individual? - Both]&gt;</t>
        </r>
      </text>
    </comment>
    <comment ref="D162" authorId="0" shapeId="0" xr:uid="{C6BAAF28-C35E-4794-B310-1319F3119469}">
      <text>
        <r>
          <rPr>
            <b/>
            <sz val="9"/>
            <color indexed="81"/>
            <rFont val="Tahoma"/>
            <family val="2"/>
          </rPr>
          <t>&lt;[[DEVDeals] - [Proxy Entities (Seq: 27)] Deal Entity Role - Both]&gt;</t>
        </r>
      </text>
    </comment>
    <comment ref="E162" authorId="0" shapeId="0" xr:uid="{ED1A6734-560E-4BE2-AEC6-4B1E3DEB6F46}">
      <text>
        <r>
          <rPr>
            <b/>
            <sz val="9"/>
            <color indexed="81"/>
            <rFont val="Tahoma"/>
            <family val="2"/>
          </rPr>
          <t>&lt;[[DEVDeals] - [Proxy Entities (Seq: 27)] Name (Doing Business As) - Both]&gt;</t>
        </r>
      </text>
    </comment>
    <comment ref="F162" authorId="0" shapeId="0" xr:uid="{A3761756-8AE2-4A7C-86E8-A52D92C8A179}">
      <text>
        <r>
          <rPr>
            <b/>
            <sz val="9"/>
            <color indexed="81"/>
            <rFont val="Tahoma"/>
            <family val="2"/>
          </rPr>
          <t>&lt;[[DEVDeals] - [Proxy Entities (Seq: 27)] Address 1 - Both]&gt;</t>
        </r>
      </text>
    </comment>
    <comment ref="G162" authorId="0" shapeId="0" xr:uid="{83DDF889-5094-47D8-9422-FC3336C712E1}">
      <text>
        <r>
          <rPr>
            <b/>
            <sz val="9"/>
            <color indexed="81"/>
            <rFont val="Tahoma"/>
            <family val="2"/>
          </rPr>
          <t>&lt;[[DEVDeals] - [Proxy Entities (Seq: 27)] City - Both]&gt;</t>
        </r>
      </text>
    </comment>
    <comment ref="H162" authorId="0" shapeId="0" xr:uid="{7EE071FB-5A04-4299-8AD3-A96A7BFDA331}">
      <text>
        <r>
          <rPr>
            <b/>
            <sz val="9"/>
            <color indexed="81"/>
            <rFont val="Tahoma"/>
            <family val="2"/>
          </rPr>
          <t>&lt;[[DEVDeals] - [Proxy Entities (Seq: 27)] State - Both]&gt;</t>
        </r>
      </text>
    </comment>
    <comment ref="I162" authorId="0" shapeId="0" xr:uid="{93E4FAB8-006A-4568-BF52-523621D87A7F}">
      <text>
        <r>
          <rPr>
            <b/>
            <sz val="9"/>
            <color indexed="81"/>
            <rFont val="Tahoma"/>
            <family val="2"/>
          </rPr>
          <t>&lt;[[DEVDeals] - [Proxy Entities (Seq: 27)] Zip Code - Both]&gt;</t>
        </r>
      </text>
    </comment>
    <comment ref="J162" authorId="0" shapeId="0" xr:uid="{07C0B82C-456A-4F26-8376-05CCF40C4D22}">
      <text>
        <r>
          <rPr>
            <b/>
            <sz val="9"/>
            <color indexed="81"/>
            <rFont val="Tahoma"/>
            <family val="2"/>
          </rPr>
          <t>&lt;[[DEVDeals] - [Proxy Entities (Seq: 27)] Email Address 1 - Both]&gt;</t>
        </r>
      </text>
    </comment>
    <comment ref="K162" authorId="0" shapeId="0" xr:uid="{B607D5DC-2921-42EC-88D8-7F576691C414}">
      <text>
        <r>
          <rPr>
            <b/>
            <sz val="9"/>
            <color indexed="81"/>
            <rFont val="Tahoma"/>
            <family val="2"/>
          </rPr>
          <t>&lt;[[DEVDeals] - [Proxy Entities (Seq: 27)] Direct Phone - Both]&gt;</t>
        </r>
      </text>
    </comment>
    <comment ref="M162" authorId="0" shapeId="0" xr:uid="{567EAEEE-0AD9-4847-A722-C77E5A68A5C3}">
      <text>
        <r>
          <rPr>
            <b/>
            <sz val="9"/>
            <color indexed="81"/>
            <rFont val="Tahoma"/>
            <family val="2"/>
          </rPr>
          <t>&lt;[[DEVDeals] - [Proxy Entities (Seq: 27)] Company or Individual? - Both]&gt;</t>
        </r>
      </text>
    </comment>
    <comment ref="D163" authorId="0" shapeId="0" xr:uid="{381C5043-9E1C-4A4D-ABE0-F007348EE0A0}">
      <text>
        <r>
          <rPr>
            <b/>
            <sz val="9"/>
            <color indexed="81"/>
            <rFont val="Tahoma"/>
            <family val="2"/>
          </rPr>
          <t>&lt;[[DEVDeals] - [Proxy Entities (Seq: 28)] Deal Entity Role - Both]&gt;</t>
        </r>
      </text>
    </comment>
    <comment ref="E163" authorId="0" shapeId="0" xr:uid="{B06DBAED-EE58-4170-92A6-9128EA4AA946}">
      <text>
        <r>
          <rPr>
            <b/>
            <sz val="9"/>
            <color indexed="81"/>
            <rFont val="Tahoma"/>
            <family val="2"/>
          </rPr>
          <t>&lt;[[DEVDeals] - [Proxy Entities (Seq: 28)] Name (Doing Business As) - Both]&gt;</t>
        </r>
      </text>
    </comment>
    <comment ref="F163" authorId="0" shapeId="0" xr:uid="{D18F74AB-B8D8-4FA8-88E0-A1C57A2002DA}">
      <text>
        <r>
          <rPr>
            <b/>
            <sz val="9"/>
            <color indexed="81"/>
            <rFont val="Tahoma"/>
            <family val="2"/>
          </rPr>
          <t>&lt;[[DEVDeals] - [Proxy Entities (Seq: 28)] Address 1 - Both]&gt;</t>
        </r>
      </text>
    </comment>
    <comment ref="G163" authorId="0" shapeId="0" xr:uid="{348B7644-CCF9-4C37-99F0-CCFC27D0F5B3}">
      <text>
        <r>
          <rPr>
            <b/>
            <sz val="9"/>
            <color indexed="81"/>
            <rFont val="Tahoma"/>
            <family val="2"/>
          </rPr>
          <t>&lt;[[DEVDeals] - [Proxy Entities (Seq: 28)] City - Both]&gt;</t>
        </r>
      </text>
    </comment>
    <comment ref="H163" authorId="0" shapeId="0" xr:uid="{A7316CDC-539B-4B40-8244-5084FE7165CC}">
      <text>
        <r>
          <rPr>
            <b/>
            <sz val="9"/>
            <color indexed="81"/>
            <rFont val="Tahoma"/>
            <family val="2"/>
          </rPr>
          <t>&lt;[[DEVDeals] - [Proxy Entities (Seq: 28)] State - Both]&gt;</t>
        </r>
      </text>
    </comment>
    <comment ref="I163" authorId="0" shapeId="0" xr:uid="{A8E85653-1923-4E37-B765-A2E68EE9ABDF}">
      <text>
        <r>
          <rPr>
            <b/>
            <sz val="9"/>
            <color indexed="81"/>
            <rFont val="Tahoma"/>
            <family val="2"/>
          </rPr>
          <t>&lt;[[DEVDeals] - [Proxy Entities (Seq: 28)] Zip Code - Both]&gt;</t>
        </r>
      </text>
    </comment>
    <comment ref="J163" authorId="0" shapeId="0" xr:uid="{C3305C10-839D-4F0E-A852-54C5895F1942}">
      <text>
        <r>
          <rPr>
            <b/>
            <sz val="9"/>
            <color indexed="81"/>
            <rFont val="Tahoma"/>
            <family val="2"/>
          </rPr>
          <t>&lt;[[DEVDeals] - [Proxy Entities (Seq: 28)] Email Address 1 - Both]&gt;</t>
        </r>
      </text>
    </comment>
    <comment ref="K163" authorId="0" shapeId="0" xr:uid="{9AD2F36F-30D4-402D-9BD3-A0BDBC24A7F6}">
      <text>
        <r>
          <rPr>
            <b/>
            <sz val="9"/>
            <color indexed="81"/>
            <rFont val="Tahoma"/>
            <family val="2"/>
          </rPr>
          <t>&lt;[[DEVDeals] - [Proxy Entities (Seq: 28)] Direct Phone - Both]&gt;</t>
        </r>
      </text>
    </comment>
    <comment ref="M163" authorId="0" shapeId="0" xr:uid="{326D5B34-692F-468C-BEB9-5638ACEF0F53}">
      <text>
        <r>
          <rPr>
            <b/>
            <sz val="9"/>
            <color indexed="81"/>
            <rFont val="Tahoma"/>
            <family val="2"/>
          </rPr>
          <t>&lt;[[DEVDeals] - [Proxy Entities (Seq: 28)] Company or Individual? - Both]&gt;</t>
        </r>
      </text>
    </comment>
    <comment ref="D164" authorId="0" shapeId="0" xr:uid="{BEC9C69B-8036-4EE3-B2E7-863086C3C31E}">
      <text>
        <r>
          <rPr>
            <b/>
            <sz val="9"/>
            <color indexed="81"/>
            <rFont val="Tahoma"/>
            <family val="2"/>
          </rPr>
          <t>&lt;[[DEVDeals] - [Proxy Entities (Seq: 29)] Deal Entity Role - Both]&gt;</t>
        </r>
      </text>
    </comment>
    <comment ref="E164" authorId="0" shapeId="0" xr:uid="{CCEE0F51-6B65-4DDE-AD3B-69EC924A9740}">
      <text>
        <r>
          <rPr>
            <b/>
            <sz val="9"/>
            <color indexed="81"/>
            <rFont val="Tahoma"/>
            <family val="2"/>
          </rPr>
          <t>&lt;[[DEVDeals] - [Proxy Entities (Seq: 29)] Name (Doing Business As) - Both]&gt;</t>
        </r>
      </text>
    </comment>
    <comment ref="F164" authorId="0" shapeId="0" xr:uid="{DE1CBF78-6577-4ECF-9942-33C41301834F}">
      <text>
        <r>
          <rPr>
            <b/>
            <sz val="9"/>
            <color indexed="81"/>
            <rFont val="Tahoma"/>
            <family val="2"/>
          </rPr>
          <t>&lt;[[DEVDeals] - [Proxy Entities (Seq: 29)] Address 1 - Both]&gt;</t>
        </r>
      </text>
    </comment>
    <comment ref="G164" authorId="0" shapeId="0" xr:uid="{59A783D7-62F9-4057-A7EC-6D3F7CD64A9E}">
      <text>
        <r>
          <rPr>
            <b/>
            <sz val="9"/>
            <color indexed="81"/>
            <rFont val="Tahoma"/>
            <family val="2"/>
          </rPr>
          <t>&lt;[[DEVDeals] - [Proxy Entities (Seq: 29)] City - Both]&gt;</t>
        </r>
      </text>
    </comment>
    <comment ref="H164" authorId="0" shapeId="0" xr:uid="{931666CA-208B-4A76-9115-89D7385A0B18}">
      <text>
        <r>
          <rPr>
            <b/>
            <sz val="9"/>
            <color indexed="81"/>
            <rFont val="Tahoma"/>
            <family val="2"/>
          </rPr>
          <t>&lt;[[DEVDeals] - [Proxy Entities (Seq: 29)] State - Both]&gt;</t>
        </r>
      </text>
    </comment>
    <comment ref="I164" authorId="0" shapeId="0" xr:uid="{63B3F6AF-AE23-4C0E-8606-AE3F9D30682D}">
      <text>
        <r>
          <rPr>
            <b/>
            <sz val="9"/>
            <color indexed="81"/>
            <rFont val="Tahoma"/>
            <family val="2"/>
          </rPr>
          <t>&lt;[[DEVDeals] - [Proxy Entities (Seq: 29)] Zip Code - Both]&gt;</t>
        </r>
      </text>
    </comment>
    <comment ref="J164" authorId="0" shapeId="0" xr:uid="{2666282E-6B7B-446D-8443-D9DB63DE87C0}">
      <text>
        <r>
          <rPr>
            <b/>
            <sz val="9"/>
            <color indexed="81"/>
            <rFont val="Tahoma"/>
            <family val="2"/>
          </rPr>
          <t>&lt;[[DEVDeals] - [Proxy Entities (Seq: 29)] Email Address 1 - Both]&gt;</t>
        </r>
      </text>
    </comment>
    <comment ref="K164" authorId="0" shapeId="0" xr:uid="{369F916C-8D7A-4127-AB82-FDF2687A19A7}">
      <text>
        <r>
          <rPr>
            <b/>
            <sz val="9"/>
            <color indexed="81"/>
            <rFont val="Tahoma"/>
            <family val="2"/>
          </rPr>
          <t>&lt;[[DEVDeals] - [Proxy Entities (Seq: 29)] Direct Phone - Both]&gt;</t>
        </r>
      </text>
    </comment>
    <comment ref="M164" authorId="0" shapeId="0" xr:uid="{CD1113C7-B7C7-4945-8024-8F9E2E119E7B}">
      <text>
        <r>
          <rPr>
            <b/>
            <sz val="9"/>
            <color indexed="81"/>
            <rFont val="Tahoma"/>
            <family val="2"/>
          </rPr>
          <t>&lt;[[DEVDeals] - [Proxy Entities (Seq: 29)] Company or Individual? - Both]&gt;</t>
        </r>
      </text>
    </comment>
    <comment ref="D165" authorId="0" shapeId="0" xr:uid="{4DAAD8AC-8DE2-4F93-899C-D06155B835E9}">
      <text>
        <r>
          <rPr>
            <b/>
            <sz val="9"/>
            <color indexed="81"/>
            <rFont val="Tahoma"/>
            <family val="2"/>
          </rPr>
          <t>&lt;[[DEVDeals] - [Proxy Entities (Seq: 30)] Deal Entity Role - Both]&gt;</t>
        </r>
      </text>
    </comment>
    <comment ref="E165" authorId="0" shapeId="0" xr:uid="{CECC2BDC-4A00-4AC5-8C06-8F56A1AE0DFD}">
      <text>
        <r>
          <rPr>
            <b/>
            <sz val="9"/>
            <color indexed="81"/>
            <rFont val="Tahoma"/>
            <family val="2"/>
          </rPr>
          <t>&lt;[[DEVDeals] - [Proxy Entities (Seq: 30)] Name (Doing Business As) - Both]&gt;</t>
        </r>
      </text>
    </comment>
    <comment ref="F165" authorId="0" shapeId="0" xr:uid="{BB17FB77-1527-41CF-92AB-AF3127B68B9D}">
      <text>
        <r>
          <rPr>
            <b/>
            <sz val="9"/>
            <color indexed="81"/>
            <rFont val="Tahoma"/>
            <family val="2"/>
          </rPr>
          <t>&lt;[[DEVDeals] - [Proxy Entities (Seq: 30)] Address 1 - Both]&gt;</t>
        </r>
      </text>
    </comment>
    <comment ref="G165" authorId="0" shapeId="0" xr:uid="{FD67730A-9194-4FAD-A085-CA88B847A415}">
      <text>
        <r>
          <rPr>
            <b/>
            <sz val="9"/>
            <color indexed="81"/>
            <rFont val="Tahoma"/>
            <family val="2"/>
          </rPr>
          <t>&lt;[[DEVDeals] - [Proxy Entities (Seq: 30)] City - Both]&gt;</t>
        </r>
      </text>
    </comment>
    <comment ref="H165" authorId="0" shapeId="0" xr:uid="{A5A9D6A5-6CD9-4CC6-8F99-47E8579E77E7}">
      <text>
        <r>
          <rPr>
            <b/>
            <sz val="9"/>
            <color indexed="81"/>
            <rFont val="Tahoma"/>
            <family val="2"/>
          </rPr>
          <t>&lt;[[DEVDeals] - [Proxy Entities (Seq: 30)] State - Both]&gt;</t>
        </r>
      </text>
    </comment>
    <comment ref="I165" authorId="0" shapeId="0" xr:uid="{A5E6B99A-44FF-4239-9506-2E950881B085}">
      <text>
        <r>
          <rPr>
            <b/>
            <sz val="9"/>
            <color indexed="81"/>
            <rFont val="Tahoma"/>
            <family val="2"/>
          </rPr>
          <t>&lt;[[DEVDeals] - [Proxy Entities (Seq: 30)] Zip Code - Both]&gt;</t>
        </r>
      </text>
    </comment>
    <comment ref="J165" authorId="0" shapeId="0" xr:uid="{FBC3EE03-260D-44FB-A241-0E74740D8245}">
      <text>
        <r>
          <rPr>
            <b/>
            <sz val="9"/>
            <color indexed="81"/>
            <rFont val="Tahoma"/>
            <family val="2"/>
          </rPr>
          <t>&lt;[[DEVDeals] - [Proxy Entities (Seq: 30)] Email Address 1 - Both]&gt;</t>
        </r>
      </text>
    </comment>
    <comment ref="K165" authorId="0" shapeId="0" xr:uid="{E3EB0B0E-F958-4C6B-B08E-E4505A710C3C}">
      <text>
        <r>
          <rPr>
            <b/>
            <sz val="9"/>
            <color indexed="81"/>
            <rFont val="Tahoma"/>
            <family val="2"/>
          </rPr>
          <t>&lt;[[DEVDeals] - [Proxy Entities (Seq: 30)] Direct Phone - Both]&gt;</t>
        </r>
      </text>
    </comment>
    <comment ref="M165" authorId="0" shapeId="0" xr:uid="{8C4D71C9-97AE-4E0E-9BC1-317B47A567C1}">
      <text>
        <r>
          <rPr>
            <b/>
            <sz val="9"/>
            <color indexed="81"/>
            <rFont val="Tahoma"/>
            <family val="2"/>
          </rPr>
          <t>&lt;[[DEVDeals] - [Proxy Entities (Seq: 30)] Company or Individual? - Both]&gt;</t>
        </r>
      </text>
    </comment>
    <comment ref="D166" authorId="0" shapeId="0" xr:uid="{A820FF40-2CED-4AF3-94E6-B99159D7821F}">
      <text>
        <r>
          <rPr>
            <b/>
            <sz val="9"/>
            <color indexed="81"/>
            <rFont val="Tahoma"/>
            <family val="2"/>
          </rPr>
          <t>&lt;[[DEVDeals] - [Proxy Entities (Seq: 31)] Deal Entity Role - Both]&gt;</t>
        </r>
      </text>
    </comment>
    <comment ref="E166" authorId="0" shapeId="0" xr:uid="{4087200C-678B-4B9D-95E6-AC7988177C52}">
      <text>
        <r>
          <rPr>
            <b/>
            <sz val="9"/>
            <color indexed="81"/>
            <rFont val="Tahoma"/>
            <family val="2"/>
          </rPr>
          <t>&lt;[[DEVDeals] - [Proxy Entities (Seq: 31)] Name (Doing Business As) - Both]&gt;</t>
        </r>
      </text>
    </comment>
    <comment ref="F166" authorId="0" shapeId="0" xr:uid="{D710F82E-52AC-4FDA-BA82-7F3DABDF38BA}">
      <text>
        <r>
          <rPr>
            <b/>
            <sz val="9"/>
            <color indexed="81"/>
            <rFont val="Tahoma"/>
            <family val="2"/>
          </rPr>
          <t>&lt;[[DEVDeals] - [Proxy Entities (Seq: 31)] Address 1 - Both]&gt;</t>
        </r>
      </text>
    </comment>
    <comment ref="G166" authorId="0" shapeId="0" xr:uid="{3C0F093D-FC2F-4FC2-A57D-67A9E6433896}">
      <text>
        <r>
          <rPr>
            <b/>
            <sz val="9"/>
            <color indexed="81"/>
            <rFont val="Tahoma"/>
            <family val="2"/>
          </rPr>
          <t>&lt;[[DEVDeals] - [Proxy Entities (Seq: 31)] City - Both]&gt;</t>
        </r>
      </text>
    </comment>
    <comment ref="H166" authorId="0" shapeId="0" xr:uid="{82E6AD7D-1733-4037-86EA-27EF0772DF22}">
      <text>
        <r>
          <rPr>
            <b/>
            <sz val="9"/>
            <color indexed="81"/>
            <rFont val="Tahoma"/>
            <family val="2"/>
          </rPr>
          <t>&lt;[[DEVDeals] - [Proxy Entities (Seq: 31)] State - Both]&gt;</t>
        </r>
      </text>
    </comment>
    <comment ref="I166" authorId="0" shapeId="0" xr:uid="{0C42392D-C6F4-4B84-85E8-C51CB4B3F05D}">
      <text>
        <r>
          <rPr>
            <b/>
            <sz val="9"/>
            <color indexed="81"/>
            <rFont val="Tahoma"/>
            <family val="2"/>
          </rPr>
          <t>&lt;[[DEVDeals] - [Proxy Entities (Seq: 31)] Zip Code - Both]&gt;</t>
        </r>
      </text>
    </comment>
    <comment ref="J166" authorId="0" shapeId="0" xr:uid="{2D3D5B75-D3C1-4C3B-A876-3EA1EE2AEC0B}">
      <text>
        <r>
          <rPr>
            <b/>
            <sz val="9"/>
            <color indexed="81"/>
            <rFont val="Tahoma"/>
            <family val="2"/>
          </rPr>
          <t>&lt;[[DEVDeals] - [Proxy Entities (Seq: 31)] Email Address 1 - Both]&gt;</t>
        </r>
      </text>
    </comment>
    <comment ref="K166" authorId="0" shapeId="0" xr:uid="{9C38EDCE-A03B-4688-BEAC-1842DEAC499E}">
      <text>
        <r>
          <rPr>
            <b/>
            <sz val="9"/>
            <color indexed="81"/>
            <rFont val="Tahoma"/>
            <family val="2"/>
          </rPr>
          <t>&lt;[[DEVDeals] - [Proxy Entities (Seq: 31)] Direct Phone - Both]&gt;</t>
        </r>
      </text>
    </comment>
    <comment ref="M166" authorId="0" shapeId="0" xr:uid="{5620BAB0-E497-4FAE-AA7D-C1468593C10E}">
      <text>
        <r>
          <rPr>
            <b/>
            <sz val="9"/>
            <color indexed="81"/>
            <rFont val="Tahoma"/>
            <family val="2"/>
          </rPr>
          <t>&lt;[[DEVDeals] - [Proxy Entities (Seq: 31)] Company or Individual? - Both]&gt;</t>
        </r>
      </text>
    </comment>
    <comment ref="I171" authorId="0" shapeId="0" xr:uid="{6BF0E2D0-B60C-44B2-9ADE-DC7DB4879549}">
      <text>
        <r>
          <rPr>
            <b/>
            <sz val="9"/>
            <color indexed="81"/>
            <rFont val="Tahoma"/>
            <family val="2"/>
          </rPr>
          <t>&lt;[[DEVDeals] - [DEV User Defined Fields (Seq: 1)] Deal Information - Direct or indirect identity of interests / financial among the development team? (Y/N) - Both]&gt;</t>
        </r>
      </text>
    </comment>
    <comment ref="I172" authorId="0" shapeId="0" xr:uid="{513CC2CD-2E4C-4685-9177-77C70540BE05}">
      <text>
        <r>
          <rPr>
            <b/>
            <sz val="9"/>
            <color indexed="81"/>
            <rFont val="Tahoma"/>
            <family val="2"/>
          </rPr>
          <t>&lt;[[DEVDeals] - [DEV User Defined Fields (Seq: 1)] Deal Information - Direct or indirect identity of interests / financial among the development team? (Explain) - Both]&gt;</t>
        </r>
      </text>
    </comment>
    <comment ref="I173" authorId="0" shapeId="0" xr:uid="{0D459978-A03B-4C6A-9F86-AC394AE4569C}">
      <text>
        <r>
          <rPr>
            <b/>
            <sz val="9"/>
            <color indexed="81"/>
            <rFont val="Tahoma"/>
            <family val="2"/>
          </rPr>
          <t>&lt;[[DEVDeals] - [DEV User Defined Fields (Seq: 1)] Deal Information - Dev member in a project that has defaulted on a loan in the previous five years? (Y/N) - Both]&gt;</t>
        </r>
      </text>
    </comment>
    <comment ref="I174" authorId="0" shapeId="0" xr:uid="{E61D1D69-5A87-4A38-AE7D-6C83AD8B0C42}">
      <text>
        <r>
          <rPr>
            <b/>
            <sz val="9"/>
            <color indexed="81"/>
            <rFont val="Tahoma"/>
            <family val="2"/>
          </rPr>
          <t>&lt;[[DEVDeals] - [DEV User Defined Fields (Seq: 1)] Deal Information - Dev member in a project that has defaulted on a loan in the previous five years? (Explain) - Both]&gt;</t>
        </r>
      </text>
    </comment>
    <comment ref="I175" authorId="0" shapeId="0" xr:uid="{59782491-D124-4E4C-94CA-CACA56088CD0}">
      <text>
        <r>
          <rPr>
            <b/>
            <sz val="9"/>
            <color indexed="81"/>
            <rFont val="Tahoma"/>
            <family val="2"/>
          </rPr>
          <t>&lt;[[DEVDeals] - [DEV User Defined Fields (Seq: 1)] Deal Information - Dev member consistently failed to provide documentation required by the Department? (Y/N) - Both]&gt;</t>
        </r>
      </text>
    </comment>
    <comment ref="I176" authorId="0" shapeId="0" xr:uid="{CF843E46-D6B8-4695-A047-4C42FB5216FD}">
      <text>
        <r>
          <rPr>
            <b/>
            <sz val="9"/>
            <color indexed="81"/>
            <rFont val="Tahoma"/>
            <family val="2"/>
          </rPr>
          <t>&lt;[[DEVDeals] - [DEV User Defined Fields (Seq: 1)] Deal Information - Dev member consistently failed to provide documentation required by the Department? (Explain) - Both]&gt;</t>
        </r>
      </text>
    </comment>
    <comment ref="I177" authorId="0" shapeId="0" xr:uid="{06CC96BA-B62A-4C2B-BBE1-4473D6AD75A1}">
      <text>
        <r>
          <rPr>
            <b/>
            <sz val="9"/>
            <color indexed="81"/>
            <rFont val="Tahoma"/>
            <family val="2"/>
          </rPr>
          <t>&lt;[[DEVDeals] - [DEV User Defined Fields (Seq: 1)] Deal Information - Dev member have a denial of participation from HUD or is debarred / suspended? (Y/N) - Both]&gt;</t>
        </r>
      </text>
    </comment>
    <comment ref="I178" authorId="0" shapeId="0" xr:uid="{6439A871-3FA7-4337-9D4B-DE418BED502A}">
      <text>
        <r>
          <rPr>
            <b/>
            <sz val="9"/>
            <color indexed="81"/>
            <rFont val="Tahoma"/>
            <family val="2"/>
          </rPr>
          <t>&lt;[[DEVDeals] - [DEV User Defined Fields (Seq: 1)] Deal Information - Dev member have a denial of participation from HUD or is debarred / suspended? (Explain) - Both]&gt;</t>
        </r>
      </text>
    </comment>
    <comment ref="I179" authorId="0" shapeId="0" xr:uid="{1B4F8006-91CA-4CE0-AE17-5B392BE79C52}">
      <text>
        <r>
          <rPr>
            <b/>
            <sz val="9"/>
            <color indexed="81"/>
            <rFont val="Tahoma"/>
            <family val="2"/>
          </rPr>
          <t>&lt;[[DEVDeals] - [DEV User Defined Fields (Seq: 1)] Deal Information - Dev member have chronic past due accounts, substantial liens within the past 5 years? (Y/N) - Both]&gt;</t>
        </r>
      </text>
    </comment>
    <comment ref="I180" authorId="0" shapeId="0" xr:uid="{7C67F34A-87C2-4134-9CCA-A005E64F0F8C}">
      <text>
        <r>
          <rPr>
            <b/>
            <sz val="9"/>
            <color indexed="81"/>
            <rFont val="Tahoma"/>
            <family val="2"/>
          </rPr>
          <t>&lt;[[DEVDeals] - [DEV User Defined Fields (Seq: 1)] Deal Information - Dev member have chronic past due accounts, substantial liens within the past 5 years? (Explain) - Both]&gt;</t>
        </r>
      </text>
    </comment>
    <comment ref="I181" authorId="0" shapeId="0" xr:uid="{4166E48A-FC48-4480-990A-0BC30BC46703}">
      <text>
        <r>
          <rPr>
            <b/>
            <sz val="9"/>
            <color indexed="81"/>
            <rFont val="Tahoma"/>
            <family val="2"/>
          </rPr>
          <t>&lt;[[DEVDeals] - [DEV User Defined Fields (Seq: 1)] Deal Information - Dev member involved with any project on Department's defaulted loans watch list? (Y/N) - Both]&gt;</t>
        </r>
      </text>
    </comment>
    <comment ref="I182" authorId="0" shapeId="0" xr:uid="{18CDB44C-485A-4059-8669-1600EF91D1D8}">
      <text>
        <r>
          <rPr>
            <b/>
            <sz val="9"/>
            <color indexed="81"/>
            <rFont val="Tahoma"/>
            <family val="2"/>
          </rPr>
          <t>&lt;[[DEVDeals] - [DEV User Defined Fields (Seq: 1)] Deal Information - Dev member involved with any project on Department's defaulted loans watch list? (Explain) - Both]&gt;</t>
        </r>
      </text>
    </comment>
    <comment ref="I183" authorId="0" shapeId="0" xr:uid="{2AE67E0B-3784-41B2-A3B4-219D0CAE576D}">
      <text>
        <r>
          <rPr>
            <b/>
            <sz val="9"/>
            <color indexed="81"/>
            <rFont val="Tahoma"/>
            <family val="2"/>
          </rPr>
          <t>&lt;[[DEVDeals] - [DEV User Defined Fields (Seq: 1)] Deal Information - Dev member received reservation it was unable to use within time allowed? (Y/N) - Both]&gt;</t>
        </r>
      </text>
    </comment>
    <comment ref="I184" authorId="0" shapeId="0" xr:uid="{A3EBB6AC-76AA-4F18-A309-FC4A257F158E}">
      <text>
        <r>
          <rPr>
            <b/>
            <sz val="9"/>
            <color indexed="81"/>
            <rFont val="Tahoma"/>
            <family val="2"/>
          </rPr>
          <t>&lt;[[DEVDeals] - [DEV User Defined Fields (Seq: 1)] Deal Information - Dev member received reservation it was unable to use within time allowed? (Explain) - Both]&gt;</t>
        </r>
      </text>
    </comment>
    <comment ref="I185" authorId="0" shapeId="0" xr:uid="{8B594ABF-1125-4309-A0CE-FABA9E1ABC1B}">
      <text>
        <r>
          <rPr>
            <b/>
            <sz val="9"/>
            <color indexed="81"/>
            <rFont val="Tahoma"/>
            <family val="2"/>
          </rPr>
          <t>&lt;[[DEVDeals] - [DEV User Defined Fields (Seq: 1)] Deal Information - Dev member issued an IRS Form 8823 that is outstanding in the following year?  (Y/N) - Both]&gt;</t>
        </r>
      </text>
    </comment>
    <comment ref="I186" authorId="0" shapeId="0" xr:uid="{81A7736F-6FD5-4152-8525-42340E999A01}">
      <text>
        <r>
          <rPr>
            <b/>
            <sz val="9"/>
            <color indexed="81"/>
            <rFont val="Tahoma"/>
            <family val="2"/>
          </rPr>
          <t>&lt;[[DEVDeals] - [DEV User Defined Fields (Seq: 1)] Deal Information - Dev member issued an IRS Form 8823 that is outstanding in the following year? (Explain) - Both]&gt;</t>
        </r>
      </text>
    </comment>
    <comment ref="U191" authorId="0" shapeId="0" xr:uid="{1A0D0D49-8476-4462-959A-435702C2AAD4}">
      <text>
        <r>
          <rPr>
            <b/>
            <sz val="9"/>
            <color indexed="81"/>
            <rFont val="Tahoma"/>
            <family val="2"/>
          </rPr>
          <t>&lt;[[DEVDeals] - [Associated TC Deal (Seq: 1)] - [TC Property Current Stage (Seq: 1)] - [Buildings (Seq: 1)] Address 1 - Both]&gt;</t>
        </r>
      </text>
    </comment>
    <comment ref="V191" authorId="0" shapeId="0" xr:uid="{2E2BDD44-D950-4ABD-9F36-E0B05B455EFB}">
      <text>
        <r>
          <rPr>
            <b/>
            <sz val="9"/>
            <color indexed="81"/>
            <rFont val="Tahoma"/>
            <family val="2"/>
          </rPr>
          <t>&lt;[[DEVDeals] - [Associated TC Deal (Seq: 1)] - [TC Property Current Stage (Seq: 1)] - [Buildings (Seq: 1)] City - Both]&gt;</t>
        </r>
      </text>
    </comment>
    <comment ref="W191" authorId="0" shapeId="0" xr:uid="{A2756896-13A2-4DFB-B236-AFF8D5FA3B04}">
      <text>
        <r>
          <rPr>
            <b/>
            <sz val="9"/>
            <color indexed="81"/>
            <rFont val="Tahoma"/>
            <family val="2"/>
          </rPr>
          <t>&lt;[[DEVDeals] - [Associated TC Deal (Seq: 1)] - [TC Property Current Stage (Seq: 1)] - [Buildings (Seq: 1)] State - Both]&gt;</t>
        </r>
      </text>
    </comment>
    <comment ref="X191" authorId="0" shapeId="0" xr:uid="{40E6AC96-02F3-444F-82F6-B95AFC13B737}">
      <text>
        <r>
          <rPr>
            <b/>
            <sz val="9"/>
            <color indexed="81"/>
            <rFont val="Tahoma"/>
            <family val="2"/>
          </rPr>
          <t>&lt;[[DEVDeals] - [Associated TC Deal (Seq: 1)] - [TC Property Current Stage (Seq: 1)] - [Buildings (Seq: 1)] Zip Code - Both]&gt;</t>
        </r>
      </text>
    </comment>
    <comment ref="Y191" authorId="0" shapeId="0" xr:uid="{9AFD4123-C760-4E73-B0F6-355765AF6019}">
      <text>
        <r>
          <rPr>
            <b/>
            <sz val="9"/>
            <color indexed="81"/>
            <rFont val="Tahoma"/>
            <family val="2"/>
          </rPr>
          <t>&lt;[[DEVDeals] - [Associated TC Deal (Seq: 1)] - [TC Property Current Stage (Seq: 1)] - [Buildings (Seq: 1)] BIN - Both]&gt;</t>
        </r>
      </text>
    </comment>
    <comment ref="AA191" authorId="0" shapeId="0" xr:uid="{8BF07064-9944-4823-A5D0-79973AC2FF40}">
      <text>
        <r>
          <rPr>
            <b/>
            <sz val="9"/>
            <color indexed="81"/>
            <rFont val="Tahoma"/>
            <family val="2"/>
          </rPr>
          <t>&lt;[[DEVDeals] - [Associated TC Deal (Seq: 1)] - [TC Property Current Stage (Seq: 1)] - [Buildings (Seq: 1)] Num TC Units - Both]&gt;</t>
        </r>
      </text>
    </comment>
    <comment ref="AB191" authorId="0" shapeId="0" xr:uid="{7A67983D-CA73-4FE8-8A5D-EFA2D2864DC8}">
      <text>
        <r>
          <rPr>
            <b/>
            <sz val="9"/>
            <color indexed="81"/>
            <rFont val="Tahoma"/>
            <family val="2"/>
          </rPr>
          <t>&lt;[[DEVDeals] - [Associated TC Deal (Seq: 1)] - [TC Property Current Stage (Seq: 1)] - [Buildings (Seq: 1)] - [Buildings - User Defined Field Values (Seq: 1)] Building Info - Total Square Footage - Both]&gt;</t>
        </r>
      </text>
    </comment>
    <comment ref="AC191" authorId="0" shapeId="0" xr:uid="{61FF3B71-21AF-4B0D-B09E-8E74DFDF3661}">
      <text>
        <r>
          <rPr>
            <b/>
            <sz val="9"/>
            <color indexed="81"/>
            <rFont val="Tahoma"/>
            <family val="2"/>
          </rPr>
          <t>&lt;[[DEVDeals] - [Associated TC Deal (Seq: 1)] - [TC Property Current Stage (Seq: 1)] - [Buildings (Seq: 1)] - [Buildings - User Defined Field Values (Seq: 1)] Building Info - Restricted Unit Square Footage - Both]&gt;</t>
        </r>
      </text>
    </comment>
    <comment ref="AD191" authorId="0" shapeId="0" xr:uid="{8F3AC680-F8E8-456B-8E12-DE554731A9A5}">
      <text>
        <r>
          <rPr>
            <b/>
            <sz val="9"/>
            <color indexed="81"/>
            <rFont val="Tahoma"/>
            <family val="2"/>
          </rPr>
          <t>&lt;[[DEVDeals] - [Associated TC Deal (Seq: 1)] - [TC Property Current Stage (Seq: 1)] - [Buildings (Seq: 1)] Applicable Fraction - Both]&gt;</t>
        </r>
      </text>
    </comment>
    <comment ref="AE191" authorId="0" shapeId="0" xr:uid="{779F1180-0C94-43FA-AD63-32275E39173E}">
      <text>
        <r>
          <rPr>
            <b/>
            <sz val="9"/>
            <color indexed="81"/>
            <rFont val="Tahoma"/>
            <family val="2"/>
          </rPr>
          <t>&lt;[[DEVDeals] - [Associated TC Deal (Seq: 1)] - [TC Property Current Stage (Seq: 1)] - [Buildings (Seq: 1)] - [Buildings - User Defined Field Values (Seq: 1)] Building Info - Year Built - Both]&gt;</t>
        </r>
      </text>
    </comment>
    <comment ref="AF191" authorId="0" shapeId="0" xr:uid="{03F374D9-E352-4328-B46A-AE5D498D2A18}">
      <text>
        <r>
          <rPr>
            <b/>
            <sz val="9"/>
            <color indexed="81"/>
            <rFont val="Tahoma"/>
            <family val="2"/>
          </rPr>
          <t>&lt;[[DEVDeals] - [Associated TC Deal (Seq: 1)] - [TC Property Current Stage (Seq: 1)] - [Buildings (Seq: 1)] - [Buildings - User Defined Field Values (Seq: 1)] Building Info - Building Type - Both]&gt;</t>
        </r>
      </text>
    </comment>
    <comment ref="AG191" authorId="0" shapeId="0" xr:uid="{D7B7CF35-8CD8-407B-95FB-213F732B39EF}">
      <text>
        <r>
          <rPr>
            <b/>
            <sz val="9"/>
            <color indexed="81"/>
            <rFont val="Tahoma"/>
            <family val="2"/>
          </rPr>
          <t>&lt;[[DEVDeals] - [Associated TC Deal (Seq: 1)] - [TC Property Current Stage (Seq: 1)] - [Buildings (Seq: 1)] Num Mkt Units - Both]&gt;</t>
        </r>
      </text>
    </comment>
    <comment ref="AH191" authorId="0" shapeId="0" xr:uid="{0F733384-E4FD-4075-A60A-3CEF63EB464D}">
      <text>
        <r>
          <rPr>
            <b/>
            <sz val="9"/>
            <color indexed="81"/>
            <rFont val="Tahoma"/>
            <family val="2"/>
          </rPr>
          <t>&lt;[[DEVDeals] - [Associated TC Deal (Seq: 1)] - [TC Property Current Stage (Seq: 1)] - [Buildings (Seq: 1)] - [Buildings - User Defined Field Values (Seq: 1)] Building Info - Date Last Placed in Service - Both]&gt;</t>
        </r>
      </text>
    </comment>
    <comment ref="AI191" authorId="0" shapeId="0" xr:uid="{1D5538E7-E88C-4450-92E7-99674BBBD611}">
      <text>
        <r>
          <rPr>
            <b/>
            <sz val="9"/>
            <color indexed="81"/>
            <rFont val="Tahoma"/>
            <family val="2"/>
          </rPr>
          <t>&lt;[[DEVDeals] - [Associated TC Deal (Seq: 1)] - [TC Property Current Stage (Seq: 1)] - [Buildings (Seq: 1)] - [Buildings - User Defined Field Values (Seq: 1)] Building Info - Sponsor's Purchase Date - Both]&gt;</t>
        </r>
      </text>
    </comment>
    <comment ref="AJ191" authorId="0" shapeId="0" xr:uid="{FFD62828-E60C-42DD-B3B3-FAFC0D09CE81}">
      <text>
        <r>
          <rPr>
            <b/>
            <sz val="9"/>
            <color indexed="81"/>
            <rFont val="Tahoma"/>
            <family val="2"/>
          </rPr>
          <t>&lt;[[DEVDeals] - [Associated TC Deal (Seq: 1)] - [TC Property Current Stage (Seq: 1)] - [Buildings (Seq: 1)] - [Buildings - User Defined Field Values (Seq: 1)] Building Info - Years Between PIS &amp; Purchase Date - Both]&gt;</t>
        </r>
      </text>
    </comment>
    <comment ref="AK191" authorId="0" shapeId="0" xr:uid="{E2891526-AA4A-4C5F-A9DB-B1E41096D6C1}">
      <text>
        <r>
          <rPr>
            <b/>
            <sz val="9"/>
            <color indexed="81"/>
            <rFont val="Tahoma"/>
            <family val="2"/>
          </rPr>
          <t>&lt;[[DEVDeals] - [Associated TC Deal (Seq: 1)] - [TC Property Current Stage (Seq: 1)] - [Buildings (Seq: 1)] Federal Minimum Set Aside Id - Both]&gt;</t>
        </r>
      </text>
    </comment>
    <comment ref="U192" authorId="0" shapeId="0" xr:uid="{3207432E-E185-416E-951E-F1B6471B0942}">
      <text>
        <r>
          <rPr>
            <b/>
            <sz val="9"/>
            <color indexed="81"/>
            <rFont val="Tahoma"/>
            <family val="2"/>
          </rPr>
          <t>&lt;[[DEVDeals] - [Associated TC Deal (Seq: 1)] - [TC Property Current Stage (Seq: 1)] - [Buildings (Seq: 2)] Address 1 - Both]&gt;</t>
        </r>
      </text>
    </comment>
    <comment ref="V192" authorId="0" shapeId="0" xr:uid="{6136BA6B-8D73-48E9-93D8-F009A20F29AE}">
      <text>
        <r>
          <rPr>
            <b/>
            <sz val="9"/>
            <color indexed="81"/>
            <rFont val="Tahoma"/>
            <family val="2"/>
          </rPr>
          <t>&lt;[[DEVDeals] - [Associated TC Deal (Seq: 1)] - [TC Property Current Stage (Seq: 1)] - [Buildings (Seq: 2)] City - Both]&gt;</t>
        </r>
      </text>
    </comment>
    <comment ref="W192" authorId="0" shapeId="0" xr:uid="{EC878143-400B-48BC-AE89-E549D5E643A9}">
      <text>
        <r>
          <rPr>
            <b/>
            <sz val="9"/>
            <color indexed="81"/>
            <rFont val="Tahoma"/>
            <family val="2"/>
          </rPr>
          <t>&lt;[[DEVDeals] - [Associated TC Deal (Seq: 1)] - [TC Property Current Stage (Seq: 1)] - [Buildings (Seq: 2)] State - Both]&gt;</t>
        </r>
      </text>
    </comment>
    <comment ref="X192" authorId="0" shapeId="0" xr:uid="{73DCCACE-09BA-4ADB-B39A-B629CDFF003B}">
      <text>
        <r>
          <rPr>
            <b/>
            <sz val="9"/>
            <color indexed="81"/>
            <rFont val="Tahoma"/>
            <family val="2"/>
          </rPr>
          <t>&lt;[[DEVDeals] - [Associated TC Deal (Seq: 1)] - [TC Property Current Stage (Seq: 1)] - [Buildings (Seq: 2)] Zip Code - Both]&gt;</t>
        </r>
      </text>
    </comment>
    <comment ref="Y192" authorId="0" shapeId="0" xr:uid="{D34287EB-1055-441D-A3D5-672A0F56E146}">
      <text>
        <r>
          <rPr>
            <b/>
            <sz val="9"/>
            <color indexed="81"/>
            <rFont val="Tahoma"/>
            <family val="2"/>
          </rPr>
          <t>&lt;[[DEVDeals] - [Associated TC Deal (Seq: 1)] - [TC Property Current Stage (Seq: 1)] - [Buildings (Seq: 2)] BIN - Both]&gt;</t>
        </r>
      </text>
    </comment>
    <comment ref="AA192" authorId="0" shapeId="0" xr:uid="{5EE988FB-F960-48EF-BBBF-E9CF4542B285}">
      <text>
        <r>
          <rPr>
            <b/>
            <sz val="9"/>
            <color indexed="81"/>
            <rFont val="Tahoma"/>
            <family val="2"/>
          </rPr>
          <t>&lt;[[DEVDeals] - [Associated TC Deal (Seq: 1)] - [TC Property Current Stage (Seq: 1)] - [Buildings (Seq: 2)] Num TC Units - Both]&gt;</t>
        </r>
      </text>
    </comment>
    <comment ref="AB192" authorId="0" shapeId="0" xr:uid="{6F8A838E-3F82-4838-AB99-533F9E7106EE}">
      <text>
        <r>
          <rPr>
            <b/>
            <sz val="9"/>
            <color indexed="81"/>
            <rFont val="Tahoma"/>
            <family val="2"/>
          </rPr>
          <t>&lt;[[DEVDeals] - [Associated TC Deal (Seq: 1)] - [TC Property Current Stage (Seq: 1)] - [Buildings (Seq: 2)] - [Buildings - User Defined Field Values (Seq: 1)] Building Info - Total Square Footage - Both]&gt;</t>
        </r>
      </text>
    </comment>
    <comment ref="AC192" authorId="0" shapeId="0" xr:uid="{DB09AC31-D7EA-4C3D-ACBD-F7A4A3D31F31}">
      <text>
        <r>
          <rPr>
            <b/>
            <sz val="9"/>
            <color indexed="81"/>
            <rFont val="Tahoma"/>
            <family val="2"/>
          </rPr>
          <t>&lt;[[DEVDeals] - [Associated TC Deal (Seq: 1)] - [TC Property Current Stage (Seq: 1)] - [Buildings (Seq: 2)] - [Buildings - User Defined Field Values (Seq: 1)] Building Info - Restricted Unit Square Footage - Both]&gt;</t>
        </r>
      </text>
    </comment>
    <comment ref="AD192" authorId="0" shapeId="0" xr:uid="{322B00B2-30B4-4D42-B613-FAE7F9EBB21B}">
      <text>
        <r>
          <rPr>
            <b/>
            <sz val="9"/>
            <color indexed="81"/>
            <rFont val="Tahoma"/>
            <family val="2"/>
          </rPr>
          <t>&lt;[[DEVDeals] - [Associated TC Deal (Seq: 1)] - [TC Property Current Stage (Seq: 1)] - [Buildings (Seq: 2)] Applicable Fraction - Both]&gt;</t>
        </r>
      </text>
    </comment>
    <comment ref="AE192" authorId="0" shapeId="0" xr:uid="{8B3D5BB3-D351-49ED-A380-000972DD057E}">
      <text>
        <r>
          <rPr>
            <b/>
            <sz val="9"/>
            <color indexed="81"/>
            <rFont val="Tahoma"/>
            <family val="2"/>
          </rPr>
          <t>&lt;[[DEVDeals] - [Associated TC Deal (Seq: 1)] - [TC Property Current Stage (Seq: 1)] - [Buildings (Seq: 2)] - [Buildings - User Defined Field Values (Seq: 1)] Building Info - Year Built - Both]&gt;</t>
        </r>
      </text>
    </comment>
    <comment ref="AF192" authorId="0" shapeId="0" xr:uid="{196E976F-8C69-4FE4-9A86-12D45523F15E}">
      <text>
        <r>
          <rPr>
            <b/>
            <sz val="9"/>
            <color indexed="81"/>
            <rFont val="Tahoma"/>
            <family val="2"/>
          </rPr>
          <t>&lt;[[DEVDeals] - [Associated TC Deal (Seq: 1)] - [TC Property Current Stage (Seq: 1)] - [Buildings (Seq: 2)] - [Buildings - User Defined Field Values (Seq: 1)] Building Info - Building Type - Both]&gt;</t>
        </r>
      </text>
    </comment>
    <comment ref="AG192" authorId="0" shapeId="0" xr:uid="{209ADE39-6E28-4043-9926-196FB0DC7100}">
      <text>
        <r>
          <rPr>
            <b/>
            <sz val="9"/>
            <color indexed="81"/>
            <rFont val="Tahoma"/>
            <family val="2"/>
          </rPr>
          <t>&lt;[[DEVDeals] - [Associated TC Deal (Seq: 1)] - [TC Property Current Stage (Seq: 1)] - [Buildings (Seq: 2)] Num Mkt Units - Both]&gt;</t>
        </r>
      </text>
    </comment>
    <comment ref="AH192" authorId="0" shapeId="0" xr:uid="{9BDD4413-735F-4DC9-B050-C4E6E749EC67}">
      <text>
        <r>
          <rPr>
            <b/>
            <sz val="9"/>
            <color indexed="81"/>
            <rFont val="Tahoma"/>
            <family val="2"/>
          </rPr>
          <t>&lt;[[DEVDeals] - [Associated TC Deal (Seq: 1)] - [TC Property Current Stage (Seq: 1)] - [Buildings (Seq: 2)] - [Buildings - User Defined Field Values (Seq: 1)] Building Info - Date Last Placed in Service - Both]&gt;</t>
        </r>
      </text>
    </comment>
    <comment ref="AI192" authorId="0" shapeId="0" xr:uid="{8D4B7544-0493-4901-9742-2B6F9F6C2FF0}">
      <text>
        <r>
          <rPr>
            <b/>
            <sz val="9"/>
            <color indexed="81"/>
            <rFont val="Tahoma"/>
            <family val="2"/>
          </rPr>
          <t>&lt;[[DEVDeals] - [Associated TC Deal (Seq: 1)] - [TC Property Current Stage (Seq: 1)] - [Buildings (Seq: 2)] - [Buildings - User Defined Field Values (Seq: 1)] Building Info - Sponsor's Purchase Date - Both]&gt;</t>
        </r>
      </text>
    </comment>
    <comment ref="AJ192" authorId="0" shapeId="0" xr:uid="{0CDE7371-6272-43A3-BA1D-560486AE2B35}">
      <text>
        <r>
          <rPr>
            <b/>
            <sz val="9"/>
            <color indexed="81"/>
            <rFont val="Tahoma"/>
            <family val="2"/>
          </rPr>
          <t>&lt;[[DEVDeals] - [Associated TC Deal (Seq: 1)] - [TC Property Current Stage (Seq: 1)] - [Buildings (Seq: 2)] - [Buildings - User Defined Field Values (Seq: 1)] Building Info - Years Between PIS &amp; Purchase Date - Both]&gt;</t>
        </r>
      </text>
    </comment>
    <comment ref="AK192" authorId="0" shapeId="0" xr:uid="{9DED5CC8-4FC8-49DF-A6AE-0AEEAA298E5F}">
      <text>
        <r>
          <rPr>
            <b/>
            <sz val="9"/>
            <color indexed="81"/>
            <rFont val="Tahoma"/>
            <family val="2"/>
          </rPr>
          <t>&lt;[[DEVDeals] - [Associated TC Deal (Seq: 1)] - [TC Property Current Stage (Seq: 1)] - [Buildings (Seq: 2)] Federal Minimum Set Aside Id - Both]&gt;</t>
        </r>
      </text>
    </comment>
    <comment ref="U193" authorId="0" shapeId="0" xr:uid="{D1F31637-6FD3-4FE9-BDB8-13490F964131}">
      <text>
        <r>
          <rPr>
            <b/>
            <sz val="9"/>
            <color indexed="81"/>
            <rFont val="Tahoma"/>
            <family val="2"/>
          </rPr>
          <t>&lt;[[DEVDeals] - [Associated TC Deal (Seq: 1)] - [TC Property Current Stage (Seq: 1)] - [Buildings (Seq: 3)] Address 1 - Both]&gt;</t>
        </r>
      </text>
    </comment>
    <comment ref="V193" authorId="0" shapeId="0" xr:uid="{CA4DE7E0-20FC-4CC9-95EF-D7E13C874763}">
      <text>
        <r>
          <rPr>
            <b/>
            <sz val="9"/>
            <color indexed="81"/>
            <rFont val="Tahoma"/>
            <family val="2"/>
          </rPr>
          <t>&lt;[[DEVDeals] - [Associated TC Deal (Seq: 1)] - [TC Property Current Stage (Seq: 1)] - [Buildings (Seq: 3)] City - Both]&gt;</t>
        </r>
      </text>
    </comment>
    <comment ref="W193" authorId="0" shapeId="0" xr:uid="{998058E3-320C-4529-8961-50047D0ADEFC}">
      <text>
        <r>
          <rPr>
            <b/>
            <sz val="9"/>
            <color indexed="81"/>
            <rFont val="Tahoma"/>
            <family val="2"/>
          </rPr>
          <t>&lt;[[DEVDeals] - [Associated TC Deal (Seq: 1)] - [TC Property Current Stage (Seq: 1)] - [Buildings (Seq: 3)] State - Both]&gt;</t>
        </r>
      </text>
    </comment>
    <comment ref="X193" authorId="0" shapeId="0" xr:uid="{12F53E09-9414-4069-92B1-A86C91AF564B}">
      <text>
        <r>
          <rPr>
            <b/>
            <sz val="9"/>
            <color indexed="81"/>
            <rFont val="Tahoma"/>
            <family val="2"/>
          </rPr>
          <t>&lt;[[DEVDeals] - [Associated TC Deal (Seq: 1)] - [TC Property Current Stage (Seq: 1)] - [Buildings (Seq: 3)] Zip Code - Both]&gt;</t>
        </r>
      </text>
    </comment>
    <comment ref="Y193" authorId="0" shapeId="0" xr:uid="{661EDF4F-0463-4BFB-863F-5FA19F7DB3C1}">
      <text>
        <r>
          <rPr>
            <b/>
            <sz val="9"/>
            <color indexed="81"/>
            <rFont val="Tahoma"/>
            <family val="2"/>
          </rPr>
          <t>&lt;[[DEVDeals] - [Associated TC Deal (Seq: 1)] - [TC Property Current Stage (Seq: 1)] - [Buildings (Seq: 3)] BIN - Both]&gt;</t>
        </r>
      </text>
    </comment>
    <comment ref="AA193" authorId="0" shapeId="0" xr:uid="{D98BDC2C-A652-4753-94E0-F935B7F02225}">
      <text>
        <r>
          <rPr>
            <b/>
            <sz val="9"/>
            <color indexed="81"/>
            <rFont val="Tahoma"/>
            <family val="2"/>
          </rPr>
          <t>&lt;[[DEVDeals] - [Associated TC Deal (Seq: 1)] - [TC Property Current Stage (Seq: 1)] - [Buildings (Seq: 3)] Num TC Units - Both]&gt;</t>
        </r>
      </text>
    </comment>
    <comment ref="AB193" authorId="0" shapeId="0" xr:uid="{145457B1-43FA-4274-BB09-2A7D4DC82401}">
      <text>
        <r>
          <rPr>
            <b/>
            <sz val="9"/>
            <color indexed="81"/>
            <rFont val="Tahoma"/>
            <family val="2"/>
          </rPr>
          <t>&lt;[[DEVDeals] - [Associated TC Deal (Seq: 1)] - [TC Property Current Stage (Seq: 1)] - [Buildings (Seq: 3)] - [Buildings - User Defined Field Values (Seq: 1)] Building Info - Total Square Footage - Both]&gt;</t>
        </r>
      </text>
    </comment>
    <comment ref="AC193" authorId="0" shapeId="0" xr:uid="{02AB0A97-4FF3-4CC9-83E8-C223068DE74C}">
      <text>
        <r>
          <rPr>
            <b/>
            <sz val="9"/>
            <color indexed="81"/>
            <rFont val="Tahoma"/>
            <family val="2"/>
          </rPr>
          <t>&lt;[[DEVDeals] - [Associated TC Deal (Seq: 1)] - [TC Property Current Stage (Seq: 1)] - [Buildings (Seq: 3)] - [Buildings - User Defined Field Values (Seq: 1)] Building Info - Restricted Unit Square Footage - Both]&gt;</t>
        </r>
      </text>
    </comment>
    <comment ref="AD193" authorId="0" shapeId="0" xr:uid="{46CFC027-038C-4A96-9DC1-8B08F47AB69F}">
      <text>
        <r>
          <rPr>
            <b/>
            <sz val="9"/>
            <color indexed="81"/>
            <rFont val="Tahoma"/>
            <family val="2"/>
          </rPr>
          <t>&lt;[[DEVDeals] - [Associated TC Deal (Seq: 1)] - [TC Property Current Stage (Seq: 1)] - [Buildings (Seq: 3)] Applicable Fraction - Both]&gt;</t>
        </r>
      </text>
    </comment>
    <comment ref="AE193" authorId="0" shapeId="0" xr:uid="{60F9E5ED-FD46-4072-8F86-8922875FAF47}">
      <text>
        <r>
          <rPr>
            <b/>
            <sz val="9"/>
            <color indexed="81"/>
            <rFont val="Tahoma"/>
            <family val="2"/>
          </rPr>
          <t>&lt;[[DEVDeals] - [Associated TC Deal (Seq: 1)] - [TC Property Current Stage (Seq: 1)] - [Buildings (Seq: 3)] - [Buildings - User Defined Field Values (Seq: 1)] Building Info - Year Built - Both]&gt;</t>
        </r>
      </text>
    </comment>
    <comment ref="AF193" authorId="0" shapeId="0" xr:uid="{F5C3A247-C4B4-4FAC-9667-735654F6272F}">
      <text>
        <r>
          <rPr>
            <b/>
            <sz val="9"/>
            <color indexed="81"/>
            <rFont val="Tahoma"/>
            <family val="2"/>
          </rPr>
          <t>&lt;[[DEVDeals] - [Associated TC Deal (Seq: 1)] - [TC Property Current Stage (Seq: 1)] - [Buildings (Seq: 3)] - [Buildings - User Defined Field Values (Seq: 1)] Building Info - Building Type - Both]&gt;</t>
        </r>
      </text>
    </comment>
    <comment ref="AG193" authorId="0" shapeId="0" xr:uid="{B59A76EF-22A6-48B1-AC9B-465CA8AEB33F}">
      <text>
        <r>
          <rPr>
            <b/>
            <sz val="9"/>
            <color indexed="81"/>
            <rFont val="Tahoma"/>
            <family val="2"/>
          </rPr>
          <t>&lt;[[DEVDeals] - [Associated TC Deal (Seq: 1)] - [TC Property Current Stage (Seq: 1)] - [Buildings (Seq: 3)] Num Mkt Units - Both]&gt;</t>
        </r>
      </text>
    </comment>
    <comment ref="AH193" authorId="0" shapeId="0" xr:uid="{2A43E42C-0249-4F16-A8A5-5CA6BF4F9756}">
      <text>
        <r>
          <rPr>
            <b/>
            <sz val="9"/>
            <color indexed="81"/>
            <rFont val="Tahoma"/>
            <family val="2"/>
          </rPr>
          <t>&lt;[[DEVDeals] - [Associated TC Deal (Seq: 1)] - [TC Property Current Stage (Seq: 1)] - [Buildings (Seq: 3)] - [Buildings - User Defined Field Values (Seq: 1)] Building Info - Date Last Placed in Service - Both]&gt;</t>
        </r>
      </text>
    </comment>
    <comment ref="AI193" authorId="0" shapeId="0" xr:uid="{39807BBD-9B99-4E1A-8528-D981638BD718}">
      <text>
        <r>
          <rPr>
            <b/>
            <sz val="9"/>
            <color indexed="81"/>
            <rFont val="Tahoma"/>
            <family val="2"/>
          </rPr>
          <t>&lt;[[DEVDeals] - [Associated TC Deal (Seq: 1)] - [TC Property Current Stage (Seq: 1)] - [Buildings (Seq: 3)] - [Buildings - User Defined Field Values (Seq: 1)] Building Info - Sponsor's Purchase Date - Both]&gt;</t>
        </r>
      </text>
    </comment>
    <comment ref="AJ193" authorId="0" shapeId="0" xr:uid="{205B0FAC-6EA7-4E96-B93A-BD47667DBAB6}">
      <text>
        <r>
          <rPr>
            <b/>
            <sz val="9"/>
            <color indexed="81"/>
            <rFont val="Tahoma"/>
            <family val="2"/>
          </rPr>
          <t>&lt;[[DEVDeals] - [Associated TC Deal (Seq: 1)] - [TC Property Current Stage (Seq: 1)] - [Buildings (Seq: 3)] - [Buildings - User Defined Field Values (Seq: 1)] Building Info - Years Between PIS &amp; Purchase Date - Both]&gt;</t>
        </r>
      </text>
    </comment>
    <comment ref="AK193" authorId="0" shapeId="0" xr:uid="{3FF5A9C2-82A6-4D8C-829E-612FE0CA7252}">
      <text>
        <r>
          <rPr>
            <b/>
            <sz val="9"/>
            <color indexed="81"/>
            <rFont val="Tahoma"/>
            <family val="2"/>
          </rPr>
          <t>&lt;[[DEVDeals] - [Associated TC Deal (Seq: 1)] - [TC Property Current Stage (Seq: 1)] - [Buildings (Seq: 3)] Federal Minimum Set Aside Id - Both]&gt;</t>
        </r>
      </text>
    </comment>
    <comment ref="U194" authorId="0" shapeId="0" xr:uid="{98D41D55-D8AD-46F1-B7FE-091F9AE5A860}">
      <text>
        <r>
          <rPr>
            <b/>
            <sz val="9"/>
            <color indexed="81"/>
            <rFont val="Tahoma"/>
            <family val="2"/>
          </rPr>
          <t>&lt;[[DEVDeals] - [Associated TC Deal (Seq: 1)] - [TC Property Current Stage (Seq: 1)] - [Buildings (Seq: 4)] Address 1 - Both]&gt;</t>
        </r>
      </text>
    </comment>
    <comment ref="V194" authorId="0" shapeId="0" xr:uid="{48D770D1-017D-4456-A951-6008C1C4F346}">
      <text>
        <r>
          <rPr>
            <b/>
            <sz val="9"/>
            <color indexed="81"/>
            <rFont val="Tahoma"/>
            <family val="2"/>
          </rPr>
          <t>&lt;[[DEVDeals] - [Associated TC Deal (Seq: 1)] - [TC Property Current Stage (Seq: 1)] - [Buildings (Seq: 4)] City - Both]&gt;</t>
        </r>
      </text>
    </comment>
    <comment ref="W194" authorId="0" shapeId="0" xr:uid="{C16E3C04-B133-422E-9658-E30B9554229A}">
      <text>
        <r>
          <rPr>
            <b/>
            <sz val="9"/>
            <color indexed="81"/>
            <rFont val="Tahoma"/>
            <family val="2"/>
          </rPr>
          <t>&lt;[[DEVDeals] - [Associated TC Deal (Seq: 1)] - [TC Property Current Stage (Seq: 1)] - [Buildings (Seq: 4)] State - Both]&gt;</t>
        </r>
      </text>
    </comment>
    <comment ref="X194" authorId="0" shapeId="0" xr:uid="{EB60A067-D057-4A53-AC12-5A02BFF83F46}">
      <text>
        <r>
          <rPr>
            <b/>
            <sz val="9"/>
            <color indexed="81"/>
            <rFont val="Tahoma"/>
            <family val="2"/>
          </rPr>
          <t>&lt;[[DEVDeals] - [Associated TC Deal (Seq: 1)] - [TC Property Current Stage (Seq: 1)] - [Buildings (Seq: 4)] Zip Code - Both]&gt;</t>
        </r>
      </text>
    </comment>
    <comment ref="Y194" authorId="0" shapeId="0" xr:uid="{C862B3BD-F9EC-4F2A-9FAA-45D995D80D0D}">
      <text>
        <r>
          <rPr>
            <b/>
            <sz val="9"/>
            <color indexed="81"/>
            <rFont val="Tahoma"/>
            <family val="2"/>
          </rPr>
          <t>&lt;[[DEVDeals] - [Associated TC Deal (Seq: 1)] - [TC Property Current Stage (Seq: 1)] - [Buildings (Seq: 4)] BIN - Both]&gt;</t>
        </r>
      </text>
    </comment>
    <comment ref="AA194" authorId="0" shapeId="0" xr:uid="{46E86869-339B-462F-AB98-9DBECF2A1D98}">
      <text>
        <r>
          <rPr>
            <b/>
            <sz val="9"/>
            <color indexed="81"/>
            <rFont val="Tahoma"/>
            <family val="2"/>
          </rPr>
          <t>&lt;[[DEVDeals] - [Associated TC Deal (Seq: 1)] - [TC Property Current Stage (Seq: 1)] - [Buildings (Seq: 4)] Num TC Units - Both]&gt;</t>
        </r>
      </text>
    </comment>
    <comment ref="AB194" authorId="0" shapeId="0" xr:uid="{854EF6CF-7BD8-41EB-A753-D6DAA865A0C2}">
      <text>
        <r>
          <rPr>
            <b/>
            <sz val="9"/>
            <color indexed="81"/>
            <rFont val="Tahoma"/>
            <family val="2"/>
          </rPr>
          <t>&lt;[[DEVDeals] - [Associated TC Deal (Seq: 1)] - [TC Property Current Stage (Seq: 1)] - [Buildings (Seq: 4)] - [Buildings - User Defined Field Values (Seq: 1)] Building Info - Total Square Footage - Both]&gt;</t>
        </r>
      </text>
    </comment>
    <comment ref="AC194" authorId="0" shapeId="0" xr:uid="{B47099E4-2584-489B-A056-3480F18F7829}">
      <text>
        <r>
          <rPr>
            <b/>
            <sz val="9"/>
            <color indexed="81"/>
            <rFont val="Tahoma"/>
            <family val="2"/>
          </rPr>
          <t>&lt;[[DEVDeals] - [Associated TC Deal (Seq: 1)] - [TC Property Current Stage (Seq: 1)] - [Buildings (Seq: 4)] - [Buildings - User Defined Field Values (Seq: 1)] Building Info - Restricted Unit Square Footage - Both]&gt;</t>
        </r>
      </text>
    </comment>
    <comment ref="AD194" authorId="0" shapeId="0" xr:uid="{05ACC5B1-3E00-41A6-BFB4-FCF2F0013298}">
      <text>
        <r>
          <rPr>
            <b/>
            <sz val="9"/>
            <color indexed="81"/>
            <rFont val="Tahoma"/>
            <family val="2"/>
          </rPr>
          <t>&lt;[[DEVDeals] - [Associated TC Deal (Seq: 1)] - [TC Property Current Stage (Seq: 1)] - [Buildings (Seq: 4)] Applicable Fraction - Both]&gt;</t>
        </r>
      </text>
    </comment>
    <comment ref="AE194" authorId="0" shapeId="0" xr:uid="{54237CB2-DC1B-4891-8EDE-AB2CA31A4488}">
      <text>
        <r>
          <rPr>
            <b/>
            <sz val="9"/>
            <color indexed="81"/>
            <rFont val="Tahoma"/>
            <family val="2"/>
          </rPr>
          <t>&lt;[[DEVDeals] - [Associated TC Deal (Seq: 1)] - [TC Property Current Stage (Seq: 1)] - [Buildings (Seq: 4)] - [Buildings - User Defined Field Values (Seq: 1)] Building Info - Year Built - Both]&gt;</t>
        </r>
      </text>
    </comment>
    <comment ref="AF194" authorId="0" shapeId="0" xr:uid="{C0F364C5-3D46-4423-99C2-3A281BE2F155}">
      <text>
        <r>
          <rPr>
            <b/>
            <sz val="9"/>
            <color indexed="81"/>
            <rFont val="Tahoma"/>
            <family val="2"/>
          </rPr>
          <t>&lt;[[DEVDeals] - [Associated TC Deal (Seq: 1)] - [TC Property Current Stage (Seq: 1)] - [Buildings (Seq: 4)] - [Buildings - User Defined Field Values (Seq: 1)] Building Info - Building Type - Both]&gt;</t>
        </r>
      </text>
    </comment>
    <comment ref="AG194" authorId="0" shapeId="0" xr:uid="{1973761A-BC09-4750-B628-19DC64DD1D81}">
      <text>
        <r>
          <rPr>
            <b/>
            <sz val="9"/>
            <color indexed="81"/>
            <rFont val="Tahoma"/>
            <family val="2"/>
          </rPr>
          <t>&lt;[[DEVDeals] - [Associated TC Deal (Seq: 1)] - [TC Property Current Stage (Seq: 1)] - [Buildings (Seq: 4)] Num Mkt Units - Both]&gt;</t>
        </r>
      </text>
    </comment>
    <comment ref="AH194" authorId="0" shapeId="0" xr:uid="{E3CC8E9B-CBD6-4F09-B943-4D2829E15D7C}">
      <text>
        <r>
          <rPr>
            <b/>
            <sz val="9"/>
            <color indexed="81"/>
            <rFont val="Tahoma"/>
            <family val="2"/>
          </rPr>
          <t>&lt;[[DEVDeals] - [Associated TC Deal (Seq: 1)] - [TC Property Current Stage (Seq: 1)] - [Buildings (Seq: 4)] - [Buildings - User Defined Field Values (Seq: 1)] Building Info - Date Last Placed in Service - Both]&gt;</t>
        </r>
      </text>
    </comment>
    <comment ref="AI194" authorId="0" shapeId="0" xr:uid="{B4FCE3F2-3055-464D-BA1C-D631FBC3AA41}">
      <text>
        <r>
          <rPr>
            <b/>
            <sz val="9"/>
            <color indexed="81"/>
            <rFont val="Tahoma"/>
            <family val="2"/>
          </rPr>
          <t>&lt;[[DEVDeals] - [Associated TC Deal (Seq: 1)] - [TC Property Current Stage (Seq: 1)] - [Buildings (Seq: 4)] - [Buildings - User Defined Field Values (Seq: 1)] Building Info - Sponsor's Purchase Date - Both]&gt;</t>
        </r>
      </text>
    </comment>
    <comment ref="AJ194" authorId="0" shapeId="0" xr:uid="{7B41DC8D-C4C2-45BD-98C6-32DB1ABF9666}">
      <text>
        <r>
          <rPr>
            <b/>
            <sz val="9"/>
            <color indexed="81"/>
            <rFont val="Tahoma"/>
            <family val="2"/>
          </rPr>
          <t>&lt;[[DEVDeals] - [Associated TC Deal (Seq: 1)] - [TC Property Current Stage (Seq: 1)] - [Buildings (Seq: 4)] - [Buildings - User Defined Field Values (Seq: 1)] Building Info - Years Between PIS &amp; Purchase Date - Both]&gt;</t>
        </r>
      </text>
    </comment>
    <comment ref="AK194" authorId="0" shapeId="0" xr:uid="{BFEA17CF-F9C7-4BE9-AD32-CB3F2F5B7537}">
      <text>
        <r>
          <rPr>
            <b/>
            <sz val="9"/>
            <color indexed="81"/>
            <rFont val="Tahoma"/>
            <family val="2"/>
          </rPr>
          <t>&lt;[[DEVDeals] - [Associated TC Deal (Seq: 1)] - [TC Property Current Stage (Seq: 1)] - [Buildings (Seq: 4)] Federal Minimum Set Aside Id - Both]&gt;</t>
        </r>
      </text>
    </comment>
    <comment ref="U195" authorId="0" shapeId="0" xr:uid="{E9ACD8EB-9AB8-48C1-8A58-954B7585A0C5}">
      <text>
        <r>
          <rPr>
            <b/>
            <sz val="9"/>
            <color indexed="81"/>
            <rFont val="Tahoma"/>
            <family val="2"/>
          </rPr>
          <t>&lt;[[DEVDeals] - [Associated TC Deal (Seq: 1)] - [TC Property Current Stage (Seq: 1)] - [Buildings (Seq: 5)] Address 1 - Both]&gt;</t>
        </r>
      </text>
    </comment>
    <comment ref="V195" authorId="0" shapeId="0" xr:uid="{9FDEB080-6374-459C-ABB2-71B9F710B730}">
      <text>
        <r>
          <rPr>
            <b/>
            <sz val="9"/>
            <color indexed="81"/>
            <rFont val="Tahoma"/>
            <family val="2"/>
          </rPr>
          <t>&lt;[[DEVDeals] - [Associated TC Deal (Seq: 1)] - [TC Property Current Stage (Seq: 1)] - [Buildings (Seq: 5)] City - Both]&gt;</t>
        </r>
      </text>
    </comment>
    <comment ref="W195" authorId="0" shapeId="0" xr:uid="{55EB2142-EC41-4E2E-8B76-42E22D4AB4D5}">
      <text>
        <r>
          <rPr>
            <b/>
            <sz val="9"/>
            <color indexed="81"/>
            <rFont val="Tahoma"/>
            <family val="2"/>
          </rPr>
          <t>&lt;[[DEVDeals] - [Associated TC Deal (Seq: 1)] - [TC Property Current Stage (Seq: 1)] - [Buildings (Seq: 5)] State - Both]&gt;</t>
        </r>
      </text>
    </comment>
    <comment ref="X195" authorId="0" shapeId="0" xr:uid="{84D84D95-FBDC-4A3A-A64B-F15CB761ED1B}">
      <text>
        <r>
          <rPr>
            <b/>
            <sz val="9"/>
            <color indexed="81"/>
            <rFont val="Tahoma"/>
            <family val="2"/>
          </rPr>
          <t>&lt;[[DEVDeals] - [Associated TC Deal (Seq: 1)] - [TC Property Current Stage (Seq: 1)] - [Buildings (Seq: 5)] Zip Code - Both]&gt;</t>
        </r>
      </text>
    </comment>
    <comment ref="Y195" authorId="0" shapeId="0" xr:uid="{0F34836F-8997-4D42-8788-949C18C50F43}">
      <text>
        <r>
          <rPr>
            <b/>
            <sz val="9"/>
            <color indexed="81"/>
            <rFont val="Tahoma"/>
            <family val="2"/>
          </rPr>
          <t>&lt;[[DEVDeals] - [Associated TC Deal (Seq: 1)] - [TC Property Current Stage (Seq: 1)] - [Buildings (Seq: 5)] BIN - Both]&gt;</t>
        </r>
      </text>
    </comment>
    <comment ref="AA195" authorId="0" shapeId="0" xr:uid="{3F36B958-B1CE-43F0-B230-7387C4EB23BF}">
      <text>
        <r>
          <rPr>
            <b/>
            <sz val="9"/>
            <color indexed="81"/>
            <rFont val="Tahoma"/>
            <family val="2"/>
          </rPr>
          <t>&lt;[[DEVDeals] - [Associated TC Deal (Seq: 1)] - [TC Property Current Stage (Seq: 1)] - [Buildings (Seq: 5)] Num TC Units - Both]&gt;</t>
        </r>
      </text>
    </comment>
    <comment ref="AB195" authorId="0" shapeId="0" xr:uid="{702F9B7A-E132-45FA-8049-678DDD1A6289}">
      <text>
        <r>
          <rPr>
            <b/>
            <sz val="9"/>
            <color indexed="81"/>
            <rFont val="Tahoma"/>
            <family val="2"/>
          </rPr>
          <t>&lt;[[DEVDeals] - [Associated TC Deal (Seq: 1)] - [TC Property Current Stage (Seq: 1)] - [Buildings (Seq: 5)] - [Buildings - User Defined Field Values (Seq: 1)] Building Info - Total Square Footage - Both]&gt;</t>
        </r>
      </text>
    </comment>
    <comment ref="AC195" authorId="0" shapeId="0" xr:uid="{042E7FDC-C87E-4432-A8E8-058F9CA13D50}">
      <text>
        <r>
          <rPr>
            <b/>
            <sz val="9"/>
            <color indexed="81"/>
            <rFont val="Tahoma"/>
            <family val="2"/>
          </rPr>
          <t>&lt;[[DEVDeals] - [Associated TC Deal (Seq: 1)] - [TC Property Current Stage (Seq: 1)] - [Buildings (Seq: 5)] - [Buildings - User Defined Field Values (Seq: 1)] Building Info - Restricted Unit Square Footage - Both]&gt;</t>
        </r>
      </text>
    </comment>
    <comment ref="AD195" authorId="0" shapeId="0" xr:uid="{FB432AF2-7C6F-437A-888D-C5A584CDD98A}">
      <text>
        <r>
          <rPr>
            <b/>
            <sz val="9"/>
            <color indexed="81"/>
            <rFont val="Tahoma"/>
            <family val="2"/>
          </rPr>
          <t>&lt;[[DEVDeals] - [Associated TC Deal (Seq: 1)] - [TC Property Current Stage (Seq: 1)] - [Buildings (Seq: 5)] Applicable Fraction - Both]&gt;</t>
        </r>
      </text>
    </comment>
    <comment ref="AE195" authorId="0" shapeId="0" xr:uid="{BEA72506-4C83-469F-AEF6-528A569A58E3}">
      <text>
        <r>
          <rPr>
            <b/>
            <sz val="9"/>
            <color indexed="81"/>
            <rFont val="Tahoma"/>
            <family val="2"/>
          </rPr>
          <t>&lt;[[DEVDeals] - [Associated TC Deal (Seq: 1)] - [TC Property Current Stage (Seq: 1)] - [Buildings (Seq: 5)] - [Buildings - User Defined Field Values (Seq: 1)] Building Info - Year Built - Both]&gt;</t>
        </r>
      </text>
    </comment>
    <comment ref="AF195" authorId="0" shapeId="0" xr:uid="{1CB675FF-CC54-4CDE-B7C1-0DAF7E725B79}">
      <text>
        <r>
          <rPr>
            <b/>
            <sz val="9"/>
            <color indexed="81"/>
            <rFont val="Tahoma"/>
            <family val="2"/>
          </rPr>
          <t>&lt;[[DEVDeals] - [Associated TC Deal (Seq: 1)] - [TC Property Current Stage (Seq: 1)] - [Buildings (Seq: 5)] - [Buildings - User Defined Field Values (Seq: 1)] Building Info - Building Type - Both]&gt;</t>
        </r>
      </text>
    </comment>
    <comment ref="AG195" authorId="0" shapeId="0" xr:uid="{A43E73D4-7398-4E96-A8DE-0956AE10548E}">
      <text>
        <r>
          <rPr>
            <b/>
            <sz val="9"/>
            <color indexed="81"/>
            <rFont val="Tahoma"/>
            <family val="2"/>
          </rPr>
          <t>&lt;[[DEVDeals] - [Associated TC Deal (Seq: 1)] - [TC Property Current Stage (Seq: 1)] - [Buildings (Seq: 5)] Num Mkt Units - Both]&gt;</t>
        </r>
      </text>
    </comment>
    <comment ref="AH195" authorId="0" shapeId="0" xr:uid="{2CE121F9-8DF1-489F-B977-39CE27F9975E}">
      <text>
        <r>
          <rPr>
            <b/>
            <sz val="9"/>
            <color indexed="81"/>
            <rFont val="Tahoma"/>
            <family val="2"/>
          </rPr>
          <t>&lt;[[DEVDeals] - [Associated TC Deal (Seq: 1)] - [TC Property Current Stage (Seq: 1)] - [Buildings (Seq: 5)] - [Buildings - User Defined Field Values (Seq: 1)] Building Info - Date Last Placed in Service - Both]&gt;</t>
        </r>
      </text>
    </comment>
    <comment ref="AI195" authorId="0" shapeId="0" xr:uid="{B18099F8-6399-461E-A3F4-DCDC5604F0BC}">
      <text>
        <r>
          <rPr>
            <b/>
            <sz val="9"/>
            <color indexed="81"/>
            <rFont val="Tahoma"/>
            <family val="2"/>
          </rPr>
          <t>&lt;[[DEVDeals] - [Associated TC Deal (Seq: 1)] - [TC Property Current Stage (Seq: 1)] - [Buildings (Seq: 5)] - [Buildings - User Defined Field Values (Seq: 1)] Building Info - Sponsor's Purchase Date - Both]&gt;</t>
        </r>
      </text>
    </comment>
    <comment ref="AJ195" authorId="0" shapeId="0" xr:uid="{C051DD9E-765D-4761-8009-A2B44C7FDF89}">
      <text>
        <r>
          <rPr>
            <b/>
            <sz val="9"/>
            <color indexed="81"/>
            <rFont val="Tahoma"/>
            <family val="2"/>
          </rPr>
          <t>&lt;[[DEVDeals] - [Associated TC Deal (Seq: 1)] - [TC Property Current Stage (Seq: 1)] - [Buildings (Seq: 5)] - [Buildings - User Defined Field Values (Seq: 1)] Building Info - Years Between PIS &amp; Purchase Date - Both]&gt;</t>
        </r>
      </text>
    </comment>
    <comment ref="AK195" authorId="0" shapeId="0" xr:uid="{BE2283DE-2E61-452A-914A-3D886A62F8A1}">
      <text>
        <r>
          <rPr>
            <b/>
            <sz val="9"/>
            <color indexed="81"/>
            <rFont val="Tahoma"/>
            <family val="2"/>
          </rPr>
          <t>&lt;[[DEVDeals] - [Associated TC Deal (Seq: 1)] - [TC Property Current Stage (Seq: 1)] - [Buildings (Seq: 5)] Federal Minimum Set Aside Id - Both]&gt;</t>
        </r>
      </text>
    </comment>
    <comment ref="U196" authorId="0" shapeId="0" xr:uid="{3ED1260F-90F5-44D1-B1B4-67917FF32B6B}">
      <text>
        <r>
          <rPr>
            <b/>
            <sz val="9"/>
            <color indexed="81"/>
            <rFont val="Tahoma"/>
            <family val="2"/>
          </rPr>
          <t>&lt;[[DEVDeals] - [Associated TC Deal (Seq: 1)] - [TC Property Current Stage (Seq: 1)] - [Buildings (Seq: 6)] Address 1 - Both]&gt;</t>
        </r>
      </text>
    </comment>
    <comment ref="V196" authorId="0" shapeId="0" xr:uid="{2087EC95-CCEE-4906-8BBD-9C721BA9A680}">
      <text>
        <r>
          <rPr>
            <b/>
            <sz val="9"/>
            <color indexed="81"/>
            <rFont val="Tahoma"/>
            <family val="2"/>
          </rPr>
          <t>&lt;[[DEVDeals] - [Associated TC Deal (Seq: 1)] - [TC Property Current Stage (Seq: 1)] - [Buildings (Seq: 6)] City - Both]&gt;</t>
        </r>
      </text>
    </comment>
    <comment ref="W196" authorId="0" shapeId="0" xr:uid="{CC0A49CA-6FB5-4C6E-B3AA-5980E323E36C}">
      <text>
        <r>
          <rPr>
            <b/>
            <sz val="9"/>
            <color indexed="81"/>
            <rFont val="Tahoma"/>
            <family val="2"/>
          </rPr>
          <t>&lt;[[DEVDeals] - [Associated TC Deal (Seq: 1)] - [TC Property Current Stage (Seq: 1)] - [Buildings (Seq: 6)] State - Both]&gt;</t>
        </r>
      </text>
    </comment>
    <comment ref="X196" authorId="0" shapeId="0" xr:uid="{7ACBE29A-3A54-4534-B35C-77E89B293DDB}">
      <text>
        <r>
          <rPr>
            <b/>
            <sz val="9"/>
            <color indexed="81"/>
            <rFont val="Tahoma"/>
            <family val="2"/>
          </rPr>
          <t>&lt;[[DEVDeals] - [Associated TC Deal (Seq: 1)] - [TC Property Current Stage (Seq: 1)] - [Buildings (Seq: 6)] Zip Code - Both]&gt;</t>
        </r>
      </text>
    </comment>
    <comment ref="Y196" authorId="0" shapeId="0" xr:uid="{698EF525-4527-489A-B6EB-5E4214085B39}">
      <text>
        <r>
          <rPr>
            <b/>
            <sz val="9"/>
            <color indexed="81"/>
            <rFont val="Tahoma"/>
            <family val="2"/>
          </rPr>
          <t>&lt;[[DEVDeals] - [Associated TC Deal (Seq: 1)] - [TC Property Current Stage (Seq: 1)] - [Buildings (Seq: 6)] BIN - Both]&gt;</t>
        </r>
      </text>
    </comment>
    <comment ref="AA196" authorId="0" shapeId="0" xr:uid="{4D83AFB2-C961-4F6A-82C7-16897ADF0C57}">
      <text>
        <r>
          <rPr>
            <b/>
            <sz val="9"/>
            <color indexed="81"/>
            <rFont val="Tahoma"/>
            <family val="2"/>
          </rPr>
          <t>&lt;[[DEVDeals] - [Associated TC Deal (Seq: 1)] - [TC Property Current Stage (Seq: 1)] - [Buildings (Seq: 6)] Num TC Units - Both]&gt;</t>
        </r>
      </text>
    </comment>
    <comment ref="AB196" authorId="0" shapeId="0" xr:uid="{76A7ACC6-B27F-4E2D-A5CF-DF944298D5EB}">
      <text>
        <r>
          <rPr>
            <b/>
            <sz val="9"/>
            <color indexed="81"/>
            <rFont val="Tahoma"/>
            <family val="2"/>
          </rPr>
          <t>&lt;[[DEVDeals] - [Associated TC Deal (Seq: 1)] - [TC Property Current Stage (Seq: 1)] - [Buildings (Seq: 6)] - [Buildings - User Defined Field Values (Seq: 1)] Building Info - Total Square Footage - Both]&gt;</t>
        </r>
      </text>
    </comment>
    <comment ref="AC196" authorId="0" shapeId="0" xr:uid="{F8D490E5-460B-48C2-BEE8-BC2F31F83877}">
      <text>
        <r>
          <rPr>
            <b/>
            <sz val="9"/>
            <color indexed="81"/>
            <rFont val="Tahoma"/>
            <family val="2"/>
          </rPr>
          <t>&lt;[[DEVDeals] - [Associated TC Deal (Seq: 1)] - [TC Property Current Stage (Seq: 1)] - [Buildings (Seq: 6)] - [Buildings - User Defined Field Values (Seq: 1)] Building Info - Restricted Unit Square Footage - Both]&gt;</t>
        </r>
      </text>
    </comment>
    <comment ref="AD196" authorId="0" shapeId="0" xr:uid="{61A216F0-3A76-487C-952E-A5402A88A94B}">
      <text>
        <r>
          <rPr>
            <b/>
            <sz val="9"/>
            <color indexed="81"/>
            <rFont val="Tahoma"/>
            <family val="2"/>
          </rPr>
          <t>&lt;[[DEVDeals] - [Associated TC Deal (Seq: 1)] - [TC Property Current Stage (Seq: 1)] - [Buildings (Seq: 6)] Applicable Fraction - Both]&gt;</t>
        </r>
      </text>
    </comment>
    <comment ref="AE196" authorId="0" shapeId="0" xr:uid="{B2EE195F-9FAF-4D4B-83E8-971A9AA3248C}">
      <text>
        <r>
          <rPr>
            <b/>
            <sz val="9"/>
            <color indexed="81"/>
            <rFont val="Tahoma"/>
            <family val="2"/>
          </rPr>
          <t>&lt;[[DEVDeals] - [Associated TC Deal (Seq: 1)] - [TC Property Current Stage (Seq: 1)] - [Buildings (Seq: 6)] - [Buildings - User Defined Field Values (Seq: 1)] Building Info - Year Built - Both]&gt;</t>
        </r>
      </text>
    </comment>
    <comment ref="AF196" authorId="0" shapeId="0" xr:uid="{60E4D0C0-6C06-46C2-973C-070CF91EF95F}">
      <text>
        <r>
          <rPr>
            <b/>
            <sz val="9"/>
            <color indexed="81"/>
            <rFont val="Tahoma"/>
            <family val="2"/>
          </rPr>
          <t>&lt;[[DEVDeals] - [Associated TC Deal (Seq: 1)] - [TC Property Current Stage (Seq: 1)] - [Buildings (Seq: 6)] - [Buildings - User Defined Field Values (Seq: 1)] Building Info - Building Type - Both]&gt;</t>
        </r>
      </text>
    </comment>
    <comment ref="AG196" authorId="0" shapeId="0" xr:uid="{2D441F95-6533-4133-8E10-A8BB92BDD78A}">
      <text>
        <r>
          <rPr>
            <b/>
            <sz val="9"/>
            <color indexed="81"/>
            <rFont val="Tahoma"/>
            <family val="2"/>
          </rPr>
          <t>&lt;[[DEVDeals] - [Associated TC Deal (Seq: 1)] - [TC Property Current Stage (Seq: 1)] - [Buildings (Seq: 6)] Num Mkt Units - Both]&gt;</t>
        </r>
      </text>
    </comment>
    <comment ref="AH196" authorId="0" shapeId="0" xr:uid="{68CAAC8D-B173-40BB-8F23-9CC5A68BD6D8}">
      <text>
        <r>
          <rPr>
            <b/>
            <sz val="9"/>
            <color indexed="81"/>
            <rFont val="Tahoma"/>
            <family val="2"/>
          </rPr>
          <t>&lt;[[DEVDeals] - [Associated TC Deal (Seq: 1)] - [TC Property Current Stage (Seq: 1)] - [Buildings (Seq: 6)] - [Buildings - User Defined Field Values (Seq: 1)] Building Info - Date Last Placed in Service - Both]&gt;</t>
        </r>
      </text>
    </comment>
    <comment ref="AI196" authorId="0" shapeId="0" xr:uid="{A2EBF717-1A9D-491C-9603-9F997604FC9F}">
      <text>
        <r>
          <rPr>
            <b/>
            <sz val="9"/>
            <color indexed="81"/>
            <rFont val="Tahoma"/>
            <family val="2"/>
          </rPr>
          <t>&lt;[[DEVDeals] - [Associated TC Deal (Seq: 1)] - [TC Property Current Stage (Seq: 1)] - [Buildings (Seq: 6)] - [Buildings - User Defined Field Values (Seq: 1)] Building Info - Sponsor's Purchase Date - Both]&gt;</t>
        </r>
      </text>
    </comment>
    <comment ref="AJ196" authorId="0" shapeId="0" xr:uid="{D0238F84-958D-45E5-B933-1631C54DCB36}">
      <text>
        <r>
          <rPr>
            <b/>
            <sz val="9"/>
            <color indexed="81"/>
            <rFont val="Tahoma"/>
            <family val="2"/>
          </rPr>
          <t>&lt;[[DEVDeals] - [Associated TC Deal (Seq: 1)] - [TC Property Current Stage (Seq: 1)] - [Buildings (Seq: 6)] - [Buildings - User Defined Field Values (Seq: 1)] Building Info - Years Between PIS &amp; Purchase Date - Both]&gt;</t>
        </r>
      </text>
    </comment>
    <comment ref="AK196" authorId="0" shapeId="0" xr:uid="{BB5245BB-2966-42DA-BA99-07EA64DCF3E3}">
      <text>
        <r>
          <rPr>
            <b/>
            <sz val="9"/>
            <color indexed="81"/>
            <rFont val="Tahoma"/>
            <family val="2"/>
          </rPr>
          <t>&lt;[[DEVDeals] - [Associated TC Deal (Seq: 1)] - [TC Property Current Stage (Seq: 1)] - [Buildings (Seq: 6)] Federal Minimum Set Aside Id - Both]&gt;</t>
        </r>
      </text>
    </comment>
    <comment ref="U197" authorId="0" shapeId="0" xr:uid="{BB8DDC7B-1C02-4096-B430-58380DBED7E9}">
      <text>
        <r>
          <rPr>
            <b/>
            <sz val="9"/>
            <color indexed="81"/>
            <rFont val="Tahoma"/>
            <family val="2"/>
          </rPr>
          <t>&lt;[[DEVDeals] - [Associated TC Deal (Seq: 1)] - [TC Property Current Stage (Seq: 1)] - [Buildings (Seq: 7)] Address 1 - Both]&gt;</t>
        </r>
      </text>
    </comment>
    <comment ref="V197" authorId="0" shapeId="0" xr:uid="{3A657825-01A3-438D-8416-64C923C59611}">
      <text>
        <r>
          <rPr>
            <b/>
            <sz val="9"/>
            <color indexed="81"/>
            <rFont val="Tahoma"/>
            <family val="2"/>
          </rPr>
          <t>&lt;[[DEVDeals] - [Associated TC Deal (Seq: 1)] - [TC Property Current Stage (Seq: 1)] - [Buildings (Seq: 7)] City - Both]&gt;</t>
        </r>
      </text>
    </comment>
    <comment ref="W197" authorId="0" shapeId="0" xr:uid="{1C3EB932-6911-4F06-B7F9-C57FF479EDE2}">
      <text>
        <r>
          <rPr>
            <b/>
            <sz val="9"/>
            <color indexed="81"/>
            <rFont val="Tahoma"/>
            <family val="2"/>
          </rPr>
          <t>&lt;[[DEVDeals] - [Associated TC Deal (Seq: 1)] - [TC Property Current Stage (Seq: 1)] - [Buildings (Seq: 7)] State - Both]&gt;</t>
        </r>
      </text>
    </comment>
    <comment ref="X197" authorId="0" shapeId="0" xr:uid="{BE95BC99-0979-4158-89D9-B17226229E48}">
      <text>
        <r>
          <rPr>
            <b/>
            <sz val="9"/>
            <color indexed="81"/>
            <rFont val="Tahoma"/>
            <family val="2"/>
          </rPr>
          <t>&lt;[[DEVDeals] - [Associated TC Deal (Seq: 1)] - [TC Property Current Stage (Seq: 1)] - [Buildings (Seq: 7)] Zip Code - Both]&gt;</t>
        </r>
      </text>
    </comment>
    <comment ref="Y197" authorId="0" shapeId="0" xr:uid="{9A01A288-F841-4ED3-8F64-678315C534C4}">
      <text>
        <r>
          <rPr>
            <b/>
            <sz val="9"/>
            <color indexed="81"/>
            <rFont val="Tahoma"/>
            <family val="2"/>
          </rPr>
          <t>&lt;[[DEVDeals] - [Associated TC Deal (Seq: 1)] - [TC Property Current Stage (Seq: 1)] - [Buildings (Seq: 7)] BIN - Both]&gt;</t>
        </r>
      </text>
    </comment>
    <comment ref="AA197" authorId="0" shapeId="0" xr:uid="{E5D3126F-6523-4517-B9EF-985DB9630FE6}">
      <text>
        <r>
          <rPr>
            <b/>
            <sz val="9"/>
            <color indexed="81"/>
            <rFont val="Tahoma"/>
            <family val="2"/>
          </rPr>
          <t>&lt;[[DEVDeals] - [Associated TC Deal (Seq: 1)] - [TC Property Current Stage (Seq: 1)] - [Buildings (Seq: 7)] Num TC Units - Both]&gt;</t>
        </r>
      </text>
    </comment>
    <comment ref="AB197" authorId="0" shapeId="0" xr:uid="{67BBB2CA-B4C4-45A8-99B0-E5E4B50BC609}">
      <text>
        <r>
          <rPr>
            <b/>
            <sz val="9"/>
            <color indexed="81"/>
            <rFont val="Tahoma"/>
            <family val="2"/>
          </rPr>
          <t>&lt;[[DEVDeals] - [Associated TC Deal (Seq: 1)] - [TC Property Current Stage (Seq: 1)] - [Buildings (Seq: 7)] - [Buildings - User Defined Field Values (Seq: 1)] Building Info - Total Square Footage - Both]&gt;</t>
        </r>
      </text>
    </comment>
    <comment ref="AC197" authorId="0" shapeId="0" xr:uid="{FA516752-9EAC-4052-946E-F824D22EA218}">
      <text>
        <r>
          <rPr>
            <b/>
            <sz val="9"/>
            <color indexed="81"/>
            <rFont val="Tahoma"/>
            <family val="2"/>
          </rPr>
          <t>&lt;[[DEVDeals] - [Associated TC Deal (Seq: 1)] - [TC Property Current Stage (Seq: 1)] - [Buildings (Seq: 7)] - [Buildings - User Defined Field Values (Seq: 1)] Building Info - Restricted Unit Square Footage - Both]&gt;</t>
        </r>
      </text>
    </comment>
    <comment ref="AD197" authorId="0" shapeId="0" xr:uid="{A2F42B0A-2C74-4A3B-A5E3-655EA7526B91}">
      <text>
        <r>
          <rPr>
            <b/>
            <sz val="9"/>
            <color indexed="81"/>
            <rFont val="Tahoma"/>
            <family val="2"/>
          </rPr>
          <t>&lt;[[DEVDeals] - [Associated TC Deal (Seq: 1)] - [TC Property Current Stage (Seq: 1)] - [Buildings (Seq: 7)] Applicable Fraction - Both]&gt;</t>
        </r>
      </text>
    </comment>
    <comment ref="AE197" authorId="0" shapeId="0" xr:uid="{7B1F85BD-EB6B-4A79-97D7-A50255233DE5}">
      <text>
        <r>
          <rPr>
            <b/>
            <sz val="9"/>
            <color indexed="81"/>
            <rFont val="Tahoma"/>
            <family val="2"/>
          </rPr>
          <t>&lt;[[DEVDeals] - [Associated TC Deal (Seq: 1)] - [TC Property Current Stage (Seq: 1)] - [Buildings (Seq: 7)] - [Buildings - User Defined Field Values (Seq: 1)] Building Info - Year Built - Both]&gt;</t>
        </r>
      </text>
    </comment>
    <comment ref="AF197" authorId="0" shapeId="0" xr:uid="{8D815256-03E6-4899-AA8D-6F35DBDECCCE}">
      <text>
        <r>
          <rPr>
            <b/>
            <sz val="9"/>
            <color indexed="81"/>
            <rFont val="Tahoma"/>
            <family val="2"/>
          </rPr>
          <t>&lt;[[DEVDeals] - [Associated TC Deal (Seq: 1)] - [TC Property Current Stage (Seq: 1)] - [Buildings (Seq: 7)] - [Buildings - User Defined Field Values (Seq: 1)] Building Info - Building Type - Both]&gt;</t>
        </r>
      </text>
    </comment>
    <comment ref="AG197" authorId="0" shapeId="0" xr:uid="{41448687-4371-411B-B6F7-745598526399}">
      <text>
        <r>
          <rPr>
            <b/>
            <sz val="9"/>
            <color indexed="81"/>
            <rFont val="Tahoma"/>
            <family val="2"/>
          </rPr>
          <t>&lt;[[DEVDeals] - [Associated TC Deal (Seq: 1)] - [TC Property Current Stage (Seq: 1)] - [Buildings (Seq: 7)] Num Mkt Units - Both]&gt;</t>
        </r>
      </text>
    </comment>
    <comment ref="AH197" authorId="0" shapeId="0" xr:uid="{D6FE8CB8-1414-4E26-90B2-E729BAF9F2D8}">
      <text>
        <r>
          <rPr>
            <b/>
            <sz val="9"/>
            <color indexed="81"/>
            <rFont val="Tahoma"/>
            <family val="2"/>
          </rPr>
          <t>&lt;[[DEVDeals] - [Associated TC Deal (Seq: 1)] - [TC Property Current Stage (Seq: 1)] - [Buildings (Seq: 7)] - [Buildings - User Defined Field Values (Seq: 1)] Building Info - Date Last Placed in Service - Both]&gt;</t>
        </r>
      </text>
    </comment>
    <comment ref="AI197" authorId="0" shapeId="0" xr:uid="{DA93DDB6-6512-404C-9C29-851597D0C55D}">
      <text>
        <r>
          <rPr>
            <b/>
            <sz val="9"/>
            <color indexed="81"/>
            <rFont val="Tahoma"/>
            <family val="2"/>
          </rPr>
          <t>&lt;[[DEVDeals] - [Associated TC Deal (Seq: 1)] - [TC Property Current Stage (Seq: 1)] - [Buildings (Seq: 7)] - [Buildings - User Defined Field Values (Seq: 1)] Building Info - Sponsor's Purchase Date - Both]&gt;</t>
        </r>
      </text>
    </comment>
    <comment ref="AJ197" authorId="0" shapeId="0" xr:uid="{20710A6A-6E68-400D-8F29-5DB4736E8A41}">
      <text>
        <r>
          <rPr>
            <b/>
            <sz val="9"/>
            <color indexed="81"/>
            <rFont val="Tahoma"/>
            <family val="2"/>
          </rPr>
          <t>&lt;[[DEVDeals] - [Associated TC Deal (Seq: 1)] - [TC Property Current Stage (Seq: 1)] - [Buildings (Seq: 7)] - [Buildings - User Defined Field Values (Seq: 1)] Building Info - Years Between PIS &amp; Purchase Date - Both]&gt;</t>
        </r>
      </text>
    </comment>
    <comment ref="AK197" authorId="0" shapeId="0" xr:uid="{24C62761-C929-4B90-999F-03F1D0A4F096}">
      <text>
        <r>
          <rPr>
            <b/>
            <sz val="9"/>
            <color indexed="81"/>
            <rFont val="Tahoma"/>
            <family val="2"/>
          </rPr>
          <t>&lt;[[DEVDeals] - [Associated TC Deal (Seq: 1)] - [TC Property Current Stage (Seq: 1)] - [Buildings (Seq: 7)] Federal Minimum Set Aside Id - Both]&gt;</t>
        </r>
      </text>
    </comment>
    <comment ref="U198" authorId="0" shapeId="0" xr:uid="{3E0E619D-B883-422B-8A5E-F05952D9CD1C}">
      <text>
        <r>
          <rPr>
            <b/>
            <sz val="9"/>
            <color indexed="81"/>
            <rFont val="Tahoma"/>
            <family val="2"/>
          </rPr>
          <t>&lt;[[DEVDeals] - [Associated TC Deal (Seq: 1)] - [TC Property Current Stage (Seq: 1)] - [Buildings (Seq: 8)] Address 1 - Both]&gt;</t>
        </r>
      </text>
    </comment>
    <comment ref="V198" authorId="0" shapeId="0" xr:uid="{07D7E5F6-BEA3-467E-A100-7647FD13D03B}">
      <text>
        <r>
          <rPr>
            <b/>
            <sz val="9"/>
            <color indexed="81"/>
            <rFont val="Tahoma"/>
            <family val="2"/>
          </rPr>
          <t>&lt;[[DEVDeals] - [Associated TC Deal (Seq: 1)] - [TC Property Current Stage (Seq: 1)] - [Buildings (Seq: 8)] City - Both]&gt;</t>
        </r>
      </text>
    </comment>
    <comment ref="W198" authorId="0" shapeId="0" xr:uid="{883133F2-7E0D-4EF8-8DFE-25E1233679C4}">
      <text>
        <r>
          <rPr>
            <b/>
            <sz val="9"/>
            <color indexed="81"/>
            <rFont val="Tahoma"/>
            <family val="2"/>
          </rPr>
          <t>&lt;[[DEVDeals] - [Associated TC Deal (Seq: 1)] - [TC Property Current Stage (Seq: 1)] - [Buildings (Seq: 8)] State - Both]&gt;</t>
        </r>
      </text>
    </comment>
    <comment ref="X198" authorId="0" shapeId="0" xr:uid="{82D7A07E-1B46-40EC-9CC0-FA9A46395161}">
      <text>
        <r>
          <rPr>
            <b/>
            <sz val="9"/>
            <color indexed="81"/>
            <rFont val="Tahoma"/>
            <family val="2"/>
          </rPr>
          <t>&lt;[[DEVDeals] - [Associated TC Deal (Seq: 1)] - [TC Property Current Stage (Seq: 1)] - [Buildings (Seq: 8)] Zip Code - Both]&gt;</t>
        </r>
      </text>
    </comment>
    <comment ref="Y198" authorId="0" shapeId="0" xr:uid="{02664EE5-D7BA-4A06-962D-A49F246BB659}">
      <text>
        <r>
          <rPr>
            <b/>
            <sz val="9"/>
            <color indexed="81"/>
            <rFont val="Tahoma"/>
            <family val="2"/>
          </rPr>
          <t>&lt;[[DEVDeals] - [Associated TC Deal (Seq: 1)] - [TC Property Current Stage (Seq: 1)] - [Buildings (Seq: 8)] BIN - Both]&gt;</t>
        </r>
      </text>
    </comment>
    <comment ref="AA198" authorId="0" shapeId="0" xr:uid="{4641E6DD-8D7E-4B0F-ADE8-973FC35E50C0}">
      <text>
        <r>
          <rPr>
            <b/>
            <sz val="9"/>
            <color indexed="81"/>
            <rFont val="Tahoma"/>
            <family val="2"/>
          </rPr>
          <t>&lt;[[DEVDeals] - [Associated TC Deal (Seq: 1)] - [TC Property Current Stage (Seq: 1)] - [Buildings (Seq: 8)] Num TC Units - Both]&gt;</t>
        </r>
      </text>
    </comment>
    <comment ref="AB198" authorId="0" shapeId="0" xr:uid="{8C87DAD1-488C-48C0-A676-7E2D4385B896}">
      <text>
        <r>
          <rPr>
            <b/>
            <sz val="9"/>
            <color indexed="81"/>
            <rFont val="Tahoma"/>
            <family val="2"/>
          </rPr>
          <t>&lt;[[DEVDeals] - [Associated TC Deal (Seq: 1)] - [TC Property Current Stage (Seq: 1)] - [Buildings (Seq: 8)] - [Buildings - User Defined Field Values (Seq: 1)] Building Info - Total Square Footage - Both]&gt;</t>
        </r>
      </text>
    </comment>
    <comment ref="AC198" authorId="0" shapeId="0" xr:uid="{FFB550A3-E22A-4B49-84D2-D553687D563D}">
      <text>
        <r>
          <rPr>
            <b/>
            <sz val="9"/>
            <color indexed="81"/>
            <rFont val="Tahoma"/>
            <family val="2"/>
          </rPr>
          <t>&lt;[[DEVDeals] - [Associated TC Deal (Seq: 1)] - [TC Property Current Stage (Seq: 1)] - [Buildings (Seq: 8)] - [Buildings - User Defined Field Values (Seq: 1)] Building Info - Restricted Unit Square Footage - Both]&gt;</t>
        </r>
      </text>
    </comment>
    <comment ref="AD198" authorId="0" shapeId="0" xr:uid="{F3A7A3FE-D0AC-41DD-8601-D715CB0E0876}">
      <text>
        <r>
          <rPr>
            <b/>
            <sz val="9"/>
            <color indexed="81"/>
            <rFont val="Tahoma"/>
            <family val="2"/>
          </rPr>
          <t>&lt;[[DEVDeals] - [Associated TC Deal (Seq: 1)] - [TC Property Current Stage (Seq: 1)] - [Buildings (Seq: 8)] Applicable Fraction - Both]&gt;</t>
        </r>
      </text>
    </comment>
    <comment ref="AE198" authorId="0" shapeId="0" xr:uid="{164F4CC7-4E8B-448E-95A0-0282A81E71E1}">
      <text>
        <r>
          <rPr>
            <b/>
            <sz val="9"/>
            <color indexed="81"/>
            <rFont val="Tahoma"/>
            <family val="2"/>
          </rPr>
          <t>&lt;[[DEVDeals] - [Associated TC Deal (Seq: 1)] - [TC Property Current Stage (Seq: 1)] - [Buildings (Seq: 8)] - [Buildings - User Defined Field Values (Seq: 1)] Building Info - Year Built - Both]&gt;</t>
        </r>
      </text>
    </comment>
    <comment ref="AF198" authorId="0" shapeId="0" xr:uid="{D567B34A-7353-4A68-9B2A-51E58180112A}">
      <text>
        <r>
          <rPr>
            <b/>
            <sz val="9"/>
            <color indexed="81"/>
            <rFont val="Tahoma"/>
            <family val="2"/>
          </rPr>
          <t>&lt;[[DEVDeals] - [Associated TC Deal (Seq: 1)] - [TC Property Current Stage (Seq: 1)] - [Buildings (Seq: 8)] - [Buildings - User Defined Field Values (Seq: 1)] Building Info - Building Type - Both]&gt;</t>
        </r>
      </text>
    </comment>
    <comment ref="AG198" authorId="0" shapeId="0" xr:uid="{03E899A1-125D-4A87-B075-536DA07ED325}">
      <text>
        <r>
          <rPr>
            <b/>
            <sz val="9"/>
            <color indexed="81"/>
            <rFont val="Tahoma"/>
            <family val="2"/>
          </rPr>
          <t>&lt;[[DEVDeals] - [Associated TC Deal (Seq: 1)] - [TC Property Current Stage (Seq: 1)] - [Buildings (Seq: 8)] Num Mkt Units - Both]&gt;</t>
        </r>
      </text>
    </comment>
    <comment ref="AH198" authorId="0" shapeId="0" xr:uid="{4C2F7B42-4E08-4747-909E-5CEDBA9586E7}">
      <text>
        <r>
          <rPr>
            <b/>
            <sz val="9"/>
            <color indexed="81"/>
            <rFont val="Tahoma"/>
            <family val="2"/>
          </rPr>
          <t>&lt;[[DEVDeals] - [Associated TC Deal (Seq: 1)] - [TC Property Current Stage (Seq: 1)] - [Buildings (Seq: 8)] - [Buildings - User Defined Field Values (Seq: 1)] Building Info - Date Last Placed in Service - Both]&gt;</t>
        </r>
      </text>
    </comment>
    <comment ref="AI198" authorId="0" shapeId="0" xr:uid="{0FB07895-5522-49C2-9FB7-8AAA21022683}">
      <text>
        <r>
          <rPr>
            <b/>
            <sz val="9"/>
            <color indexed="81"/>
            <rFont val="Tahoma"/>
            <family val="2"/>
          </rPr>
          <t>&lt;[[DEVDeals] - [Associated TC Deal (Seq: 1)] - [TC Property Current Stage (Seq: 1)] - [Buildings (Seq: 8)] - [Buildings - User Defined Field Values (Seq: 1)] Building Info - Sponsor's Purchase Date - Both]&gt;</t>
        </r>
      </text>
    </comment>
    <comment ref="AJ198" authorId="0" shapeId="0" xr:uid="{A0E3152F-C64C-4443-BA58-23E7ABC39805}">
      <text>
        <r>
          <rPr>
            <b/>
            <sz val="9"/>
            <color indexed="81"/>
            <rFont val="Tahoma"/>
            <family val="2"/>
          </rPr>
          <t>&lt;[[DEVDeals] - [Associated TC Deal (Seq: 1)] - [TC Property Current Stage (Seq: 1)] - [Buildings (Seq: 8)] - [Buildings - User Defined Field Values (Seq: 1)] Building Info - Years Between PIS &amp; Purchase Date - Both]&gt;</t>
        </r>
      </text>
    </comment>
    <comment ref="AK198" authorId="0" shapeId="0" xr:uid="{CB8D8B42-6748-4038-9F73-97EA2CD20A87}">
      <text>
        <r>
          <rPr>
            <b/>
            <sz val="9"/>
            <color indexed="81"/>
            <rFont val="Tahoma"/>
            <family val="2"/>
          </rPr>
          <t>&lt;[[DEVDeals] - [Associated TC Deal (Seq: 1)] - [TC Property Current Stage (Seq: 1)] - [Buildings (Seq: 8)] Federal Minimum Set Aside Id - Both]&gt;</t>
        </r>
      </text>
    </comment>
    <comment ref="U199" authorId="0" shapeId="0" xr:uid="{C370332C-2859-4AA9-928F-07819DE6A092}">
      <text>
        <r>
          <rPr>
            <b/>
            <sz val="9"/>
            <color indexed="81"/>
            <rFont val="Tahoma"/>
            <family val="2"/>
          </rPr>
          <t>&lt;[[DEVDeals] - [Associated TC Deal (Seq: 1)] - [TC Property Current Stage (Seq: 1)] - [Buildings (Seq: 9)] Address 1 - Both]&gt;</t>
        </r>
      </text>
    </comment>
    <comment ref="V199" authorId="0" shapeId="0" xr:uid="{E4D2D9B3-7562-41D0-BEAE-1BABA8911936}">
      <text>
        <r>
          <rPr>
            <b/>
            <sz val="9"/>
            <color indexed="81"/>
            <rFont val="Tahoma"/>
            <family val="2"/>
          </rPr>
          <t>&lt;[[DEVDeals] - [Associated TC Deal (Seq: 1)] - [TC Property Current Stage (Seq: 1)] - [Buildings (Seq: 9)] City - Both]&gt;</t>
        </r>
      </text>
    </comment>
    <comment ref="W199" authorId="0" shapeId="0" xr:uid="{77461189-2602-47C9-BBA4-4A5DF0188193}">
      <text>
        <r>
          <rPr>
            <b/>
            <sz val="9"/>
            <color indexed="81"/>
            <rFont val="Tahoma"/>
            <family val="2"/>
          </rPr>
          <t>&lt;[[DEVDeals] - [Associated TC Deal (Seq: 1)] - [TC Property Current Stage (Seq: 1)] - [Buildings (Seq: 9)] State - Both]&gt;</t>
        </r>
      </text>
    </comment>
    <comment ref="X199" authorId="0" shapeId="0" xr:uid="{08DCBCB2-4D85-4251-A1BE-CE17E0F36B75}">
      <text>
        <r>
          <rPr>
            <b/>
            <sz val="9"/>
            <color indexed="81"/>
            <rFont val="Tahoma"/>
            <family val="2"/>
          </rPr>
          <t>&lt;[[DEVDeals] - [Associated TC Deal (Seq: 1)] - [TC Property Current Stage (Seq: 1)] - [Buildings (Seq: 9)] Zip Code - Both]&gt;</t>
        </r>
      </text>
    </comment>
    <comment ref="Y199" authorId="0" shapeId="0" xr:uid="{8FE67E16-03DC-4092-8BAC-3219DBC11008}">
      <text>
        <r>
          <rPr>
            <b/>
            <sz val="9"/>
            <color indexed="81"/>
            <rFont val="Tahoma"/>
            <family val="2"/>
          </rPr>
          <t>&lt;[[DEVDeals] - [Associated TC Deal (Seq: 1)] - [TC Property Current Stage (Seq: 1)] - [Buildings (Seq: 9)] BIN - Both]&gt;</t>
        </r>
      </text>
    </comment>
    <comment ref="AA199" authorId="0" shapeId="0" xr:uid="{E94E8D79-5BCD-4A20-A65D-95CFB6AC80E4}">
      <text>
        <r>
          <rPr>
            <b/>
            <sz val="9"/>
            <color indexed="81"/>
            <rFont val="Tahoma"/>
            <family val="2"/>
          </rPr>
          <t>&lt;[[DEVDeals] - [Associated TC Deal (Seq: 1)] - [TC Property Current Stage (Seq: 1)] - [Buildings (Seq: 9)] Num TC Units - Both]&gt;</t>
        </r>
      </text>
    </comment>
    <comment ref="AB199" authorId="0" shapeId="0" xr:uid="{8545BA21-0C13-4D70-BB88-7B4472A75D36}">
      <text>
        <r>
          <rPr>
            <b/>
            <sz val="9"/>
            <color indexed="81"/>
            <rFont val="Tahoma"/>
            <family val="2"/>
          </rPr>
          <t>&lt;[[DEVDeals] - [Associated TC Deal (Seq: 1)] - [TC Property Current Stage (Seq: 1)] - [Buildings (Seq: 9)] - [Buildings - User Defined Field Values (Seq: 1)] Building Info - Total Square Footage - Both]&gt;</t>
        </r>
      </text>
    </comment>
    <comment ref="AC199" authorId="0" shapeId="0" xr:uid="{2F4054E7-3E8B-4E61-9B84-01EAF0E8BACA}">
      <text>
        <r>
          <rPr>
            <b/>
            <sz val="9"/>
            <color indexed="81"/>
            <rFont val="Tahoma"/>
            <family val="2"/>
          </rPr>
          <t>&lt;[[DEVDeals] - [Associated TC Deal (Seq: 1)] - [TC Property Current Stage (Seq: 1)] - [Buildings (Seq: 9)] - [Buildings - User Defined Field Values (Seq: 1)] Building Info - Restricted Unit Square Footage - Both]&gt;</t>
        </r>
      </text>
    </comment>
    <comment ref="AD199" authorId="0" shapeId="0" xr:uid="{842890FF-E784-4D01-BCC6-C2E0AA112FF5}">
      <text>
        <r>
          <rPr>
            <b/>
            <sz val="9"/>
            <color indexed="81"/>
            <rFont val="Tahoma"/>
            <family val="2"/>
          </rPr>
          <t>&lt;[[DEVDeals] - [Associated TC Deal (Seq: 1)] - [TC Property Current Stage (Seq: 1)] - [Buildings (Seq: 9)] Applicable Fraction - Both]&gt;</t>
        </r>
      </text>
    </comment>
    <comment ref="AE199" authorId="0" shapeId="0" xr:uid="{A60FEF24-5141-4E5F-B000-4705A769A66A}">
      <text>
        <r>
          <rPr>
            <b/>
            <sz val="9"/>
            <color indexed="81"/>
            <rFont val="Tahoma"/>
            <family val="2"/>
          </rPr>
          <t>&lt;[[DEVDeals] - [Associated TC Deal (Seq: 1)] - [TC Property Current Stage (Seq: 1)] - [Buildings (Seq: 9)] - [Buildings - User Defined Field Values (Seq: 1)] Building Info - Year Built - Both]&gt;</t>
        </r>
      </text>
    </comment>
    <comment ref="AF199" authorId="0" shapeId="0" xr:uid="{DDED39FE-892D-4657-852A-0560998E0229}">
      <text>
        <r>
          <rPr>
            <b/>
            <sz val="9"/>
            <color indexed="81"/>
            <rFont val="Tahoma"/>
            <family val="2"/>
          </rPr>
          <t>&lt;[[DEVDeals] - [Associated TC Deal (Seq: 1)] - [TC Property Current Stage (Seq: 1)] - [Buildings (Seq: 9)] - [Buildings - User Defined Field Values (Seq: 1)] Building Info - Building Type - Both]&gt;</t>
        </r>
      </text>
    </comment>
    <comment ref="AG199" authorId="0" shapeId="0" xr:uid="{D46803C8-D009-41E4-B08C-957C6D75DEB0}">
      <text>
        <r>
          <rPr>
            <b/>
            <sz val="9"/>
            <color indexed="81"/>
            <rFont val="Tahoma"/>
            <family val="2"/>
          </rPr>
          <t>&lt;[[DEVDeals] - [Associated TC Deal (Seq: 1)] - [TC Property Current Stage (Seq: 1)] - [Buildings (Seq: 9)] Num Mkt Units - Both]&gt;</t>
        </r>
      </text>
    </comment>
    <comment ref="AH199" authorId="0" shapeId="0" xr:uid="{F1670726-1CAC-4A08-8822-995E0ABADC15}">
      <text>
        <r>
          <rPr>
            <b/>
            <sz val="9"/>
            <color indexed="81"/>
            <rFont val="Tahoma"/>
            <family val="2"/>
          </rPr>
          <t>&lt;[[DEVDeals] - [Associated TC Deal (Seq: 1)] - [TC Property Current Stage (Seq: 1)] - [Buildings (Seq: 9)] - [Buildings - User Defined Field Values (Seq: 1)] Building Info - Date Last Placed in Service - Both]&gt;</t>
        </r>
      </text>
    </comment>
    <comment ref="AI199" authorId="0" shapeId="0" xr:uid="{D53CADC3-A8E4-4940-B318-C2B0534A96FE}">
      <text>
        <r>
          <rPr>
            <b/>
            <sz val="9"/>
            <color indexed="81"/>
            <rFont val="Tahoma"/>
            <family val="2"/>
          </rPr>
          <t>&lt;[[DEVDeals] - [Associated TC Deal (Seq: 1)] - [TC Property Current Stage (Seq: 1)] - [Buildings (Seq: 9)] - [Buildings - User Defined Field Values (Seq: 1)] Building Info - Sponsor's Purchase Date - Both]&gt;</t>
        </r>
      </text>
    </comment>
    <comment ref="AJ199" authorId="0" shapeId="0" xr:uid="{2FA8ADFA-77F5-4CE6-81B8-E08183612F60}">
      <text>
        <r>
          <rPr>
            <b/>
            <sz val="9"/>
            <color indexed="81"/>
            <rFont val="Tahoma"/>
            <family val="2"/>
          </rPr>
          <t>&lt;[[DEVDeals] - [Associated TC Deal (Seq: 1)] - [TC Property Current Stage (Seq: 1)] - [Buildings (Seq: 9)] - [Buildings - User Defined Field Values (Seq: 1)] Building Info - Years Between PIS &amp; Purchase Date - Both]&gt;</t>
        </r>
      </text>
    </comment>
    <comment ref="AK199" authorId="0" shapeId="0" xr:uid="{35A6F77C-97A4-475E-A3D2-617335B55EB8}">
      <text>
        <r>
          <rPr>
            <b/>
            <sz val="9"/>
            <color indexed="81"/>
            <rFont val="Tahoma"/>
            <family val="2"/>
          </rPr>
          <t>&lt;[[DEVDeals] - [Associated TC Deal (Seq: 1)] - [TC Property Current Stage (Seq: 1)] - [Buildings (Seq: 9)] Federal Minimum Set Aside Id - Both]&gt;</t>
        </r>
      </text>
    </comment>
    <comment ref="U200" authorId="0" shapeId="0" xr:uid="{C46B0D32-EFD0-403B-9E73-66764ADE2C3F}">
      <text>
        <r>
          <rPr>
            <b/>
            <sz val="9"/>
            <color indexed="81"/>
            <rFont val="Tahoma"/>
            <family val="2"/>
          </rPr>
          <t>&lt;[[DEVDeals] - [Associated TC Deal (Seq: 1)] - [TC Property Current Stage (Seq: 1)] - [Buildings (Seq: 10)] Address 1 - Both]&gt;</t>
        </r>
      </text>
    </comment>
    <comment ref="V200" authorId="0" shapeId="0" xr:uid="{21BC404A-DF62-4CF3-945F-AFB4689C4F53}">
      <text>
        <r>
          <rPr>
            <b/>
            <sz val="9"/>
            <color indexed="81"/>
            <rFont val="Tahoma"/>
            <family val="2"/>
          </rPr>
          <t>&lt;[[DEVDeals] - [Associated TC Deal (Seq: 1)] - [TC Property Current Stage (Seq: 1)] - [Buildings (Seq: 10)] City - Both]&gt;</t>
        </r>
      </text>
    </comment>
    <comment ref="W200" authorId="0" shapeId="0" xr:uid="{4C69E25E-76C2-4760-811C-91C6ECF85D8B}">
      <text>
        <r>
          <rPr>
            <b/>
            <sz val="9"/>
            <color indexed="81"/>
            <rFont val="Tahoma"/>
            <family val="2"/>
          </rPr>
          <t>&lt;[[DEVDeals] - [Associated TC Deal (Seq: 1)] - [TC Property Current Stage (Seq: 1)] - [Buildings (Seq: 10)] State - Both]&gt;</t>
        </r>
      </text>
    </comment>
    <comment ref="X200" authorId="0" shapeId="0" xr:uid="{2F8778BD-4BB7-4576-8832-E9939FD0917C}">
      <text>
        <r>
          <rPr>
            <b/>
            <sz val="9"/>
            <color indexed="81"/>
            <rFont val="Tahoma"/>
            <family val="2"/>
          </rPr>
          <t>&lt;[[DEVDeals] - [Associated TC Deal (Seq: 1)] - [TC Property Current Stage (Seq: 1)] - [Buildings (Seq: 10)] Zip Code - Both]&gt;</t>
        </r>
      </text>
    </comment>
    <comment ref="Y200" authorId="0" shapeId="0" xr:uid="{A2F9BEDF-0177-459F-9929-112C89005A67}">
      <text>
        <r>
          <rPr>
            <b/>
            <sz val="9"/>
            <color indexed="81"/>
            <rFont val="Tahoma"/>
            <family val="2"/>
          </rPr>
          <t>&lt;[[DEVDeals] - [Associated TC Deal (Seq: 1)] - [TC Property Current Stage (Seq: 1)] - [Buildings (Seq: 10)] BIN - Both]&gt;</t>
        </r>
      </text>
    </comment>
    <comment ref="AA200" authorId="0" shapeId="0" xr:uid="{CAAFCC90-1E7F-4962-BD58-E9CB2C6A732C}">
      <text>
        <r>
          <rPr>
            <b/>
            <sz val="9"/>
            <color indexed="81"/>
            <rFont val="Tahoma"/>
            <family val="2"/>
          </rPr>
          <t>&lt;[[DEVDeals] - [Associated TC Deal (Seq: 1)] - [TC Property Current Stage (Seq: 1)] - [Buildings (Seq: 10)] Num TC Units - Both]&gt;</t>
        </r>
      </text>
    </comment>
    <comment ref="AB200" authorId="0" shapeId="0" xr:uid="{C5F27A90-446C-4566-B7A6-CFB8E6AC4D94}">
      <text>
        <r>
          <rPr>
            <b/>
            <sz val="9"/>
            <color indexed="81"/>
            <rFont val="Tahoma"/>
            <family val="2"/>
          </rPr>
          <t>&lt;[[DEVDeals] - [Associated TC Deal (Seq: 1)] - [TC Property Current Stage (Seq: 1)] - [Buildings (Seq: 10)] - [Buildings - User Defined Field Values (Seq: 1)] Building Info - Total Square Footage - Both]&gt;</t>
        </r>
      </text>
    </comment>
    <comment ref="AC200" authorId="0" shapeId="0" xr:uid="{7417AFED-02E1-4454-866F-06935E7D6193}">
      <text>
        <r>
          <rPr>
            <b/>
            <sz val="9"/>
            <color indexed="81"/>
            <rFont val="Tahoma"/>
            <family val="2"/>
          </rPr>
          <t>&lt;[[DEVDeals] - [Associated TC Deal (Seq: 1)] - [TC Property Current Stage (Seq: 1)] - [Buildings (Seq: 10)] - [Buildings - User Defined Field Values (Seq: 1)] Building Info - Restricted Unit Square Footage - Both]&gt;</t>
        </r>
      </text>
    </comment>
    <comment ref="AD200" authorId="0" shapeId="0" xr:uid="{74FCC7C2-CBE3-4C84-ADB1-4B6C2A365583}">
      <text>
        <r>
          <rPr>
            <b/>
            <sz val="9"/>
            <color indexed="81"/>
            <rFont val="Tahoma"/>
            <family val="2"/>
          </rPr>
          <t>&lt;[[DEVDeals] - [Associated TC Deal (Seq: 1)] - [TC Property Current Stage (Seq: 1)] - [Buildings (Seq: 10)] Applicable Fraction - Both]&gt;</t>
        </r>
      </text>
    </comment>
    <comment ref="AE200" authorId="0" shapeId="0" xr:uid="{29E1612F-4C68-46AE-B06E-DB28EA2FB209}">
      <text>
        <r>
          <rPr>
            <b/>
            <sz val="9"/>
            <color indexed="81"/>
            <rFont val="Tahoma"/>
            <family val="2"/>
          </rPr>
          <t>&lt;[[DEVDeals] - [Associated TC Deal (Seq: 1)] - [TC Property Current Stage (Seq: 1)] - [Buildings (Seq: 10)] - [Buildings - User Defined Field Values (Seq: 1)] Building Info - Year Built - Both]&gt;</t>
        </r>
      </text>
    </comment>
    <comment ref="AF200" authorId="0" shapeId="0" xr:uid="{D200DB91-46FC-4A4C-8759-88AA4C94A399}">
      <text>
        <r>
          <rPr>
            <b/>
            <sz val="9"/>
            <color indexed="81"/>
            <rFont val="Tahoma"/>
            <family val="2"/>
          </rPr>
          <t>&lt;[[DEVDeals] - [Associated TC Deal (Seq: 1)] - [TC Property Current Stage (Seq: 1)] - [Buildings (Seq: 10)] - [Buildings - User Defined Field Values (Seq: 1)] Building Info - Building Type - Both]&gt;</t>
        </r>
      </text>
    </comment>
    <comment ref="AG200" authorId="0" shapeId="0" xr:uid="{7B8436A4-9CCF-474D-9581-80984A1EAA3C}">
      <text>
        <r>
          <rPr>
            <b/>
            <sz val="9"/>
            <color indexed="81"/>
            <rFont val="Tahoma"/>
            <family val="2"/>
          </rPr>
          <t>&lt;[[DEVDeals] - [Associated TC Deal (Seq: 1)] - [TC Property Current Stage (Seq: 1)] - [Buildings (Seq: 10)] Num Mkt Units - Both]&gt;</t>
        </r>
      </text>
    </comment>
    <comment ref="AH200" authorId="0" shapeId="0" xr:uid="{AEA2251A-11AB-4A70-AE17-A18BF898956E}">
      <text>
        <r>
          <rPr>
            <b/>
            <sz val="9"/>
            <color indexed="81"/>
            <rFont val="Tahoma"/>
            <family val="2"/>
          </rPr>
          <t>&lt;[[DEVDeals] - [Associated TC Deal (Seq: 1)] - [TC Property Current Stage (Seq: 1)] - [Buildings (Seq: 10)] - [Buildings - User Defined Field Values (Seq: 1)] Building Info - Date Last Placed in Service - Both]&gt;</t>
        </r>
      </text>
    </comment>
    <comment ref="AI200" authorId="0" shapeId="0" xr:uid="{2BDEA7CA-C621-4D9E-9145-25F5EC7F38C4}">
      <text>
        <r>
          <rPr>
            <b/>
            <sz val="9"/>
            <color indexed="81"/>
            <rFont val="Tahoma"/>
            <family val="2"/>
          </rPr>
          <t>&lt;[[DEVDeals] - [Associated TC Deal (Seq: 1)] - [TC Property Current Stage (Seq: 1)] - [Buildings (Seq: 10)] - [Buildings - User Defined Field Values (Seq: 1)] Building Info - Sponsor's Purchase Date - Both]&gt;</t>
        </r>
      </text>
    </comment>
    <comment ref="AJ200" authorId="0" shapeId="0" xr:uid="{164AD7FE-38B9-4503-BEA1-BC7353A6DB0B}">
      <text>
        <r>
          <rPr>
            <b/>
            <sz val="9"/>
            <color indexed="81"/>
            <rFont val="Tahoma"/>
            <family val="2"/>
          </rPr>
          <t>&lt;[[DEVDeals] - [Associated TC Deal (Seq: 1)] - [TC Property Current Stage (Seq: 1)] - [Buildings (Seq: 10)] - [Buildings - User Defined Field Values (Seq: 1)] Building Info - Years Between PIS &amp; Purchase Date - Both]&gt;</t>
        </r>
      </text>
    </comment>
    <comment ref="AK200" authorId="0" shapeId="0" xr:uid="{DFE99503-9ABE-4908-846E-52BC4540775B}">
      <text>
        <r>
          <rPr>
            <b/>
            <sz val="9"/>
            <color indexed="81"/>
            <rFont val="Tahoma"/>
            <family val="2"/>
          </rPr>
          <t>&lt;[[DEVDeals] - [Associated TC Deal (Seq: 1)] - [TC Property Current Stage (Seq: 1)] - [Buildings (Seq: 10)] Federal Minimum Set Aside Id - Both]&gt;</t>
        </r>
      </text>
    </comment>
    <comment ref="U201" authorId="0" shapeId="0" xr:uid="{443AA0D3-7D25-4E6E-B07D-7BBB86E60BDA}">
      <text>
        <r>
          <rPr>
            <b/>
            <sz val="9"/>
            <color indexed="81"/>
            <rFont val="Tahoma"/>
            <family val="2"/>
          </rPr>
          <t>&lt;[[DEVDeals] - [Associated TC Deal (Seq: 1)] - [TC Property Current Stage (Seq: 1)] - [Buildings (Seq: 11)] Address 1 - Both]&gt;</t>
        </r>
      </text>
    </comment>
    <comment ref="V201" authorId="0" shapeId="0" xr:uid="{7B3F266B-F88F-4BEC-BE8B-33E4507AF5CF}">
      <text>
        <r>
          <rPr>
            <b/>
            <sz val="9"/>
            <color indexed="81"/>
            <rFont val="Tahoma"/>
            <family val="2"/>
          </rPr>
          <t>&lt;[[DEVDeals] - [Associated TC Deal (Seq: 1)] - [TC Property Current Stage (Seq: 1)] - [Buildings (Seq: 11)] City - Both]&gt;</t>
        </r>
      </text>
    </comment>
    <comment ref="W201" authorId="0" shapeId="0" xr:uid="{2DEBAE75-B195-4B21-9267-E8D7F3B5C808}">
      <text>
        <r>
          <rPr>
            <b/>
            <sz val="9"/>
            <color indexed="81"/>
            <rFont val="Tahoma"/>
            <family val="2"/>
          </rPr>
          <t>&lt;[[DEVDeals] - [Associated TC Deal (Seq: 1)] - [TC Property Current Stage (Seq: 1)] - [Buildings (Seq: 11)] State - Both]&gt;</t>
        </r>
      </text>
    </comment>
    <comment ref="X201" authorId="0" shapeId="0" xr:uid="{C84A87BE-13AE-49A6-AC79-D8E0F883571E}">
      <text>
        <r>
          <rPr>
            <b/>
            <sz val="9"/>
            <color indexed="81"/>
            <rFont val="Tahoma"/>
            <family val="2"/>
          </rPr>
          <t>&lt;[[DEVDeals] - [Associated TC Deal (Seq: 1)] - [TC Property Current Stage (Seq: 1)] - [Buildings (Seq: 11)] Zip Code - Both]&gt;</t>
        </r>
      </text>
    </comment>
    <comment ref="Y201" authorId="0" shapeId="0" xr:uid="{C10436CE-33EB-4DFA-B15D-E4DAC851C9C7}">
      <text>
        <r>
          <rPr>
            <b/>
            <sz val="9"/>
            <color indexed="81"/>
            <rFont val="Tahoma"/>
            <family val="2"/>
          </rPr>
          <t>&lt;[[DEVDeals] - [Associated TC Deal (Seq: 1)] - [TC Property Current Stage (Seq: 1)] - [Buildings (Seq: 11)] BIN - Both]&gt;</t>
        </r>
      </text>
    </comment>
    <comment ref="AA201" authorId="0" shapeId="0" xr:uid="{D5F26713-8EAA-45C0-9555-BAD13BABCBDC}">
      <text>
        <r>
          <rPr>
            <b/>
            <sz val="9"/>
            <color indexed="81"/>
            <rFont val="Tahoma"/>
            <family val="2"/>
          </rPr>
          <t>&lt;[[DEVDeals] - [Associated TC Deal (Seq: 1)] - [TC Property Current Stage (Seq: 1)] - [Buildings (Seq: 11)] Num TC Units - Both]&gt;</t>
        </r>
      </text>
    </comment>
    <comment ref="AB201" authorId="0" shapeId="0" xr:uid="{EE9FC193-ECE2-412D-8274-5A33CCE3D26B}">
      <text>
        <r>
          <rPr>
            <b/>
            <sz val="9"/>
            <color indexed="81"/>
            <rFont val="Tahoma"/>
            <family val="2"/>
          </rPr>
          <t>&lt;[[DEVDeals] - [Associated TC Deal (Seq: 1)] - [TC Property Current Stage (Seq: 1)] - [Buildings (Seq: 11)] - [Buildings - User Defined Field Values (Seq: 1)] Building Info - Total Square Footage - Both]&gt;</t>
        </r>
      </text>
    </comment>
    <comment ref="AC201" authorId="0" shapeId="0" xr:uid="{301A60F2-6259-4338-8259-46D32D17A2AD}">
      <text>
        <r>
          <rPr>
            <b/>
            <sz val="9"/>
            <color indexed="81"/>
            <rFont val="Tahoma"/>
            <family val="2"/>
          </rPr>
          <t>&lt;[[DEVDeals] - [Associated TC Deal (Seq: 1)] - [TC Property Current Stage (Seq: 1)] - [Buildings (Seq: 11)] - [Buildings - User Defined Field Values (Seq: 1)] Building Info - Restricted Unit Square Footage - Both]&gt;</t>
        </r>
      </text>
    </comment>
    <comment ref="AD201" authorId="0" shapeId="0" xr:uid="{6BDB3EBB-586E-4378-A99E-008F0CE40995}">
      <text>
        <r>
          <rPr>
            <b/>
            <sz val="9"/>
            <color indexed="81"/>
            <rFont val="Tahoma"/>
            <family val="2"/>
          </rPr>
          <t>&lt;[[DEVDeals] - [Associated TC Deal (Seq: 1)] - [TC Property Current Stage (Seq: 1)] - [Buildings (Seq: 11)] Applicable Fraction - Both]&gt;</t>
        </r>
      </text>
    </comment>
    <comment ref="AE201" authorId="0" shapeId="0" xr:uid="{411FAC98-9893-4F1E-9DC1-65A00FB65275}">
      <text>
        <r>
          <rPr>
            <b/>
            <sz val="9"/>
            <color indexed="81"/>
            <rFont val="Tahoma"/>
            <family val="2"/>
          </rPr>
          <t>&lt;[[DEVDeals] - [Associated TC Deal (Seq: 1)] - [TC Property Current Stage (Seq: 1)] - [Buildings (Seq: 11)] - [Buildings - User Defined Field Values (Seq: 1)] Building Info - Year Built - Both]&gt;</t>
        </r>
      </text>
    </comment>
    <comment ref="AF201" authorId="0" shapeId="0" xr:uid="{C3CF4068-37F2-4CC5-995E-FA0C8A9079AA}">
      <text>
        <r>
          <rPr>
            <b/>
            <sz val="9"/>
            <color indexed="81"/>
            <rFont val="Tahoma"/>
            <family val="2"/>
          </rPr>
          <t>&lt;[[DEVDeals] - [Associated TC Deal (Seq: 1)] - [TC Property Current Stage (Seq: 1)] - [Buildings (Seq: 11)] - [Buildings - User Defined Field Values (Seq: 1)] Building Info - Building Type - Both]&gt;</t>
        </r>
      </text>
    </comment>
    <comment ref="AG201" authorId="0" shapeId="0" xr:uid="{F031FC9F-6974-44E7-A34A-8353D27C1639}">
      <text>
        <r>
          <rPr>
            <b/>
            <sz val="9"/>
            <color indexed="81"/>
            <rFont val="Tahoma"/>
            <family val="2"/>
          </rPr>
          <t>&lt;[[DEVDeals] - [Associated TC Deal (Seq: 1)] - [TC Property Current Stage (Seq: 1)] - [Buildings (Seq: 11)] Num Mkt Units - Both]&gt;</t>
        </r>
      </text>
    </comment>
    <comment ref="AH201" authorId="0" shapeId="0" xr:uid="{16CF4BD3-5DF2-4B97-8444-E3610FABC7D5}">
      <text>
        <r>
          <rPr>
            <b/>
            <sz val="9"/>
            <color indexed="81"/>
            <rFont val="Tahoma"/>
            <family val="2"/>
          </rPr>
          <t>&lt;[[DEVDeals] - [Associated TC Deal (Seq: 1)] - [TC Property Current Stage (Seq: 1)] - [Buildings (Seq: 11)] - [Buildings - User Defined Field Values (Seq: 1)] Building Info - Date Last Placed in Service - Both]&gt;</t>
        </r>
      </text>
    </comment>
    <comment ref="AI201" authorId="0" shapeId="0" xr:uid="{4FE130DA-D598-4F2C-AEF3-A5ABD7709FB2}">
      <text>
        <r>
          <rPr>
            <b/>
            <sz val="9"/>
            <color indexed="81"/>
            <rFont val="Tahoma"/>
            <family val="2"/>
          </rPr>
          <t>&lt;[[DEVDeals] - [Associated TC Deal (Seq: 1)] - [TC Property Current Stage (Seq: 1)] - [Buildings (Seq: 11)] - [Buildings - User Defined Field Values (Seq: 1)] Building Info - Sponsor's Purchase Date - Both]&gt;</t>
        </r>
      </text>
    </comment>
    <comment ref="AJ201" authorId="0" shapeId="0" xr:uid="{6A3F6F0A-E43C-4C98-A961-4FFB2A29D348}">
      <text>
        <r>
          <rPr>
            <b/>
            <sz val="9"/>
            <color indexed="81"/>
            <rFont val="Tahoma"/>
            <family val="2"/>
          </rPr>
          <t>&lt;[[DEVDeals] - [Associated TC Deal (Seq: 1)] - [TC Property Current Stage (Seq: 1)] - [Buildings (Seq: 11)] - [Buildings - User Defined Field Values (Seq: 1)] Building Info - Years Between PIS &amp; Purchase Date - Both]&gt;</t>
        </r>
      </text>
    </comment>
    <comment ref="AK201" authorId="0" shapeId="0" xr:uid="{C72F2F1A-E728-42C1-9CCB-57078D7CC442}">
      <text>
        <r>
          <rPr>
            <b/>
            <sz val="9"/>
            <color indexed="81"/>
            <rFont val="Tahoma"/>
            <family val="2"/>
          </rPr>
          <t>&lt;[[DEVDeals] - [Associated TC Deal (Seq: 1)] - [TC Property Current Stage (Seq: 1)] - [Buildings (Seq: 11)] Federal Minimum Set Aside Id - Both]&gt;</t>
        </r>
      </text>
    </comment>
    <comment ref="U202" authorId="0" shapeId="0" xr:uid="{C19B6ECA-14DC-4E52-9717-31A6D8746CE2}">
      <text>
        <r>
          <rPr>
            <b/>
            <sz val="9"/>
            <color indexed="81"/>
            <rFont val="Tahoma"/>
            <family val="2"/>
          </rPr>
          <t>&lt;[[DEVDeals] - [Associated TC Deal (Seq: 1)] - [TC Property Current Stage (Seq: 1)] - [Buildings (Seq: 12)] Address 1 - Both]&gt;</t>
        </r>
      </text>
    </comment>
    <comment ref="V202" authorId="0" shapeId="0" xr:uid="{67B0AAF1-129A-472F-9BA6-983B1FDBA67F}">
      <text>
        <r>
          <rPr>
            <b/>
            <sz val="9"/>
            <color indexed="81"/>
            <rFont val="Tahoma"/>
            <family val="2"/>
          </rPr>
          <t>&lt;[[DEVDeals] - [Associated TC Deal (Seq: 1)] - [TC Property Current Stage (Seq: 1)] - [Buildings (Seq: 12)] City - Both]&gt;</t>
        </r>
      </text>
    </comment>
    <comment ref="W202" authorId="0" shapeId="0" xr:uid="{CA2A07A0-A22C-4321-BC89-D63B433A1302}">
      <text>
        <r>
          <rPr>
            <b/>
            <sz val="9"/>
            <color indexed="81"/>
            <rFont val="Tahoma"/>
            <family val="2"/>
          </rPr>
          <t>&lt;[[DEVDeals] - [Associated TC Deal (Seq: 1)] - [TC Property Current Stage (Seq: 1)] - [Buildings (Seq: 12)] State - Both]&gt;</t>
        </r>
      </text>
    </comment>
    <comment ref="X202" authorId="0" shapeId="0" xr:uid="{303D5242-2C97-42BD-A95C-5F08A06D1E1B}">
      <text>
        <r>
          <rPr>
            <b/>
            <sz val="9"/>
            <color indexed="81"/>
            <rFont val="Tahoma"/>
            <family val="2"/>
          </rPr>
          <t>&lt;[[DEVDeals] - [Associated TC Deal (Seq: 1)] - [TC Property Current Stage (Seq: 1)] - [Buildings (Seq: 12)] Zip Code - Both]&gt;</t>
        </r>
      </text>
    </comment>
    <comment ref="Y202" authorId="0" shapeId="0" xr:uid="{49D7E81E-BC18-47EF-90F1-E220C21BCA34}">
      <text>
        <r>
          <rPr>
            <b/>
            <sz val="9"/>
            <color indexed="81"/>
            <rFont val="Tahoma"/>
            <family val="2"/>
          </rPr>
          <t>&lt;[[DEVDeals] - [Associated TC Deal (Seq: 1)] - [TC Property Current Stage (Seq: 1)] - [Buildings (Seq: 12)] BIN - Both]&gt;</t>
        </r>
      </text>
    </comment>
    <comment ref="AA202" authorId="0" shapeId="0" xr:uid="{17662F55-DCA6-4A2F-9E6F-AE0244705551}">
      <text>
        <r>
          <rPr>
            <b/>
            <sz val="9"/>
            <color indexed="81"/>
            <rFont val="Tahoma"/>
            <family val="2"/>
          </rPr>
          <t>&lt;[[DEVDeals] - [Associated TC Deal (Seq: 1)] - [TC Property Current Stage (Seq: 1)] - [Buildings (Seq: 12)] Num TC Units - Both]&gt;</t>
        </r>
      </text>
    </comment>
    <comment ref="AB202" authorId="0" shapeId="0" xr:uid="{D771EE00-E56A-4963-ADFD-477A635CF1AC}">
      <text>
        <r>
          <rPr>
            <b/>
            <sz val="9"/>
            <color indexed="81"/>
            <rFont val="Tahoma"/>
            <family val="2"/>
          </rPr>
          <t>&lt;[[DEVDeals] - [Associated TC Deal (Seq: 1)] - [TC Property Current Stage (Seq: 1)] - [Buildings (Seq: 12)] - [Buildings - User Defined Field Values (Seq: 1)] Building Info - Total Square Footage - Both]&gt;</t>
        </r>
      </text>
    </comment>
    <comment ref="AC202" authorId="0" shapeId="0" xr:uid="{70F0B177-4EFE-448A-B417-777C5BB05817}">
      <text>
        <r>
          <rPr>
            <b/>
            <sz val="9"/>
            <color indexed="81"/>
            <rFont val="Tahoma"/>
            <family val="2"/>
          </rPr>
          <t>&lt;[[DEVDeals] - [Associated TC Deal (Seq: 1)] - [TC Property Current Stage (Seq: 1)] - [Buildings (Seq: 12)] - [Buildings - User Defined Field Values (Seq: 1)] Building Info - Restricted Unit Square Footage - Both]&gt;</t>
        </r>
      </text>
    </comment>
    <comment ref="AD202" authorId="0" shapeId="0" xr:uid="{CAA01AEA-5D70-4690-AD51-9D6D3F028C03}">
      <text>
        <r>
          <rPr>
            <b/>
            <sz val="9"/>
            <color indexed="81"/>
            <rFont val="Tahoma"/>
            <family val="2"/>
          </rPr>
          <t>&lt;[[DEVDeals] - [Associated TC Deal (Seq: 1)] - [TC Property Current Stage (Seq: 1)] - [Buildings (Seq: 12)] Applicable Fraction - Both]&gt;</t>
        </r>
      </text>
    </comment>
    <comment ref="AE202" authorId="0" shapeId="0" xr:uid="{430597AF-58BA-49E2-9717-D754CEAF16F6}">
      <text>
        <r>
          <rPr>
            <b/>
            <sz val="9"/>
            <color indexed="81"/>
            <rFont val="Tahoma"/>
            <family val="2"/>
          </rPr>
          <t>&lt;[[DEVDeals] - [Associated TC Deal (Seq: 1)] - [TC Property Current Stage (Seq: 1)] - [Buildings (Seq: 12)] - [Buildings - User Defined Field Values (Seq: 1)] Building Info - Year Built - Both]&gt;</t>
        </r>
      </text>
    </comment>
    <comment ref="AF202" authorId="0" shapeId="0" xr:uid="{906C0B2F-FD24-4FDD-83CC-7A685E892A61}">
      <text>
        <r>
          <rPr>
            <b/>
            <sz val="9"/>
            <color indexed="81"/>
            <rFont val="Tahoma"/>
            <family val="2"/>
          </rPr>
          <t>&lt;[[DEVDeals] - [Associated TC Deal (Seq: 1)] - [TC Property Current Stage (Seq: 1)] - [Buildings (Seq: 12)] - [Buildings - User Defined Field Values (Seq: 1)] Building Info - Building Type - Both]&gt;</t>
        </r>
      </text>
    </comment>
    <comment ref="AG202" authorId="0" shapeId="0" xr:uid="{1F1FA1BA-B827-4618-9F26-BD9BB98F679D}">
      <text>
        <r>
          <rPr>
            <b/>
            <sz val="9"/>
            <color indexed="81"/>
            <rFont val="Tahoma"/>
            <family val="2"/>
          </rPr>
          <t>&lt;[[DEVDeals] - [Associated TC Deal (Seq: 1)] - [TC Property Current Stage (Seq: 1)] - [Buildings (Seq: 12)] Num Mkt Units - Both]&gt;</t>
        </r>
      </text>
    </comment>
    <comment ref="AH202" authorId="0" shapeId="0" xr:uid="{83B2530E-7D32-4D26-B46A-A7CE02E1DD5C}">
      <text>
        <r>
          <rPr>
            <b/>
            <sz val="9"/>
            <color indexed="81"/>
            <rFont val="Tahoma"/>
            <family val="2"/>
          </rPr>
          <t>&lt;[[DEVDeals] - [Associated TC Deal (Seq: 1)] - [TC Property Current Stage (Seq: 1)] - [Buildings (Seq: 12)] - [Buildings - User Defined Field Values (Seq: 1)] Building Info - Date Last Placed in Service - Both]&gt;</t>
        </r>
      </text>
    </comment>
    <comment ref="AI202" authorId="0" shapeId="0" xr:uid="{F2D2F8E4-F452-49DE-B837-641CB5E5F63C}">
      <text>
        <r>
          <rPr>
            <b/>
            <sz val="9"/>
            <color indexed="81"/>
            <rFont val="Tahoma"/>
            <family val="2"/>
          </rPr>
          <t>&lt;[[DEVDeals] - [Associated TC Deal (Seq: 1)] - [TC Property Current Stage (Seq: 1)] - [Buildings (Seq: 12)] - [Buildings - User Defined Field Values (Seq: 1)] Building Info - Sponsor's Purchase Date - Both]&gt;</t>
        </r>
      </text>
    </comment>
    <comment ref="AJ202" authorId="0" shapeId="0" xr:uid="{AE48544E-78FC-4BD4-A345-130BBAD367EE}">
      <text>
        <r>
          <rPr>
            <b/>
            <sz val="9"/>
            <color indexed="81"/>
            <rFont val="Tahoma"/>
            <family val="2"/>
          </rPr>
          <t>&lt;[[DEVDeals] - [Associated TC Deal (Seq: 1)] - [TC Property Current Stage (Seq: 1)] - [Buildings (Seq: 12)] - [Buildings - User Defined Field Values (Seq: 1)] Building Info - Years Between PIS &amp; Purchase Date - Both]&gt;</t>
        </r>
      </text>
    </comment>
    <comment ref="AK202" authorId="0" shapeId="0" xr:uid="{5679F3B2-F231-4F61-89E8-6AA655292D10}">
      <text>
        <r>
          <rPr>
            <b/>
            <sz val="9"/>
            <color indexed="81"/>
            <rFont val="Tahoma"/>
            <family val="2"/>
          </rPr>
          <t>&lt;[[DEVDeals] - [Associated TC Deal (Seq: 1)] - [TC Property Current Stage (Seq: 1)] - [Buildings (Seq: 12)] Federal Minimum Set Aside Id - Both]&gt;</t>
        </r>
      </text>
    </comment>
    <comment ref="U203" authorId="0" shapeId="0" xr:uid="{DA57885A-1DC1-4119-A04B-15DE36EC8053}">
      <text>
        <r>
          <rPr>
            <b/>
            <sz val="9"/>
            <color indexed="81"/>
            <rFont val="Tahoma"/>
            <family val="2"/>
          </rPr>
          <t>&lt;[[DEVDeals] - [Associated TC Deal (Seq: 1)] - [TC Property Current Stage (Seq: 1)] - [Buildings (Seq: 13)] Address 1 - Both]&gt;</t>
        </r>
      </text>
    </comment>
    <comment ref="V203" authorId="0" shapeId="0" xr:uid="{812BCDBA-5556-4F7F-A368-5E6EBEA323DE}">
      <text>
        <r>
          <rPr>
            <b/>
            <sz val="9"/>
            <color indexed="81"/>
            <rFont val="Tahoma"/>
            <family val="2"/>
          </rPr>
          <t>&lt;[[DEVDeals] - [Associated TC Deal (Seq: 1)] - [TC Property Current Stage (Seq: 1)] - [Buildings (Seq: 13)] City - Both]&gt;</t>
        </r>
      </text>
    </comment>
    <comment ref="W203" authorId="0" shapeId="0" xr:uid="{75755196-D0A3-47AC-9555-AF1D453EA291}">
      <text>
        <r>
          <rPr>
            <b/>
            <sz val="9"/>
            <color indexed="81"/>
            <rFont val="Tahoma"/>
            <family val="2"/>
          </rPr>
          <t>&lt;[[DEVDeals] - [Associated TC Deal (Seq: 1)] - [TC Property Current Stage (Seq: 1)] - [Buildings (Seq: 13)] State - Both]&gt;</t>
        </r>
      </text>
    </comment>
    <comment ref="X203" authorId="0" shapeId="0" xr:uid="{AF42308A-8429-4673-AEAC-BD61E9CC87B9}">
      <text>
        <r>
          <rPr>
            <b/>
            <sz val="9"/>
            <color indexed="81"/>
            <rFont val="Tahoma"/>
            <family val="2"/>
          </rPr>
          <t>&lt;[[DEVDeals] - [Associated TC Deal (Seq: 1)] - [TC Property Current Stage (Seq: 1)] - [Buildings (Seq: 13)] Zip Code - Both]&gt;</t>
        </r>
      </text>
    </comment>
    <comment ref="Y203" authorId="0" shapeId="0" xr:uid="{693E1729-4B47-4D54-9620-F1BA272B62DE}">
      <text>
        <r>
          <rPr>
            <b/>
            <sz val="9"/>
            <color indexed="81"/>
            <rFont val="Tahoma"/>
            <family val="2"/>
          </rPr>
          <t>&lt;[[DEVDeals] - [Associated TC Deal (Seq: 1)] - [TC Property Current Stage (Seq: 1)] - [Buildings (Seq: 13)] BIN - Both]&gt;</t>
        </r>
      </text>
    </comment>
    <comment ref="AA203" authorId="0" shapeId="0" xr:uid="{F102B7D0-BA87-4CCA-909C-88CBBE5623D1}">
      <text>
        <r>
          <rPr>
            <b/>
            <sz val="9"/>
            <color indexed="81"/>
            <rFont val="Tahoma"/>
            <family val="2"/>
          </rPr>
          <t>&lt;[[DEVDeals] - [Associated TC Deal (Seq: 1)] - [TC Property Current Stage (Seq: 1)] - [Buildings (Seq: 13)] Num TC Units - Both]&gt;</t>
        </r>
      </text>
    </comment>
    <comment ref="AB203" authorId="0" shapeId="0" xr:uid="{1DA88B39-823A-46B5-A9A9-6B2BA5917F40}">
      <text>
        <r>
          <rPr>
            <b/>
            <sz val="9"/>
            <color indexed="81"/>
            <rFont val="Tahoma"/>
            <family val="2"/>
          </rPr>
          <t>&lt;[[DEVDeals] - [Associated TC Deal (Seq: 1)] - [TC Property Current Stage (Seq: 1)] - [Buildings (Seq: 13)] - [Buildings - User Defined Field Values (Seq: 1)] Building Info - Total Square Footage - Both]&gt;</t>
        </r>
      </text>
    </comment>
    <comment ref="AC203" authorId="0" shapeId="0" xr:uid="{799C5370-81D2-4DEA-A1AC-12DF5264E094}">
      <text>
        <r>
          <rPr>
            <b/>
            <sz val="9"/>
            <color indexed="81"/>
            <rFont val="Tahoma"/>
            <family val="2"/>
          </rPr>
          <t>&lt;[[DEVDeals] - [Associated TC Deal (Seq: 1)] - [TC Property Current Stage (Seq: 1)] - [Buildings (Seq: 13)] - [Buildings - User Defined Field Values (Seq: 1)] Building Info - Restricted Unit Square Footage - Both]&gt;</t>
        </r>
      </text>
    </comment>
    <comment ref="AD203" authorId="0" shapeId="0" xr:uid="{620DB9D7-0E79-4263-AE3B-2C8EE729226A}">
      <text>
        <r>
          <rPr>
            <b/>
            <sz val="9"/>
            <color indexed="81"/>
            <rFont val="Tahoma"/>
            <family val="2"/>
          </rPr>
          <t>&lt;[[DEVDeals] - [Associated TC Deal (Seq: 1)] - [TC Property Current Stage (Seq: 1)] - [Buildings (Seq: 13)] Applicable Fraction - Both]&gt;</t>
        </r>
      </text>
    </comment>
    <comment ref="AE203" authorId="0" shapeId="0" xr:uid="{7AF8A27D-C29C-4F11-AE6B-0C618FED0972}">
      <text>
        <r>
          <rPr>
            <b/>
            <sz val="9"/>
            <color indexed="81"/>
            <rFont val="Tahoma"/>
            <family val="2"/>
          </rPr>
          <t>&lt;[[DEVDeals] - [Associated TC Deal (Seq: 1)] - [TC Property Current Stage (Seq: 1)] - [Buildings (Seq: 13)] - [Buildings - User Defined Field Values (Seq: 1)] Building Info - Year Built - Both]&gt;</t>
        </r>
      </text>
    </comment>
    <comment ref="AF203" authorId="0" shapeId="0" xr:uid="{8CAA2B55-E56B-40D1-85F7-CF3C8AC55B02}">
      <text>
        <r>
          <rPr>
            <b/>
            <sz val="9"/>
            <color indexed="81"/>
            <rFont val="Tahoma"/>
            <family val="2"/>
          </rPr>
          <t>&lt;[[DEVDeals] - [Associated TC Deal (Seq: 1)] - [TC Property Current Stage (Seq: 1)] - [Buildings (Seq: 13)] - [Buildings - User Defined Field Values (Seq: 1)] Building Info - Building Type - Both]&gt;</t>
        </r>
      </text>
    </comment>
    <comment ref="AG203" authorId="0" shapeId="0" xr:uid="{9EC0AF6E-DC03-497D-834E-275F25D29B44}">
      <text>
        <r>
          <rPr>
            <b/>
            <sz val="9"/>
            <color indexed="81"/>
            <rFont val="Tahoma"/>
            <family val="2"/>
          </rPr>
          <t>&lt;[[DEVDeals] - [Associated TC Deal (Seq: 1)] - [TC Property Current Stage (Seq: 1)] - [Buildings (Seq: 13)] Num Mkt Units - Both]&gt;</t>
        </r>
      </text>
    </comment>
    <comment ref="AH203" authorId="0" shapeId="0" xr:uid="{CFC886D8-DEAA-4A44-A6A1-20A4A9DF0E0B}">
      <text>
        <r>
          <rPr>
            <b/>
            <sz val="9"/>
            <color indexed="81"/>
            <rFont val="Tahoma"/>
            <family val="2"/>
          </rPr>
          <t>&lt;[[DEVDeals] - [Associated TC Deal (Seq: 1)] - [TC Property Current Stage (Seq: 1)] - [Buildings (Seq: 13)] - [Buildings - User Defined Field Values (Seq: 1)] Building Info - Date Last Placed in Service - Both]&gt;</t>
        </r>
      </text>
    </comment>
    <comment ref="AI203" authorId="0" shapeId="0" xr:uid="{44FB3A86-16ED-41BB-AC09-90041203F007}">
      <text>
        <r>
          <rPr>
            <b/>
            <sz val="9"/>
            <color indexed="81"/>
            <rFont val="Tahoma"/>
            <family val="2"/>
          </rPr>
          <t>&lt;[[DEVDeals] - [Associated TC Deal (Seq: 1)] - [TC Property Current Stage (Seq: 1)] - [Buildings (Seq: 13)] - [Buildings - User Defined Field Values (Seq: 1)] Building Info - Sponsor's Purchase Date - Both]&gt;</t>
        </r>
      </text>
    </comment>
    <comment ref="AJ203" authorId="0" shapeId="0" xr:uid="{6AF1A010-1671-44C7-B7C1-3472C72C24EC}">
      <text>
        <r>
          <rPr>
            <b/>
            <sz val="9"/>
            <color indexed="81"/>
            <rFont val="Tahoma"/>
            <family val="2"/>
          </rPr>
          <t>&lt;[[DEVDeals] - [Associated TC Deal (Seq: 1)] - [TC Property Current Stage (Seq: 1)] - [Buildings (Seq: 13)] - [Buildings - User Defined Field Values (Seq: 1)] Building Info - Years Between PIS &amp; Purchase Date - Both]&gt;</t>
        </r>
      </text>
    </comment>
    <comment ref="AK203" authorId="0" shapeId="0" xr:uid="{57ABC3F6-F9FD-4C88-AFEA-5C859705804F}">
      <text>
        <r>
          <rPr>
            <b/>
            <sz val="9"/>
            <color indexed="81"/>
            <rFont val="Tahoma"/>
            <family val="2"/>
          </rPr>
          <t>&lt;[[DEVDeals] - [Associated TC Deal (Seq: 1)] - [TC Property Current Stage (Seq: 1)] - [Buildings (Seq: 13)] Federal Minimum Set Aside Id - Both]&gt;</t>
        </r>
      </text>
    </comment>
    <comment ref="U204" authorId="0" shapeId="0" xr:uid="{B01004A1-1443-4DA7-96F3-8CFF8624C3A7}">
      <text>
        <r>
          <rPr>
            <b/>
            <sz val="9"/>
            <color indexed="81"/>
            <rFont val="Tahoma"/>
            <family val="2"/>
          </rPr>
          <t>&lt;[[DEVDeals] - [Associated TC Deal (Seq: 1)] - [TC Property Current Stage (Seq: 1)] - [Buildings (Seq: 14)] Address 1 - Both]&gt;</t>
        </r>
      </text>
    </comment>
    <comment ref="V204" authorId="0" shapeId="0" xr:uid="{B21D46A2-7768-4AC3-B039-3C18E1105484}">
      <text>
        <r>
          <rPr>
            <b/>
            <sz val="9"/>
            <color indexed="81"/>
            <rFont val="Tahoma"/>
            <family val="2"/>
          </rPr>
          <t>&lt;[[DEVDeals] - [Associated TC Deal (Seq: 1)] - [TC Property Current Stage (Seq: 1)] - [Buildings (Seq: 14)] City - Both]&gt;</t>
        </r>
      </text>
    </comment>
    <comment ref="W204" authorId="0" shapeId="0" xr:uid="{423E2C76-33B9-4AEA-9905-E160F20FFD8E}">
      <text>
        <r>
          <rPr>
            <b/>
            <sz val="9"/>
            <color indexed="81"/>
            <rFont val="Tahoma"/>
            <family val="2"/>
          </rPr>
          <t>&lt;[[DEVDeals] - [Associated TC Deal (Seq: 1)] - [TC Property Current Stage (Seq: 1)] - [Buildings (Seq: 14)] State - Both]&gt;</t>
        </r>
      </text>
    </comment>
    <comment ref="X204" authorId="0" shapeId="0" xr:uid="{15CEA3E2-0F50-47DF-A66E-EB3DFECD1F02}">
      <text>
        <r>
          <rPr>
            <b/>
            <sz val="9"/>
            <color indexed="81"/>
            <rFont val="Tahoma"/>
            <family val="2"/>
          </rPr>
          <t>&lt;[[DEVDeals] - [Associated TC Deal (Seq: 1)] - [TC Property Current Stage (Seq: 1)] - [Buildings (Seq: 14)] Zip Code - Both]&gt;</t>
        </r>
      </text>
    </comment>
    <comment ref="Y204" authorId="0" shapeId="0" xr:uid="{80714272-5104-4E89-A00B-7FAF6DD25592}">
      <text>
        <r>
          <rPr>
            <b/>
            <sz val="9"/>
            <color indexed="81"/>
            <rFont val="Tahoma"/>
            <family val="2"/>
          </rPr>
          <t>&lt;[[DEVDeals] - [Associated TC Deal (Seq: 1)] - [TC Property Current Stage (Seq: 1)] - [Buildings (Seq: 14)] BIN - Both]&gt;</t>
        </r>
      </text>
    </comment>
    <comment ref="AA204" authorId="0" shapeId="0" xr:uid="{47AF7FF9-730B-45CB-ACAF-201B612F4AE2}">
      <text>
        <r>
          <rPr>
            <b/>
            <sz val="9"/>
            <color indexed="81"/>
            <rFont val="Tahoma"/>
            <family val="2"/>
          </rPr>
          <t>&lt;[[DEVDeals] - [Associated TC Deal (Seq: 1)] - [TC Property Current Stage (Seq: 1)] - [Buildings (Seq: 14)] Num TC Units - Both]&gt;</t>
        </r>
      </text>
    </comment>
    <comment ref="AB204" authorId="0" shapeId="0" xr:uid="{88723327-027B-4164-8151-6DADD7CDD12E}">
      <text>
        <r>
          <rPr>
            <b/>
            <sz val="9"/>
            <color indexed="81"/>
            <rFont val="Tahoma"/>
            <family val="2"/>
          </rPr>
          <t>&lt;[[DEVDeals] - [Associated TC Deal (Seq: 1)] - [TC Property Current Stage (Seq: 1)] - [Buildings (Seq: 14)] - [Buildings - User Defined Field Values (Seq: 1)] Building Info - Total Square Footage - Both]&gt;</t>
        </r>
      </text>
    </comment>
    <comment ref="AC204" authorId="0" shapeId="0" xr:uid="{AA4B0721-7838-4DC1-A195-AC325DBC7B9B}">
      <text>
        <r>
          <rPr>
            <b/>
            <sz val="9"/>
            <color indexed="81"/>
            <rFont val="Tahoma"/>
            <family val="2"/>
          </rPr>
          <t>&lt;[[DEVDeals] - [Associated TC Deal (Seq: 1)] - [TC Property Current Stage (Seq: 1)] - [Buildings (Seq: 14)] - [Buildings - User Defined Field Values (Seq: 1)] Building Info - Restricted Unit Square Footage - Both]&gt;</t>
        </r>
      </text>
    </comment>
    <comment ref="AD204" authorId="0" shapeId="0" xr:uid="{24EFE614-9849-48B7-A7B8-3DDFB5012FBB}">
      <text>
        <r>
          <rPr>
            <b/>
            <sz val="9"/>
            <color indexed="81"/>
            <rFont val="Tahoma"/>
            <family val="2"/>
          </rPr>
          <t>&lt;[[DEVDeals] - [Associated TC Deal (Seq: 1)] - [TC Property Current Stage (Seq: 1)] - [Buildings (Seq: 14)] Applicable Fraction - Both]&gt;</t>
        </r>
      </text>
    </comment>
    <comment ref="AE204" authorId="0" shapeId="0" xr:uid="{A3897F55-33EF-43E3-A962-B7A8A8F3A964}">
      <text>
        <r>
          <rPr>
            <b/>
            <sz val="9"/>
            <color indexed="81"/>
            <rFont val="Tahoma"/>
            <family val="2"/>
          </rPr>
          <t>&lt;[[DEVDeals] - [Associated TC Deal (Seq: 1)] - [TC Property Current Stage (Seq: 1)] - [Buildings (Seq: 14)] - [Buildings - User Defined Field Values (Seq: 1)] Building Info - Year Built - Both]&gt;</t>
        </r>
      </text>
    </comment>
    <comment ref="AF204" authorId="0" shapeId="0" xr:uid="{7716286D-947F-4E71-8CD0-3ADC1F15AD90}">
      <text>
        <r>
          <rPr>
            <b/>
            <sz val="9"/>
            <color indexed="81"/>
            <rFont val="Tahoma"/>
            <family val="2"/>
          </rPr>
          <t>&lt;[[DEVDeals] - [Associated TC Deal (Seq: 1)] - [TC Property Current Stage (Seq: 1)] - [Buildings (Seq: 14)] - [Buildings - User Defined Field Values (Seq: 1)] Building Info - Building Type - Both]&gt;</t>
        </r>
      </text>
    </comment>
    <comment ref="AG204" authorId="0" shapeId="0" xr:uid="{56326A17-AF4F-4232-8DA8-179478A7422B}">
      <text>
        <r>
          <rPr>
            <b/>
            <sz val="9"/>
            <color indexed="81"/>
            <rFont val="Tahoma"/>
            <family val="2"/>
          </rPr>
          <t>&lt;[[DEVDeals] - [Associated TC Deal (Seq: 1)] - [TC Property Current Stage (Seq: 1)] - [Buildings (Seq: 14)] Num Mkt Units - Both]&gt;</t>
        </r>
      </text>
    </comment>
    <comment ref="AH204" authorId="0" shapeId="0" xr:uid="{0B5CB6CA-CF1F-4C05-BC71-67850194183C}">
      <text>
        <r>
          <rPr>
            <b/>
            <sz val="9"/>
            <color indexed="81"/>
            <rFont val="Tahoma"/>
            <family val="2"/>
          </rPr>
          <t>&lt;[[DEVDeals] - [Associated TC Deal (Seq: 1)] - [TC Property Current Stage (Seq: 1)] - [Buildings (Seq: 14)] - [Buildings - User Defined Field Values (Seq: 1)] Building Info - Date Last Placed in Service - Both]&gt;</t>
        </r>
      </text>
    </comment>
    <comment ref="AI204" authorId="0" shapeId="0" xr:uid="{AAB5D597-D89C-468C-A072-B0D949FB9413}">
      <text>
        <r>
          <rPr>
            <b/>
            <sz val="9"/>
            <color indexed="81"/>
            <rFont val="Tahoma"/>
            <family val="2"/>
          </rPr>
          <t>&lt;[[DEVDeals] - [Associated TC Deal (Seq: 1)] - [TC Property Current Stage (Seq: 1)] - [Buildings (Seq: 14)] - [Buildings - User Defined Field Values (Seq: 1)] Building Info - Sponsor's Purchase Date - Both]&gt;</t>
        </r>
      </text>
    </comment>
    <comment ref="AJ204" authorId="0" shapeId="0" xr:uid="{788F7833-A63E-4DEF-90FB-F5F7236B350F}">
      <text>
        <r>
          <rPr>
            <b/>
            <sz val="9"/>
            <color indexed="81"/>
            <rFont val="Tahoma"/>
            <family val="2"/>
          </rPr>
          <t>&lt;[[DEVDeals] - [Associated TC Deal (Seq: 1)] - [TC Property Current Stage (Seq: 1)] - [Buildings (Seq: 14)] - [Buildings - User Defined Field Values (Seq: 1)] Building Info - Years Between PIS &amp; Purchase Date - Both]&gt;</t>
        </r>
      </text>
    </comment>
    <comment ref="AK204" authorId="0" shapeId="0" xr:uid="{BDA68C91-6DE6-4A47-84C4-7C40ABB633BD}">
      <text>
        <r>
          <rPr>
            <b/>
            <sz val="9"/>
            <color indexed="81"/>
            <rFont val="Tahoma"/>
            <family val="2"/>
          </rPr>
          <t>&lt;[[DEVDeals] - [Associated TC Deal (Seq: 1)] - [TC Property Current Stage (Seq: 1)] - [Buildings (Seq: 14)] Federal Minimum Set Aside Id - Both]&gt;</t>
        </r>
      </text>
    </comment>
    <comment ref="U205" authorId="0" shapeId="0" xr:uid="{66B3F4D7-A1CE-4C73-9BFD-FADCEF02DBFB}">
      <text>
        <r>
          <rPr>
            <b/>
            <sz val="9"/>
            <color indexed="81"/>
            <rFont val="Tahoma"/>
            <family val="2"/>
          </rPr>
          <t>&lt;[[DEVDeals] - [Associated TC Deal (Seq: 1)] - [TC Property Current Stage (Seq: 1)] - [Buildings (Seq: 15)] Address 1 - Both]&gt;</t>
        </r>
      </text>
    </comment>
    <comment ref="V205" authorId="0" shapeId="0" xr:uid="{7E2F5385-8A37-46C4-A4B7-C672B2DF951E}">
      <text>
        <r>
          <rPr>
            <b/>
            <sz val="9"/>
            <color indexed="81"/>
            <rFont val="Tahoma"/>
            <family val="2"/>
          </rPr>
          <t>&lt;[[DEVDeals] - [Associated TC Deal (Seq: 1)] - [TC Property Current Stage (Seq: 1)] - [Buildings (Seq: 15)] City - Both]&gt;</t>
        </r>
      </text>
    </comment>
    <comment ref="W205" authorId="0" shapeId="0" xr:uid="{3F620D64-D33A-4CEC-A178-DF22A7CDC591}">
      <text>
        <r>
          <rPr>
            <b/>
            <sz val="9"/>
            <color indexed="81"/>
            <rFont val="Tahoma"/>
            <family val="2"/>
          </rPr>
          <t>&lt;[[DEVDeals] - [Associated TC Deal (Seq: 1)] - [TC Property Current Stage (Seq: 1)] - [Buildings (Seq: 15)] State - Both]&gt;</t>
        </r>
      </text>
    </comment>
    <comment ref="X205" authorId="0" shapeId="0" xr:uid="{BACC2C86-4F4F-4D0D-8D39-C46261E553FA}">
      <text>
        <r>
          <rPr>
            <b/>
            <sz val="9"/>
            <color indexed="81"/>
            <rFont val="Tahoma"/>
            <family val="2"/>
          </rPr>
          <t>&lt;[[DEVDeals] - [Associated TC Deal (Seq: 1)] - [TC Property Current Stage (Seq: 1)] - [Buildings (Seq: 15)] Zip Code - Both]&gt;</t>
        </r>
      </text>
    </comment>
    <comment ref="Y205" authorId="0" shapeId="0" xr:uid="{772455D4-EAE9-4C0E-86A4-353F2D6641F3}">
      <text>
        <r>
          <rPr>
            <b/>
            <sz val="9"/>
            <color indexed="81"/>
            <rFont val="Tahoma"/>
            <family val="2"/>
          </rPr>
          <t>&lt;[[DEVDeals] - [Associated TC Deal (Seq: 1)] - [TC Property Current Stage (Seq: 1)] - [Buildings (Seq: 15)] BIN - Both]&gt;</t>
        </r>
      </text>
    </comment>
    <comment ref="AA205" authorId="0" shapeId="0" xr:uid="{D8B4C805-3D62-4D7C-8DB7-C365B29E9D30}">
      <text>
        <r>
          <rPr>
            <b/>
            <sz val="9"/>
            <color indexed="81"/>
            <rFont val="Tahoma"/>
            <family val="2"/>
          </rPr>
          <t>&lt;[[DEVDeals] - [Associated TC Deal (Seq: 1)] - [TC Property Current Stage (Seq: 1)] - [Buildings (Seq: 15)] Num TC Units - Both]&gt;</t>
        </r>
      </text>
    </comment>
    <comment ref="AB205" authorId="0" shapeId="0" xr:uid="{BA429558-1E53-4C97-B53C-AD665A4C0E4D}">
      <text>
        <r>
          <rPr>
            <b/>
            <sz val="9"/>
            <color indexed="81"/>
            <rFont val="Tahoma"/>
            <family val="2"/>
          </rPr>
          <t>&lt;[[DEVDeals] - [Associated TC Deal (Seq: 1)] - [TC Property Current Stage (Seq: 1)] - [Buildings (Seq: 15)] - [Buildings - User Defined Field Values (Seq: 1)] Building Info - Total Square Footage - Both]&gt;</t>
        </r>
      </text>
    </comment>
    <comment ref="AC205" authorId="0" shapeId="0" xr:uid="{DE0200D7-E786-4F26-A69A-F386A3D42B95}">
      <text>
        <r>
          <rPr>
            <b/>
            <sz val="9"/>
            <color indexed="81"/>
            <rFont val="Tahoma"/>
            <family val="2"/>
          </rPr>
          <t>&lt;[[DEVDeals] - [Associated TC Deal (Seq: 1)] - [TC Property Current Stage (Seq: 1)] - [Buildings (Seq: 15)] - [Buildings - User Defined Field Values (Seq: 1)] Building Info - Restricted Unit Square Footage - Both]&gt;</t>
        </r>
      </text>
    </comment>
    <comment ref="AD205" authorId="0" shapeId="0" xr:uid="{AC5F4153-27E3-4603-A4D7-F72749B96D68}">
      <text>
        <r>
          <rPr>
            <b/>
            <sz val="9"/>
            <color indexed="81"/>
            <rFont val="Tahoma"/>
            <family val="2"/>
          </rPr>
          <t>&lt;[[DEVDeals] - [Associated TC Deal (Seq: 1)] - [TC Property Current Stage (Seq: 1)] - [Buildings (Seq: 15)] Applicable Fraction - Both]&gt;</t>
        </r>
      </text>
    </comment>
    <comment ref="AE205" authorId="0" shapeId="0" xr:uid="{7355C7B8-DC8A-450B-A535-7BA6D69D77D8}">
      <text>
        <r>
          <rPr>
            <b/>
            <sz val="9"/>
            <color indexed="81"/>
            <rFont val="Tahoma"/>
            <family val="2"/>
          </rPr>
          <t>&lt;[[DEVDeals] - [Associated TC Deal (Seq: 1)] - [TC Property Current Stage (Seq: 1)] - [Buildings (Seq: 15)] - [Buildings - User Defined Field Values (Seq: 1)] Building Info - Year Built - Both]&gt;</t>
        </r>
      </text>
    </comment>
    <comment ref="AF205" authorId="0" shapeId="0" xr:uid="{1FD42129-2FC3-439A-A420-02F912622C9D}">
      <text>
        <r>
          <rPr>
            <b/>
            <sz val="9"/>
            <color indexed="81"/>
            <rFont val="Tahoma"/>
            <family val="2"/>
          </rPr>
          <t>&lt;[[DEVDeals] - [Associated TC Deal (Seq: 1)] - [TC Property Current Stage (Seq: 1)] - [Buildings (Seq: 15)] - [Buildings - User Defined Field Values (Seq: 1)] Building Info - Building Type - Both]&gt;</t>
        </r>
      </text>
    </comment>
    <comment ref="AG205" authorId="0" shapeId="0" xr:uid="{207FD2BD-DD36-482F-BBD8-AE81866827BB}">
      <text>
        <r>
          <rPr>
            <b/>
            <sz val="9"/>
            <color indexed="81"/>
            <rFont val="Tahoma"/>
            <family val="2"/>
          </rPr>
          <t>&lt;[[DEVDeals] - [Associated TC Deal (Seq: 1)] - [TC Property Current Stage (Seq: 1)] - [Buildings (Seq: 15)] Num Mkt Units - Both]&gt;</t>
        </r>
      </text>
    </comment>
    <comment ref="AH205" authorId="0" shapeId="0" xr:uid="{5FC76A8E-F717-48FE-A3F0-6843BBCB476A}">
      <text>
        <r>
          <rPr>
            <b/>
            <sz val="9"/>
            <color indexed="81"/>
            <rFont val="Tahoma"/>
            <family val="2"/>
          </rPr>
          <t>&lt;[[DEVDeals] - [Associated TC Deal (Seq: 1)] - [TC Property Current Stage (Seq: 1)] - [Buildings (Seq: 15)] - [Buildings - User Defined Field Values (Seq: 1)] Building Info - Date Last Placed in Service - Both]&gt;</t>
        </r>
      </text>
    </comment>
    <comment ref="AI205" authorId="0" shapeId="0" xr:uid="{6DAA672C-BCA4-48BF-9443-559648F3A37A}">
      <text>
        <r>
          <rPr>
            <b/>
            <sz val="9"/>
            <color indexed="81"/>
            <rFont val="Tahoma"/>
            <family val="2"/>
          </rPr>
          <t>&lt;[[DEVDeals] - [Associated TC Deal (Seq: 1)] - [TC Property Current Stage (Seq: 1)] - [Buildings (Seq: 15)] - [Buildings - User Defined Field Values (Seq: 1)] Building Info - Sponsor's Purchase Date - Both]&gt;</t>
        </r>
      </text>
    </comment>
    <comment ref="AJ205" authorId="0" shapeId="0" xr:uid="{1E81E5EA-8D1A-4E95-965E-DA8A3BA5589C}">
      <text>
        <r>
          <rPr>
            <b/>
            <sz val="9"/>
            <color indexed="81"/>
            <rFont val="Tahoma"/>
            <family val="2"/>
          </rPr>
          <t>&lt;[[DEVDeals] - [Associated TC Deal (Seq: 1)] - [TC Property Current Stage (Seq: 1)] - [Buildings (Seq: 15)] - [Buildings - User Defined Field Values (Seq: 1)] Building Info - Years Between PIS &amp; Purchase Date - Both]&gt;</t>
        </r>
      </text>
    </comment>
    <comment ref="AK205" authorId="0" shapeId="0" xr:uid="{F5B2C939-97D0-41AE-8481-81061CCF3C62}">
      <text>
        <r>
          <rPr>
            <b/>
            <sz val="9"/>
            <color indexed="81"/>
            <rFont val="Tahoma"/>
            <family val="2"/>
          </rPr>
          <t>&lt;[[DEVDeals] - [Associated TC Deal (Seq: 1)] - [TC Property Current Stage (Seq: 1)] - [Buildings (Seq: 15)] Federal Minimum Set Aside Id - Both]&gt;</t>
        </r>
      </text>
    </comment>
    <comment ref="U206" authorId="0" shapeId="0" xr:uid="{30722113-745A-4410-9C32-A349CCE62A38}">
      <text>
        <r>
          <rPr>
            <b/>
            <sz val="9"/>
            <color indexed="81"/>
            <rFont val="Tahoma"/>
            <family val="2"/>
          </rPr>
          <t>&lt;[[DEVDeals] - [Associated TC Deal (Seq: 1)] - [TC Property Current Stage (Seq: 1)] - [Buildings (Seq: 16)] Address 1 - Both]&gt;</t>
        </r>
      </text>
    </comment>
    <comment ref="V206" authorId="0" shapeId="0" xr:uid="{D49F11D7-6E0F-4DB9-86C0-567B07BD5BBD}">
      <text>
        <r>
          <rPr>
            <b/>
            <sz val="9"/>
            <color indexed="81"/>
            <rFont val="Tahoma"/>
            <family val="2"/>
          </rPr>
          <t>&lt;[[DEVDeals] - [Associated TC Deal (Seq: 1)] - [TC Property Current Stage (Seq: 1)] - [Buildings (Seq: 16)] City - Both]&gt;</t>
        </r>
      </text>
    </comment>
    <comment ref="W206" authorId="0" shapeId="0" xr:uid="{ED8527E0-EF45-43FD-B1EC-453239BCD474}">
      <text>
        <r>
          <rPr>
            <b/>
            <sz val="9"/>
            <color indexed="81"/>
            <rFont val="Tahoma"/>
            <family val="2"/>
          </rPr>
          <t>&lt;[[DEVDeals] - [Associated TC Deal (Seq: 1)] - [TC Property Current Stage (Seq: 1)] - [Buildings (Seq: 16)] State - Both]&gt;</t>
        </r>
      </text>
    </comment>
    <comment ref="X206" authorId="0" shapeId="0" xr:uid="{6064682F-D2CC-4487-AB48-6753331F7348}">
      <text>
        <r>
          <rPr>
            <b/>
            <sz val="9"/>
            <color indexed="81"/>
            <rFont val="Tahoma"/>
            <family val="2"/>
          </rPr>
          <t>&lt;[[DEVDeals] - [Associated TC Deal (Seq: 1)] - [TC Property Current Stage (Seq: 1)] - [Buildings (Seq: 16)] Zip Code - Both]&gt;</t>
        </r>
      </text>
    </comment>
    <comment ref="Y206" authorId="0" shapeId="0" xr:uid="{3152D609-D515-4FCE-9680-24009F93EA4A}">
      <text>
        <r>
          <rPr>
            <b/>
            <sz val="9"/>
            <color indexed="81"/>
            <rFont val="Tahoma"/>
            <family val="2"/>
          </rPr>
          <t>&lt;[[DEVDeals] - [Associated TC Deal (Seq: 1)] - [TC Property Current Stage (Seq: 1)] - [Buildings (Seq: 16)] BIN - Both]&gt;</t>
        </r>
      </text>
    </comment>
    <comment ref="AA206" authorId="0" shapeId="0" xr:uid="{D8405D2E-6989-4BF3-BF63-DD38264F0675}">
      <text>
        <r>
          <rPr>
            <b/>
            <sz val="9"/>
            <color indexed="81"/>
            <rFont val="Tahoma"/>
            <family val="2"/>
          </rPr>
          <t>&lt;[[DEVDeals] - [Associated TC Deal (Seq: 1)] - [TC Property Current Stage (Seq: 1)] - [Buildings (Seq: 16)] Num TC Units - Both]&gt;</t>
        </r>
      </text>
    </comment>
    <comment ref="AB206" authorId="0" shapeId="0" xr:uid="{31F51DFB-9996-42D3-A25F-826A16C59021}">
      <text>
        <r>
          <rPr>
            <b/>
            <sz val="9"/>
            <color indexed="81"/>
            <rFont val="Tahoma"/>
            <family val="2"/>
          </rPr>
          <t>&lt;[[DEVDeals] - [Associated TC Deal (Seq: 1)] - [TC Property Current Stage (Seq: 1)] - [Buildings (Seq: 16)] - [Buildings - User Defined Field Values (Seq: 1)] Building Info - Total Square Footage - Both]&gt;</t>
        </r>
      </text>
    </comment>
    <comment ref="AC206" authorId="0" shapeId="0" xr:uid="{C4931412-1153-43C7-B992-89BD1D3D3134}">
      <text>
        <r>
          <rPr>
            <b/>
            <sz val="9"/>
            <color indexed="81"/>
            <rFont val="Tahoma"/>
            <family val="2"/>
          </rPr>
          <t>&lt;[[DEVDeals] - [Associated TC Deal (Seq: 1)] - [TC Property Current Stage (Seq: 1)] - [Buildings (Seq: 16)] - [Buildings - User Defined Field Values (Seq: 1)] Building Info - Restricted Unit Square Footage - Both]&gt;</t>
        </r>
      </text>
    </comment>
    <comment ref="AD206" authorId="0" shapeId="0" xr:uid="{AF1F8539-5290-4A4D-AE6C-99A433FEC890}">
      <text>
        <r>
          <rPr>
            <b/>
            <sz val="9"/>
            <color indexed="81"/>
            <rFont val="Tahoma"/>
            <family val="2"/>
          </rPr>
          <t>&lt;[[DEVDeals] - [Associated TC Deal (Seq: 1)] - [TC Property Current Stage (Seq: 1)] - [Buildings (Seq: 16)] Applicable Fraction - Both]&gt;</t>
        </r>
      </text>
    </comment>
    <comment ref="AE206" authorId="0" shapeId="0" xr:uid="{DA43B419-6D17-452B-9C63-EA86AE288CE0}">
      <text>
        <r>
          <rPr>
            <b/>
            <sz val="9"/>
            <color indexed="81"/>
            <rFont val="Tahoma"/>
            <family val="2"/>
          </rPr>
          <t>&lt;[[DEVDeals] - [Associated TC Deal (Seq: 1)] - [TC Property Current Stage (Seq: 1)] - [Buildings (Seq: 16)] - [Buildings - User Defined Field Values (Seq: 1)] Building Info - Year Built - Both]&gt;</t>
        </r>
      </text>
    </comment>
    <comment ref="AF206" authorId="0" shapeId="0" xr:uid="{2E8267E4-93E4-46D5-9156-96B9D6ACF013}">
      <text>
        <r>
          <rPr>
            <b/>
            <sz val="9"/>
            <color indexed="81"/>
            <rFont val="Tahoma"/>
            <family val="2"/>
          </rPr>
          <t>&lt;[[DEVDeals] - [Associated TC Deal (Seq: 1)] - [TC Property Current Stage (Seq: 1)] - [Buildings (Seq: 16)] - [Buildings - User Defined Field Values (Seq: 1)] Building Info - Building Type - Both]&gt;</t>
        </r>
      </text>
    </comment>
    <comment ref="AG206" authorId="0" shapeId="0" xr:uid="{71175495-7720-424F-8BE1-39BA01E86EE7}">
      <text>
        <r>
          <rPr>
            <b/>
            <sz val="9"/>
            <color indexed="81"/>
            <rFont val="Tahoma"/>
            <family val="2"/>
          </rPr>
          <t>&lt;[[DEVDeals] - [Associated TC Deal (Seq: 1)] - [TC Property Current Stage (Seq: 1)] - [Buildings (Seq: 16)] Num Mkt Units - Both]&gt;</t>
        </r>
      </text>
    </comment>
    <comment ref="AH206" authorId="0" shapeId="0" xr:uid="{8A3843A8-2199-4B33-A222-734FD83666A0}">
      <text>
        <r>
          <rPr>
            <b/>
            <sz val="9"/>
            <color indexed="81"/>
            <rFont val="Tahoma"/>
            <family val="2"/>
          </rPr>
          <t>&lt;[[DEVDeals] - [Associated TC Deal (Seq: 1)] - [TC Property Current Stage (Seq: 1)] - [Buildings (Seq: 16)] - [Buildings - User Defined Field Values (Seq: 1)] Building Info - Date Last Placed in Service - Both]&gt;</t>
        </r>
      </text>
    </comment>
    <comment ref="AI206" authorId="0" shapeId="0" xr:uid="{1459CA54-CF4B-4419-8342-AAF1B90B395F}">
      <text>
        <r>
          <rPr>
            <b/>
            <sz val="9"/>
            <color indexed="81"/>
            <rFont val="Tahoma"/>
            <family val="2"/>
          </rPr>
          <t>&lt;[[DEVDeals] - [Associated TC Deal (Seq: 1)] - [TC Property Current Stage (Seq: 1)] - [Buildings (Seq: 16)] - [Buildings - User Defined Field Values (Seq: 1)] Building Info - Sponsor's Purchase Date - Both]&gt;</t>
        </r>
      </text>
    </comment>
    <comment ref="AJ206" authorId="0" shapeId="0" xr:uid="{36116F9F-931F-463F-A4CD-97EE4919037E}">
      <text>
        <r>
          <rPr>
            <b/>
            <sz val="9"/>
            <color indexed="81"/>
            <rFont val="Tahoma"/>
            <family val="2"/>
          </rPr>
          <t>&lt;[[DEVDeals] - [Associated TC Deal (Seq: 1)] - [TC Property Current Stage (Seq: 1)] - [Buildings (Seq: 16)] - [Buildings - User Defined Field Values (Seq: 1)] Building Info - Years Between PIS &amp; Purchase Date - Both]&gt;</t>
        </r>
      </text>
    </comment>
    <comment ref="AK206" authorId="0" shapeId="0" xr:uid="{BB4D70BB-7C5D-49BD-951D-35567913F056}">
      <text>
        <r>
          <rPr>
            <b/>
            <sz val="9"/>
            <color indexed="81"/>
            <rFont val="Tahoma"/>
            <family val="2"/>
          </rPr>
          <t>&lt;[[DEVDeals] - [Associated TC Deal (Seq: 1)] - [TC Property Current Stage (Seq: 1)] - [Buildings (Seq: 16)] Federal Minimum Set Aside Id - Both]&gt;</t>
        </r>
      </text>
    </comment>
    <comment ref="U207" authorId="0" shapeId="0" xr:uid="{7646FA56-ADB1-4471-BE10-885227153552}">
      <text>
        <r>
          <rPr>
            <b/>
            <sz val="9"/>
            <color indexed="81"/>
            <rFont val="Tahoma"/>
            <family val="2"/>
          </rPr>
          <t>&lt;[[DEVDeals] - [Associated TC Deal (Seq: 1)] - [TC Property Current Stage (Seq: 1)] - [Buildings (Seq: 17)] Address 1 - Both]&gt;</t>
        </r>
      </text>
    </comment>
    <comment ref="V207" authorId="0" shapeId="0" xr:uid="{3BFC5A1A-50D8-47B6-A109-4A5D767EB2EB}">
      <text>
        <r>
          <rPr>
            <b/>
            <sz val="9"/>
            <color indexed="81"/>
            <rFont val="Tahoma"/>
            <family val="2"/>
          </rPr>
          <t>&lt;[[DEVDeals] - [Associated TC Deal (Seq: 1)] - [TC Property Current Stage (Seq: 1)] - [Buildings (Seq: 17)] City - Both]&gt;</t>
        </r>
      </text>
    </comment>
    <comment ref="W207" authorId="0" shapeId="0" xr:uid="{006C58F5-58E8-4123-AD1B-54DDAAB91567}">
      <text>
        <r>
          <rPr>
            <b/>
            <sz val="9"/>
            <color indexed="81"/>
            <rFont val="Tahoma"/>
            <family val="2"/>
          </rPr>
          <t>&lt;[[DEVDeals] - [Associated TC Deal (Seq: 1)] - [TC Property Current Stage (Seq: 1)] - [Buildings (Seq: 17)] State - Both]&gt;</t>
        </r>
      </text>
    </comment>
    <comment ref="X207" authorId="0" shapeId="0" xr:uid="{92C6F100-294E-4AE5-99AA-AC3339931AE7}">
      <text>
        <r>
          <rPr>
            <b/>
            <sz val="9"/>
            <color indexed="81"/>
            <rFont val="Tahoma"/>
            <family val="2"/>
          </rPr>
          <t>&lt;[[DEVDeals] - [Associated TC Deal (Seq: 1)] - [TC Property Current Stage (Seq: 1)] - [Buildings (Seq: 17)] Zip Code - Both]&gt;</t>
        </r>
      </text>
    </comment>
    <comment ref="Y207" authorId="0" shapeId="0" xr:uid="{FFBA3C78-D033-49A7-B9C6-C55B0021B1DD}">
      <text>
        <r>
          <rPr>
            <b/>
            <sz val="9"/>
            <color indexed="81"/>
            <rFont val="Tahoma"/>
            <family val="2"/>
          </rPr>
          <t>&lt;[[DEVDeals] - [Associated TC Deal (Seq: 1)] - [TC Property Current Stage (Seq: 1)] - [Buildings (Seq: 17)] BIN - Both]&gt;</t>
        </r>
      </text>
    </comment>
    <comment ref="AA207" authorId="0" shapeId="0" xr:uid="{79CC87D4-0B38-49A8-A5E4-961D2F05FE51}">
      <text>
        <r>
          <rPr>
            <b/>
            <sz val="9"/>
            <color indexed="81"/>
            <rFont val="Tahoma"/>
            <family val="2"/>
          </rPr>
          <t>&lt;[[DEVDeals] - [Associated TC Deal (Seq: 1)] - [TC Property Current Stage (Seq: 1)] - [Buildings (Seq: 17)] Num TC Units - Both]&gt;</t>
        </r>
      </text>
    </comment>
    <comment ref="AB207" authorId="0" shapeId="0" xr:uid="{C53E4DA8-0E72-4629-A70A-32BA2CB4A58E}">
      <text>
        <r>
          <rPr>
            <b/>
            <sz val="9"/>
            <color indexed="81"/>
            <rFont val="Tahoma"/>
            <family val="2"/>
          </rPr>
          <t>&lt;[[DEVDeals] - [Associated TC Deal (Seq: 1)] - [TC Property Current Stage (Seq: 1)] - [Buildings (Seq: 17)] - [Buildings - User Defined Field Values (Seq: 1)] Building Info - Total Square Footage - Both]&gt;</t>
        </r>
      </text>
    </comment>
    <comment ref="AC207" authorId="0" shapeId="0" xr:uid="{E31A386D-4D77-4952-A9F6-4222588597A9}">
      <text>
        <r>
          <rPr>
            <b/>
            <sz val="9"/>
            <color indexed="81"/>
            <rFont val="Tahoma"/>
            <family val="2"/>
          </rPr>
          <t>&lt;[[DEVDeals] - [Associated TC Deal (Seq: 1)] - [TC Property Current Stage (Seq: 1)] - [Buildings (Seq: 17)] - [Buildings - User Defined Field Values (Seq: 1)] Building Info - Restricted Unit Square Footage - Both]&gt;</t>
        </r>
      </text>
    </comment>
    <comment ref="AD207" authorId="0" shapeId="0" xr:uid="{0FD8C1D9-F338-43AA-9139-F64C6D7EEC96}">
      <text>
        <r>
          <rPr>
            <b/>
            <sz val="9"/>
            <color indexed="81"/>
            <rFont val="Tahoma"/>
            <family val="2"/>
          </rPr>
          <t>&lt;[[DEVDeals] - [Associated TC Deal (Seq: 1)] - [TC Property Current Stage (Seq: 1)] - [Buildings (Seq: 17)] Applicable Fraction - Both]&gt;</t>
        </r>
      </text>
    </comment>
    <comment ref="AE207" authorId="0" shapeId="0" xr:uid="{432FA2E4-E32F-43EB-A519-DE020259E2AB}">
      <text>
        <r>
          <rPr>
            <b/>
            <sz val="9"/>
            <color indexed="81"/>
            <rFont val="Tahoma"/>
            <family val="2"/>
          </rPr>
          <t>&lt;[[DEVDeals] - [Associated TC Deal (Seq: 1)] - [TC Property Current Stage (Seq: 1)] - [Buildings (Seq: 17)] - [Buildings - User Defined Field Values (Seq: 1)] Building Info - Year Built - Both]&gt;</t>
        </r>
      </text>
    </comment>
    <comment ref="AF207" authorId="0" shapeId="0" xr:uid="{24A8CFEE-F212-4089-80A5-43019EDA84AF}">
      <text>
        <r>
          <rPr>
            <b/>
            <sz val="9"/>
            <color indexed="81"/>
            <rFont val="Tahoma"/>
            <family val="2"/>
          </rPr>
          <t>&lt;[[DEVDeals] - [Associated TC Deal (Seq: 1)] - [TC Property Current Stage (Seq: 1)] - [Buildings (Seq: 17)] - [Buildings - User Defined Field Values (Seq: 1)] Building Info - Building Type - Both]&gt;</t>
        </r>
      </text>
    </comment>
    <comment ref="AG207" authorId="0" shapeId="0" xr:uid="{D4E34F2A-63B6-4C82-B626-07D2BAD6E991}">
      <text>
        <r>
          <rPr>
            <b/>
            <sz val="9"/>
            <color indexed="81"/>
            <rFont val="Tahoma"/>
            <family val="2"/>
          </rPr>
          <t>&lt;[[DEVDeals] - [Associated TC Deal (Seq: 1)] - [TC Property Current Stage (Seq: 1)] - [Buildings (Seq: 17)] Num Mkt Units - Both]&gt;</t>
        </r>
      </text>
    </comment>
    <comment ref="AH207" authorId="0" shapeId="0" xr:uid="{B536368F-7E63-42FA-B26A-A4F42582ED49}">
      <text>
        <r>
          <rPr>
            <b/>
            <sz val="9"/>
            <color indexed="81"/>
            <rFont val="Tahoma"/>
            <family val="2"/>
          </rPr>
          <t>&lt;[[DEVDeals] - [Associated TC Deal (Seq: 1)] - [TC Property Current Stage (Seq: 1)] - [Buildings (Seq: 17)] - [Buildings - User Defined Field Values (Seq: 1)] Building Info - Date Last Placed in Service - Both]&gt;</t>
        </r>
      </text>
    </comment>
    <comment ref="AI207" authorId="0" shapeId="0" xr:uid="{9E825CA6-6076-4908-8593-C4678D663054}">
      <text>
        <r>
          <rPr>
            <b/>
            <sz val="9"/>
            <color indexed="81"/>
            <rFont val="Tahoma"/>
            <family val="2"/>
          </rPr>
          <t>&lt;[[DEVDeals] - [Associated TC Deal (Seq: 1)] - [TC Property Current Stage (Seq: 1)] - [Buildings (Seq: 17)] - [Buildings - User Defined Field Values (Seq: 1)] Building Info - Sponsor's Purchase Date - Both]&gt;</t>
        </r>
      </text>
    </comment>
    <comment ref="AJ207" authorId="0" shapeId="0" xr:uid="{12A16601-3B69-40E3-BA10-6634642F69D7}">
      <text>
        <r>
          <rPr>
            <b/>
            <sz val="9"/>
            <color indexed="81"/>
            <rFont val="Tahoma"/>
            <family val="2"/>
          </rPr>
          <t>&lt;[[DEVDeals] - [Associated TC Deal (Seq: 1)] - [TC Property Current Stage (Seq: 1)] - [Buildings (Seq: 17)] - [Buildings - User Defined Field Values (Seq: 1)] Building Info - Years Between PIS &amp; Purchase Date - Both]&gt;</t>
        </r>
      </text>
    </comment>
    <comment ref="AK207" authorId="0" shapeId="0" xr:uid="{9F7511EF-D1E9-460B-8A13-915F2370C5EB}">
      <text>
        <r>
          <rPr>
            <b/>
            <sz val="9"/>
            <color indexed="81"/>
            <rFont val="Tahoma"/>
            <family val="2"/>
          </rPr>
          <t>&lt;[[DEVDeals] - [Associated TC Deal (Seq: 1)] - [TC Property Current Stage (Seq: 1)] - [Buildings (Seq: 17)] Federal Minimum Set Aside Id - Both]&gt;</t>
        </r>
      </text>
    </comment>
    <comment ref="U208" authorId="0" shapeId="0" xr:uid="{04EB73FD-9EE8-474F-95A5-145AC4FA12EE}">
      <text>
        <r>
          <rPr>
            <b/>
            <sz val="9"/>
            <color indexed="81"/>
            <rFont val="Tahoma"/>
            <family val="2"/>
          </rPr>
          <t>&lt;[[DEVDeals] - [Associated TC Deal (Seq: 1)] - [TC Property Current Stage (Seq: 1)] - [Buildings (Seq: 18)] Address 1 - Both]&gt;</t>
        </r>
      </text>
    </comment>
    <comment ref="V208" authorId="0" shapeId="0" xr:uid="{5F932388-4CA3-4FBE-80DE-CAA4E893E998}">
      <text>
        <r>
          <rPr>
            <b/>
            <sz val="9"/>
            <color indexed="81"/>
            <rFont val="Tahoma"/>
            <family val="2"/>
          </rPr>
          <t>&lt;[[DEVDeals] - [Associated TC Deal (Seq: 1)] - [TC Property Current Stage (Seq: 1)] - [Buildings (Seq: 18)] City - Both]&gt;</t>
        </r>
      </text>
    </comment>
    <comment ref="W208" authorId="0" shapeId="0" xr:uid="{DBC460DB-1FC7-465D-AC8B-881A7CA5DE83}">
      <text>
        <r>
          <rPr>
            <b/>
            <sz val="9"/>
            <color indexed="81"/>
            <rFont val="Tahoma"/>
            <family val="2"/>
          </rPr>
          <t>&lt;[[DEVDeals] - [Associated TC Deal (Seq: 1)] - [TC Property Current Stage (Seq: 1)] - [Buildings (Seq: 18)] State - Both]&gt;</t>
        </r>
      </text>
    </comment>
    <comment ref="X208" authorId="0" shapeId="0" xr:uid="{7D160D9A-B272-4122-A60F-369D633936AD}">
      <text>
        <r>
          <rPr>
            <b/>
            <sz val="9"/>
            <color indexed="81"/>
            <rFont val="Tahoma"/>
            <family val="2"/>
          </rPr>
          <t>&lt;[[DEVDeals] - [Associated TC Deal (Seq: 1)] - [TC Property Current Stage (Seq: 1)] - [Buildings (Seq: 18)] Zip Code - Both]&gt;</t>
        </r>
      </text>
    </comment>
    <comment ref="Y208" authorId="0" shapeId="0" xr:uid="{972C8E96-1D3E-43E3-9EEC-3BE9DE367618}">
      <text>
        <r>
          <rPr>
            <b/>
            <sz val="9"/>
            <color indexed="81"/>
            <rFont val="Tahoma"/>
            <family val="2"/>
          </rPr>
          <t>&lt;[[DEVDeals] - [Associated TC Deal (Seq: 1)] - [TC Property Current Stage (Seq: 1)] - [Buildings (Seq: 18)] BIN - Both]&gt;</t>
        </r>
      </text>
    </comment>
    <comment ref="AA208" authorId="0" shapeId="0" xr:uid="{85B6785E-FE04-43BA-BD88-5CB56B1A9564}">
      <text>
        <r>
          <rPr>
            <b/>
            <sz val="9"/>
            <color indexed="81"/>
            <rFont val="Tahoma"/>
            <family val="2"/>
          </rPr>
          <t>&lt;[[DEVDeals] - [Associated TC Deal (Seq: 1)] - [TC Property Current Stage (Seq: 1)] - [Buildings (Seq: 18)] Num TC Units - Both]&gt;</t>
        </r>
      </text>
    </comment>
    <comment ref="AB208" authorId="0" shapeId="0" xr:uid="{ED4BAC3B-7656-435B-8691-68483B730BC2}">
      <text>
        <r>
          <rPr>
            <b/>
            <sz val="9"/>
            <color indexed="81"/>
            <rFont val="Tahoma"/>
            <family val="2"/>
          </rPr>
          <t>&lt;[[DEVDeals] - [Associated TC Deal (Seq: 1)] - [TC Property Current Stage (Seq: 1)] - [Buildings (Seq: 18)] - [Buildings - User Defined Field Values (Seq: 1)] Building Info - Total Square Footage - Both]&gt;</t>
        </r>
      </text>
    </comment>
    <comment ref="AC208" authorId="0" shapeId="0" xr:uid="{3A575531-2B94-4BEC-9AC1-81D03540A1F9}">
      <text>
        <r>
          <rPr>
            <b/>
            <sz val="9"/>
            <color indexed="81"/>
            <rFont val="Tahoma"/>
            <family val="2"/>
          </rPr>
          <t>&lt;[[DEVDeals] - [Associated TC Deal (Seq: 1)] - [TC Property Current Stage (Seq: 1)] - [Buildings (Seq: 18)] - [Buildings - User Defined Field Values (Seq: 1)] Building Info - Restricted Unit Square Footage - Both]&gt;</t>
        </r>
      </text>
    </comment>
    <comment ref="AD208" authorId="0" shapeId="0" xr:uid="{490E0385-21B6-4B08-AD7E-13B25C07D5C9}">
      <text>
        <r>
          <rPr>
            <b/>
            <sz val="9"/>
            <color indexed="81"/>
            <rFont val="Tahoma"/>
            <family val="2"/>
          </rPr>
          <t>&lt;[[DEVDeals] - [Associated TC Deal (Seq: 1)] - [TC Property Current Stage (Seq: 1)] - [Buildings (Seq: 18)] Applicable Fraction - Both]&gt;</t>
        </r>
      </text>
    </comment>
    <comment ref="AE208" authorId="0" shapeId="0" xr:uid="{3F979D1C-3921-4316-A42A-EE8F681AB996}">
      <text>
        <r>
          <rPr>
            <b/>
            <sz val="9"/>
            <color indexed="81"/>
            <rFont val="Tahoma"/>
            <family val="2"/>
          </rPr>
          <t>&lt;[[DEVDeals] - [Associated TC Deal (Seq: 1)] - [TC Property Current Stage (Seq: 1)] - [Buildings (Seq: 18)] - [Buildings - User Defined Field Values (Seq: 1)] Building Info - Year Built - Both]&gt;</t>
        </r>
      </text>
    </comment>
    <comment ref="AF208" authorId="0" shapeId="0" xr:uid="{E986A1B2-84D0-4DC9-B07D-339F78DB81D9}">
      <text>
        <r>
          <rPr>
            <b/>
            <sz val="9"/>
            <color indexed="81"/>
            <rFont val="Tahoma"/>
            <family val="2"/>
          </rPr>
          <t>&lt;[[DEVDeals] - [Associated TC Deal (Seq: 1)] - [TC Property Current Stage (Seq: 1)] - [Buildings (Seq: 18)] - [Buildings - User Defined Field Values (Seq: 1)] Building Info - Building Type - Both]&gt;</t>
        </r>
      </text>
    </comment>
    <comment ref="AG208" authorId="0" shapeId="0" xr:uid="{0D6C1FC6-5044-44B2-95B6-1D2AFE2AD708}">
      <text>
        <r>
          <rPr>
            <b/>
            <sz val="9"/>
            <color indexed="81"/>
            <rFont val="Tahoma"/>
            <family val="2"/>
          </rPr>
          <t>&lt;[[DEVDeals] - [Associated TC Deal (Seq: 1)] - [TC Property Current Stage (Seq: 1)] - [Buildings (Seq: 18)] Num Mkt Units - Both]&gt;</t>
        </r>
      </text>
    </comment>
    <comment ref="AH208" authorId="0" shapeId="0" xr:uid="{76C478D1-0579-483D-BF49-A8075F9BB340}">
      <text>
        <r>
          <rPr>
            <b/>
            <sz val="9"/>
            <color indexed="81"/>
            <rFont val="Tahoma"/>
            <family val="2"/>
          </rPr>
          <t>&lt;[[DEVDeals] - [Associated TC Deal (Seq: 1)] - [TC Property Current Stage (Seq: 1)] - [Buildings (Seq: 18)] - [Buildings - User Defined Field Values (Seq: 1)] Building Info - Date Last Placed in Service - Both]&gt;</t>
        </r>
      </text>
    </comment>
    <comment ref="AI208" authorId="0" shapeId="0" xr:uid="{E15D922F-B0D0-4B5E-B6F6-984B39EE1941}">
      <text>
        <r>
          <rPr>
            <b/>
            <sz val="9"/>
            <color indexed="81"/>
            <rFont val="Tahoma"/>
            <family val="2"/>
          </rPr>
          <t>&lt;[[DEVDeals] - [Associated TC Deal (Seq: 1)] - [TC Property Current Stage (Seq: 1)] - [Buildings (Seq: 18)] - [Buildings - User Defined Field Values (Seq: 1)] Building Info - Sponsor's Purchase Date - Both]&gt;</t>
        </r>
      </text>
    </comment>
    <comment ref="AJ208" authorId="0" shapeId="0" xr:uid="{238C683E-AE5A-4B91-AB21-B90009B2B912}">
      <text>
        <r>
          <rPr>
            <b/>
            <sz val="9"/>
            <color indexed="81"/>
            <rFont val="Tahoma"/>
            <family val="2"/>
          </rPr>
          <t>&lt;[[DEVDeals] - [Associated TC Deal (Seq: 1)] - [TC Property Current Stage (Seq: 1)] - [Buildings (Seq: 18)] - [Buildings - User Defined Field Values (Seq: 1)] Building Info - Years Between PIS &amp; Purchase Date - Both]&gt;</t>
        </r>
      </text>
    </comment>
    <comment ref="AK208" authorId="0" shapeId="0" xr:uid="{008287D6-0041-42A7-8672-953D4F7EC3F3}">
      <text>
        <r>
          <rPr>
            <b/>
            <sz val="9"/>
            <color indexed="81"/>
            <rFont val="Tahoma"/>
            <family val="2"/>
          </rPr>
          <t>&lt;[[DEVDeals] - [Associated TC Deal (Seq: 1)] - [TC Property Current Stage (Seq: 1)] - [Buildings (Seq: 18)] Federal Minimum Set Aside Id - Both]&gt;</t>
        </r>
      </text>
    </comment>
    <comment ref="U209" authorId="0" shapeId="0" xr:uid="{2342A650-E7AB-4C78-ABE1-E91585294216}">
      <text>
        <r>
          <rPr>
            <b/>
            <sz val="9"/>
            <color indexed="81"/>
            <rFont val="Tahoma"/>
            <family val="2"/>
          </rPr>
          <t>&lt;[[DEVDeals] - [Associated TC Deal (Seq: 1)] - [TC Property Current Stage (Seq: 1)] - [Buildings (Seq: 19)] Address 1 - Both]&gt;</t>
        </r>
      </text>
    </comment>
    <comment ref="V209" authorId="0" shapeId="0" xr:uid="{BBC556BE-FD0E-46F3-9C7B-596FBD9087C5}">
      <text>
        <r>
          <rPr>
            <b/>
            <sz val="9"/>
            <color indexed="81"/>
            <rFont val="Tahoma"/>
            <family val="2"/>
          </rPr>
          <t>&lt;[[DEVDeals] - [Associated TC Deal (Seq: 1)] - [TC Property Current Stage (Seq: 1)] - [Buildings (Seq: 19)] City - Both]&gt;</t>
        </r>
      </text>
    </comment>
    <comment ref="W209" authorId="0" shapeId="0" xr:uid="{E01E5633-005D-4438-B1D6-17451F5FB4BF}">
      <text>
        <r>
          <rPr>
            <b/>
            <sz val="9"/>
            <color indexed="81"/>
            <rFont val="Tahoma"/>
            <family val="2"/>
          </rPr>
          <t>&lt;[[DEVDeals] - [Associated TC Deal (Seq: 1)] - [TC Property Current Stage (Seq: 1)] - [Buildings (Seq: 19)] State - Both]&gt;</t>
        </r>
      </text>
    </comment>
    <comment ref="X209" authorId="0" shapeId="0" xr:uid="{F2EEE86F-553C-41CE-AB9B-DF435150E0C0}">
      <text>
        <r>
          <rPr>
            <b/>
            <sz val="9"/>
            <color indexed="81"/>
            <rFont val="Tahoma"/>
            <family val="2"/>
          </rPr>
          <t>&lt;[[DEVDeals] - [Associated TC Deal (Seq: 1)] - [TC Property Current Stage (Seq: 1)] - [Buildings (Seq: 19)] Zip Code - Both]&gt;</t>
        </r>
      </text>
    </comment>
    <comment ref="Y209" authorId="0" shapeId="0" xr:uid="{6A1CD271-5478-4F67-9250-BFED08873189}">
      <text>
        <r>
          <rPr>
            <b/>
            <sz val="9"/>
            <color indexed="81"/>
            <rFont val="Tahoma"/>
            <family val="2"/>
          </rPr>
          <t>&lt;[[DEVDeals] - [Associated TC Deal (Seq: 1)] - [TC Property Current Stage (Seq: 1)] - [Buildings (Seq: 19)] BIN - Both]&gt;</t>
        </r>
      </text>
    </comment>
    <comment ref="AA209" authorId="0" shapeId="0" xr:uid="{EAF29FB1-7822-4B65-B2A1-9105CCF04820}">
      <text>
        <r>
          <rPr>
            <b/>
            <sz val="9"/>
            <color indexed="81"/>
            <rFont val="Tahoma"/>
            <family val="2"/>
          </rPr>
          <t>&lt;[[DEVDeals] - [Associated TC Deal (Seq: 1)] - [TC Property Current Stage (Seq: 1)] - [Buildings (Seq: 19)] Num TC Units - Both]&gt;</t>
        </r>
      </text>
    </comment>
    <comment ref="AB209" authorId="0" shapeId="0" xr:uid="{DE71294E-094C-495C-8D2E-2D4A665A11BD}">
      <text>
        <r>
          <rPr>
            <b/>
            <sz val="9"/>
            <color indexed="81"/>
            <rFont val="Tahoma"/>
            <family val="2"/>
          </rPr>
          <t>&lt;[[DEVDeals] - [Associated TC Deal (Seq: 1)] - [TC Property Current Stage (Seq: 1)] - [Buildings (Seq: 19)] - [Buildings - User Defined Field Values (Seq: 1)] Building Info - Total Square Footage - Both]&gt;</t>
        </r>
      </text>
    </comment>
    <comment ref="AC209" authorId="0" shapeId="0" xr:uid="{AEB8D2B0-F7B6-45E3-B7B7-B204B112E712}">
      <text>
        <r>
          <rPr>
            <b/>
            <sz val="9"/>
            <color indexed="81"/>
            <rFont val="Tahoma"/>
            <family val="2"/>
          </rPr>
          <t>&lt;[[DEVDeals] - [Associated TC Deal (Seq: 1)] - [TC Property Current Stage (Seq: 1)] - [Buildings (Seq: 19)] - [Buildings - User Defined Field Values (Seq: 1)] Building Info - Restricted Unit Square Footage - Both]&gt;</t>
        </r>
      </text>
    </comment>
    <comment ref="AD209" authorId="0" shapeId="0" xr:uid="{9D458F56-0373-4ECC-8DE6-6767100EC148}">
      <text>
        <r>
          <rPr>
            <b/>
            <sz val="9"/>
            <color indexed="81"/>
            <rFont val="Tahoma"/>
            <family val="2"/>
          </rPr>
          <t>&lt;[[DEVDeals] - [Associated TC Deal (Seq: 1)] - [TC Property Current Stage (Seq: 1)] - [Buildings (Seq: 19)] Applicable Fraction - Both]&gt;</t>
        </r>
      </text>
    </comment>
    <comment ref="AE209" authorId="0" shapeId="0" xr:uid="{5DBDA205-BF86-484C-A149-7C0BA94C50E3}">
      <text>
        <r>
          <rPr>
            <b/>
            <sz val="9"/>
            <color indexed="81"/>
            <rFont val="Tahoma"/>
            <family val="2"/>
          </rPr>
          <t>&lt;[[DEVDeals] - [Associated TC Deal (Seq: 1)] - [TC Property Current Stage (Seq: 1)] - [Buildings (Seq: 19)] - [Buildings - User Defined Field Values (Seq: 1)] Building Info - Year Built - Both]&gt;</t>
        </r>
      </text>
    </comment>
    <comment ref="AF209" authorId="0" shapeId="0" xr:uid="{F8798E4E-35E9-4A78-95CE-A3CE85AB1466}">
      <text>
        <r>
          <rPr>
            <b/>
            <sz val="9"/>
            <color indexed="81"/>
            <rFont val="Tahoma"/>
            <family val="2"/>
          </rPr>
          <t>&lt;[[DEVDeals] - [Associated TC Deal (Seq: 1)] - [TC Property Current Stage (Seq: 1)] - [Buildings (Seq: 19)] - [Buildings - User Defined Field Values (Seq: 1)] Building Info - Building Type - Both]&gt;</t>
        </r>
      </text>
    </comment>
    <comment ref="AG209" authorId="0" shapeId="0" xr:uid="{94919D60-C5A7-4C96-8C67-E53376BC3C5D}">
      <text>
        <r>
          <rPr>
            <b/>
            <sz val="9"/>
            <color indexed="81"/>
            <rFont val="Tahoma"/>
            <family val="2"/>
          </rPr>
          <t>&lt;[[DEVDeals] - [Associated TC Deal (Seq: 1)] - [TC Property Current Stage (Seq: 1)] - [Buildings (Seq: 19)] Num Mkt Units - Both]&gt;</t>
        </r>
      </text>
    </comment>
    <comment ref="AH209" authorId="0" shapeId="0" xr:uid="{4BBDE1E7-A5EE-418D-81F1-626D3D8CE188}">
      <text>
        <r>
          <rPr>
            <b/>
            <sz val="9"/>
            <color indexed="81"/>
            <rFont val="Tahoma"/>
            <family val="2"/>
          </rPr>
          <t>&lt;[[DEVDeals] - [Associated TC Deal (Seq: 1)] - [TC Property Current Stage (Seq: 1)] - [Buildings (Seq: 19)] - [Buildings - User Defined Field Values (Seq: 1)] Building Info - Date Last Placed in Service - Both]&gt;</t>
        </r>
      </text>
    </comment>
    <comment ref="AI209" authorId="0" shapeId="0" xr:uid="{DF580942-1601-4370-B58F-A64729E3AFF2}">
      <text>
        <r>
          <rPr>
            <b/>
            <sz val="9"/>
            <color indexed="81"/>
            <rFont val="Tahoma"/>
            <family val="2"/>
          </rPr>
          <t>&lt;[[DEVDeals] - [Associated TC Deal (Seq: 1)] - [TC Property Current Stage (Seq: 1)] - [Buildings (Seq: 19)] - [Buildings - User Defined Field Values (Seq: 1)] Building Info - Sponsor's Purchase Date - Both]&gt;</t>
        </r>
      </text>
    </comment>
    <comment ref="AJ209" authorId="0" shapeId="0" xr:uid="{27994603-39B2-4152-8DB2-4E8B7543BBDA}">
      <text>
        <r>
          <rPr>
            <b/>
            <sz val="9"/>
            <color indexed="81"/>
            <rFont val="Tahoma"/>
            <family val="2"/>
          </rPr>
          <t>&lt;[[DEVDeals] - [Associated TC Deal (Seq: 1)] - [TC Property Current Stage (Seq: 1)] - [Buildings (Seq: 19)] - [Buildings - User Defined Field Values (Seq: 1)] Building Info - Years Between PIS &amp; Purchase Date - Both]&gt;</t>
        </r>
      </text>
    </comment>
    <comment ref="AK209" authorId="0" shapeId="0" xr:uid="{D229E6BB-6619-4284-916C-CBFFFCB65CA7}">
      <text>
        <r>
          <rPr>
            <b/>
            <sz val="9"/>
            <color indexed="81"/>
            <rFont val="Tahoma"/>
            <family val="2"/>
          </rPr>
          <t>&lt;[[DEVDeals] - [Associated TC Deal (Seq: 1)] - [TC Property Current Stage (Seq: 1)] - [Buildings (Seq: 19)] Federal Minimum Set Aside Id - Both]&gt;</t>
        </r>
      </text>
    </comment>
    <comment ref="U210" authorId="0" shapeId="0" xr:uid="{2946CAF1-31C8-4E06-A8AF-FC72D4561856}">
      <text>
        <r>
          <rPr>
            <b/>
            <sz val="9"/>
            <color indexed="81"/>
            <rFont val="Tahoma"/>
            <family val="2"/>
          </rPr>
          <t>&lt;[[DEVDeals] - [Associated TC Deal (Seq: 1)] - [TC Property Current Stage (Seq: 1)] - [Buildings (Seq: 20)] Address 1 - Both]&gt;</t>
        </r>
      </text>
    </comment>
    <comment ref="V210" authorId="0" shapeId="0" xr:uid="{09739F80-8EE4-43F0-BC39-B52B48532534}">
      <text>
        <r>
          <rPr>
            <b/>
            <sz val="9"/>
            <color indexed="81"/>
            <rFont val="Tahoma"/>
            <family val="2"/>
          </rPr>
          <t>&lt;[[DEVDeals] - [Associated TC Deal (Seq: 1)] - [TC Property Current Stage (Seq: 1)] - [Buildings (Seq: 20)] City - Both]&gt;</t>
        </r>
      </text>
    </comment>
    <comment ref="W210" authorId="0" shapeId="0" xr:uid="{2EF5A3A6-9D7E-402F-954D-E95773479994}">
      <text>
        <r>
          <rPr>
            <b/>
            <sz val="9"/>
            <color indexed="81"/>
            <rFont val="Tahoma"/>
            <family val="2"/>
          </rPr>
          <t>&lt;[[DEVDeals] - [Associated TC Deal (Seq: 1)] - [TC Property Current Stage (Seq: 1)] - [Buildings (Seq: 20)] State - Both]&gt;</t>
        </r>
      </text>
    </comment>
    <comment ref="X210" authorId="0" shapeId="0" xr:uid="{739D784D-F6C1-48F6-AA1A-046C63611248}">
      <text>
        <r>
          <rPr>
            <b/>
            <sz val="9"/>
            <color indexed="81"/>
            <rFont val="Tahoma"/>
            <family val="2"/>
          </rPr>
          <t>&lt;[[DEVDeals] - [Associated TC Deal (Seq: 1)] - [TC Property Current Stage (Seq: 1)] - [Buildings (Seq: 20)] Zip Code - Both]&gt;</t>
        </r>
      </text>
    </comment>
    <comment ref="Y210" authorId="0" shapeId="0" xr:uid="{5565AFCE-3291-40E8-9071-529D75E6949E}">
      <text>
        <r>
          <rPr>
            <b/>
            <sz val="9"/>
            <color indexed="81"/>
            <rFont val="Tahoma"/>
            <family val="2"/>
          </rPr>
          <t>&lt;[[DEVDeals] - [Associated TC Deal (Seq: 1)] - [TC Property Current Stage (Seq: 1)] - [Buildings (Seq: 20)] BIN - Both]&gt;</t>
        </r>
      </text>
    </comment>
    <comment ref="AA210" authorId="0" shapeId="0" xr:uid="{35494A73-31C1-49EC-BD62-9B67A75C7753}">
      <text>
        <r>
          <rPr>
            <b/>
            <sz val="9"/>
            <color indexed="81"/>
            <rFont val="Tahoma"/>
            <family val="2"/>
          </rPr>
          <t>&lt;[[DEVDeals] - [Associated TC Deal (Seq: 1)] - [TC Property Current Stage (Seq: 1)] - [Buildings (Seq: 20)] Num TC Units - Both]&gt;</t>
        </r>
      </text>
    </comment>
    <comment ref="AB210" authorId="0" shapeId="0" xr:uid="{C6FD164A-D18B-4716-9C64-812D25D877E0}">
      <text>
        <r>
          <rPr>
            <b/>
            <sz val="9"/>
            <color indexed="81"/>
            <rFont val="Tahoma"/>
            <family val="2"/>
          </rPr>
          <t>&lt;[[DEVDeals] - [Associated TC Deal (Seq: 1)] - [TC Property Current Stage (Seq: 1)] - [Buildings (Seq: 20)] - [Buildings - User Defined Field Values (Seq: 1)] Building Info - Total Square Footage - Both]&gt;</t>
        </r>
      </text>
    </comment>
    <comment ref="AC210" authorId="0" shapeId="0" xr:uid="{4DDD8B73-A8CF-4685-8BC0-FFE694441007}">
      <text>
        <r>
          <rPr>
            <b/>
            <sz val="9"/>
            <color indexed="81"/>
            <rFont val="Tahoma"/>
            <family val="2"/>
          </rPr>
          <t>&lt;[[DEVDeals] - [Associated TC Deal (Seq: 1)] - [TC Property Current Stage (Seq: 1)] - [Buildings (Seq: 20)] - [Buildings - User Defined Field Values (Seq: 1)] Building Info - Restricted Unit Square Footage - Both]&gt;</t>
        </r>
      </text>
    </comment>
    <comment ref="AD210" authorId="0" shapeId="0" xr:uid="{40978B10-3C70-49E9-BC00-7A6877255C80}">
      <text>
        <r>
          <rPr>
            <b/>
            <sz val="9"/>
            <color indexed="81"/>
            <rFont val="Tahoma"/>
            <family val="2"/>
          </rPr>
          <t>&lt;[[DEVDeals] - [Associated TC Deal (Seq: 1)] - [TC Property Current Stage (Seq: 1)] - [Buildings (Seq: 20)] Applicable Fraction - Both]&gt;</t>
        </r>
      </text>
    </comment>
    <comment ref="AE210" authorId="0" shapeId="0" xr:uid="{46B68092-A3E3-4C4F-B3F2-CFCE8DF6DC11}">
      <text>
        <r>
          <rPr>
            <b/>
            <sz val="9"/>
            <color indexed="81"/>
            <rFont val="Tahoma"/>
            <family val="2"/>
          </rPr>
          <t>&lt;[[DEVDeals] - [Associated TC Deal (Seq: 1)] - [TC Property Current Stage (Seq: 1)] - [Buildings (Seq: 20)] - [Buildings - User Defined Field Values (Seq: 1)] Building Info - Year Built - Both]&gt;</t>
        </r>
      </text>
    </comment>
    <comment ref="AF210" authorId="0" shapeId="0" xr:uid="{44BC5D3F-1C56-41C3-895E-747401511138}">
      <text>
        <r>
          <rPr>
            <b/>
            <sz val="9"/>
            <color indexed="81"/>
            <rFont val="Tahoma"/>
            <family val="2"/>
          </rPr>
          <t>&lt;[[DEVDeals] - [Associated TC Deal (Seq: 1)] - [TC Property Current Stage (Seq: 1)] - [Buildings (Seq: 20)] - [Buildings - User Defined Field Values (Seq: 1)] Building Info - Building Type - Both]&gt;</t>
        </r>
      </text>
    </comment>
    <comment ref="AG210" authorId="0" shapeId="0" xr:uid="{490A8CB4-00F8-48AC-AB8A-20F8892BD4FB}">
      <text>
        <r>
          <rPr>
            <b/>
            <sz val="9"/>
            <color indexed="81"/>
            <rFont val="Tahoma"/>
            <family val="2"/>
          </rPr>
          <t>&lt;[[DEVDeals] - [Associated TC Deal (Seq: 1)] - [TC Property Current Stage (Seq: 1)] - [Buildings (Seq: 20)] Num Mkt Units - Both]&gt;</t>
        </r>
      </text>
    </comment>
    <comment ref="AH210" authorId="0" shapeId="0" xr:uid="{099FEE11-0647-45D7-B9E5-8DFDD39F3F85}">
      <text>
        <r>
          <rPr>
            <b/>
            <sz val="9"/>
            <color indexed="81"/>
            <rFont val="Tahoma"/>
            <family val="2"/>
          </rPr>
          <t>&lt;[[DEVDeals] - [Associated TC Deal (Seq: 1)] - [TC Property Current Stage (Seq: 1)] - [Buildings (Seq: 20)] - [Buildings - User Defined Field Values (Seq: 1)] Building Info - Date Last Placed in Service - Both]&gt;</t>
        </r>
      </text>
    </comment>
    <comment ref="AI210" authorId="0" shapeId="0" xr:uid="{2E601793-EB59-4CB0-BF15-2918A41D1403}">
      <text>
        <r>
          <rPr>
            <b/>
            <sz val="9"/>
            <color indexed="81"/>
            <rFont val="Tahoma"/>
            <family val="2"/>
          </rPr>
          <t>&lt;[[DEVDeals] - [Associated TC Deal (Seq: 1)] - [TC Property Current Stage (Seq: 1)] - [Buildings (Seq: 20)] - [Buildings - User Defined Field Values (Seq: 1)] Building Info - Sponsor's Purchase Date - Both]&gt;</t>
        </r>
      </text>
    </comment>
    <comment ref="AJ210" authorId="0" shapeId="0" xr:uid="{8F28AF83-EEA3-4650-9006-6230C0AE90AB}">
      <text>
        <r>
          <rPr>
            <b/>
            <sz val="9"/>
            <color indexed="81"/>
            <rFont val="Tahoma"/>
            <family val="2"/>
          </rPr>
          <t>&lt;[[DEVDeals] - [Associated TC Deal (Seq: 1)] - [TC Property Current Stage (Seq: 1)] - [Buildings (Seq: 20)] - [Buildings - User Defined Field Values (Seq: 1)] Building Info - Years Between PIS &amp; Purchase Date - Both]&gt;</t>
        </r>
      </text>
    </comment>
    <comment ref="AK210" authorId="0" shapeId="0" xr:uid="{CB636AED-6FB4-40E8-9028-D9D39CF96E56}">
      <text>
        <r>
          <rPr>
            <b/>
            <sz val="9"/>
            <color indexed="81"/>
            <rFont val="Tahoma"/>
            <family val="2"/>
          </rPr>
          <t>&lt;[[DEVDeals] - [Associated TC Deal (Seq: 1)] - [TC Property Current Stage (Seq: 1)] - [Buildings (Seq: 20)] Federal Minimum Set Aside Id - Both]&gt;</t>
        </r>
      </text>
    </comment>
    <comment ref="U211" authorId="0" shapeId="0" xr:uid="{369DD990-502E-427D-AD31-A4BCE1E54192}">
      <text>
        <r>
          <rPr>
            <b/>
            <sz val="9"/>
            <color indexed="81"/>
            <rFont val="Tahoma"/>
            <family val="2"/>
          </rPr>
          <t>&lt;[[DEVDeals] - [Associated TC Deal (Seq: 1)] - [TC Property Current Stage (Seq: 1)] - [Buildings (Seq: 21)] Address 1 - Both]&gt;</t>
        </r>
      </text>
    </comment>
    <comment ref="V211" authorId="0" shapeId="0" xr:uid="{35FC2367-CF0D-4BB2-8409-2379BC38263D}">
      <text>
        <r>
          <rPr>
            <b/>
            <sz val="9"/>
            <color indexed="81"/>
            <rFont val="Tahoma"/>
            <family val="2"/>
          </rPr>
          <t>&lt;[[DEVDeals] - [Associated TC Deal (Seq: 1)] - [TC Property Current Stage (Seq: 1)] - [Buildings (Seq: 21)] City - Both]&gt;</t>
        </r>
      </text>
    </comment>
    <comment ref="W211" authorId="0" shapeId="0" xr:uid="{55D7B91C-33F2-4AD8-ABD7-18F04239D559}">
      <text>
        <r>
          <rPr>
            <b/>
            <sz val="9"/>
            <color indexed="81"/>
            <rFont val="Tahoma"/>
            <family val="2"/>
          </rPr>
          <t>&lt;[[DEVDeals] - [Associated TC Deal (Seq: 1)] - [TC Property Current Stage (Seq: 1)] - [Buildings (Seq: 21)] State - Both]&gt;</t>
        </r>
      </text>
    </comment>
    <comment ref="X211" authorId="0" shapeId="0" xr:uid="{4B35C2BA-EE34-4459-9E30-1C9F6DDAD550}">
      <text>
        <r>
          <rPr>
            <b/>
            <sz val="9"/>
            <color indexed="81"/>
            <rFont val="Tahoma"/>
            <family val="2"/>
          </rPr>
          <t>&lt;[[DEVDeals] - [Associated TC Deal (Seq: 1)] - [TC Property Current Stage (Seq: 1)] - [Buildings (Seq: 21)] Zip Code - Both]&gt;</t>
        </r>
      </text>
    </comment>
    <comment ref="Y211" authorId="0" shapeId="0" xr:uid="{B7CBB0F8-AA4C-4846-A6F2-7AD9641E8B32}">
      <text>
        <r>
          <rPr>
            <b/>
            <sz val="9"/>
            <color indexed="81"/>
            <rFont val="Tahoma"/>
            <family val="2"/>
          </rPr>
          <t>&lt;[[DEVDeals] - [Associated TC Deal (Seq: 1)] - [TC Property Current Stage (Seq: 1)] - [Buildings (Seq: 21)] BIN - Both]&gt;</t>
        </r>
      </text>
    </comment>
    <comment ref="AA211" authorId="0" shapeId="0" xr:uid="{89AC5CEC-6746-4BEB-8C1B-12EC10244A98}">
      <text>
        <r>
          <rPr>
            <b/>
            <sz val="9"/>
            <color indexed="81"/>
            <rFont val="Tahoma"/>
            <family val="2"/>
          </rPr>
          <t>&lt;[[DEVDeals] - [Associated TC Deal (Seq: 1)] - [TC Property Current Stage (Seq: 1)] - [Buildings (Seq: 21)] Num TC Units - Both]&gt;</t>
        </r>
      </text>
    </comment>
    <comment ref="AB211" authorId="0" shapeId="0" xr:uid="{1C9D64C5-6C83-4E71-8637-ADFACB746888}">
      <text>
        <r>
          <rPr>
            <b/>
            <sz val="9"/>
            <color indexed="81"/>
            <rFont val="Tahoma"/>
            <family val="2"/>
          </rPr>
          <t>&lt;[[DEVDeals] - [Associated TC Deal (Seq: 1)] - [TC Property Current Stage (Seq: 1)] - [Buildings (Seq: 21)] - [Buildings - User Defined Field Values (Seq: 1)] Building Info - Total Square Footage - Both]&gt;</t>
        </r>
      </text>
    </comment>
    <comment ref="AC211" authorId="0" shapeId="0" xr:uid="{7AF0A8F4-2AFC-4A91-AA78-94830EF2FF48}">
      <text>
        <r>
          <rPr>
            <b/>
            <sz val="9"/>
            <color indexed="81"/>
            <rFont val="Tahoma"/>
            <family val="2"/>
          </rPr>
          <t>&lt;[[DEVDeals] - [Associated TC Deal (Seq: 1)] - [TC Property Current Stage (Seq: 1)] - [Buildings (Seq: 21)] - [Buildings - User Defined Field Values (Seq: 1)] Building Info - Restricted Unit Square Footage - Both]&gt;</t>
        </r>
      </text>
    </comment>
    <comment ref="AD211" authorId="0" shapeId="0" xr:uid="{CE7957E3-D2E5-420E-BA89-D3A259EFAA87}">
      <text>
        <r>
          <rPr>
            <b/>
            <sz val="9"/>
            <color indexed="81"/>
            <rFont val="Tahoma"/>
            <family val="2"/>
          </rPr>
          <t>&lt;[[DEVDeals] - [Associated TC Deal (Seq: 1)] - [TC Property Current Stage (Seq: 1)] - [Buildings (Seq: 21)] Applicable Fraction - Both]&gt;</t>
        </r>
      </text>
    </comment>
    <comment ref="AE211" authorId="0" shapeId="0" xr:uid="{F903F962-6DFA-4394-8723-0A1064F818D7}">
      <text>
        <r>
          <rPr>
            <b/>
            <sz val="9"/>
            <color indexed="81"/>
            <rFont val="Tahoma"/>
            <family val="2"/>
          </rPr>
          <t>&lt;[[DEVDeals] - [Associated TC Deal (Seq: 1)] - [TC Property Current Stage (Seq: 1)] - [Buildings (Seq: 21)] - [Buildings - User Defined Field Values (Seq: 1)] Building Info - Year Built - Both]&gt;</t>
        </r>
      </text>
    </comment>
    <comment ref="AF211" authorId="0" shapeId="0" xr:uid="{30984ABF-FD10-4C70-A71B-74993A645601}">
      <text>
        <r>
          <rPr>
            <b/>
            <sz val="9"/>
            <color indexed="81"/>
            <rFont val="Tahoma"/>
            <family val="2"/>
          </rPr>
          <t>&lt;[[DEVDeals] - [Associated TC Deal (Seq: 1)] - [TC Property Current Stage (Seq: 1)] - [Buildings (Seq: 21)] - [Buildings - User Defined Field Values (Seq: 1)] Building Info - Building Type - Both]&gt;</t>
        </r>
      </text>
    </comment>
    <comment ref="AG211" authorId="0" shapeId="0" xr:uid="{A10115FC-6B0B-4407-8627-0A952BDFCD96}">
      <text>
        <r>
          <rPr>
            <b/>
            <sz val="9"/>
            <color indexed="81"/>
            <rFont val="Tahoma"/>
            <family val="2"/>
          </rPr>
          <t>&lt;[[DEVDeals] - [Associated TC Deal (Seq: 1)] - [TC Property Current Stage (Seq: 1)] - [Buildings (Seq: 21)] Num Mkt Units - Both]&gt;</t>
        </r>
      </text>
    </comment>
    <comment ref="AH211" authorId="0" shapeId="0" xr:uid="{4DABB40E-019A-48FE-A302-F86B650123F9}">
      <text>
        <r>
          <rPr>
            <b/>
            <sz val="9"/>
            <color indexed="81"/>
            <rFont val="Tahoma"/>
            <family val="2"/>
          </rPr>
          <t>&lt;[[DEVDeals] - [Associated TC Deal (Seq: 1)] - [TC Property Current Stage (Seq: 1)] - [Buildings (Seq: 21)] - [Buildings - User Defined Field Values (Seq: 1)] Building Info - Date Last Placed in Service - Both]&gt;</t>
        </r>
      </text>
    </comment>
    <comment ref="AI211" authorId="0" shapeId="0" xr:uid="{0CF4C9EC-902E-4C9E-B690-40B7E7152B42}">
      <text>
        <r>
          <rPr>
            <b/>
            <sz val="9"/>
            <color indexed="81"/>
            <rFont val="Tahoma"/>
            <family val="2"/>
          </rPr>
          <t>&lt;[[DEVDeals] - [Associated TC Deal (Seq: 1)] - [TC Property Current Stage (Seq: 1)] - [Buildings (Seq: 21)] - [Buildings - User Defined Field Values (Seq: 1)] Building Info - Sponsor's Purchase Date - Both]&gt;</t>
        </r>
      </text>
    </comment>
    <comment ref="AJ211" authorId="0" shapeId="0" xr:uid="{229FE1E1-A824-41DA-8D4F-B0A4CE18692C}">
      <text>
        <r>
          <rPr>
            <b/>
            <sz val="9"/>
            <color indexed="81"/>
            <rFont val="Tahoma"/>
            <family val="2"/>
          </rPr>
          <t>&lt;[[DEVDeals] - [Associated TC Deal (Seq: 1)] - [TC Property Current Stage (Seq: 1)] - [Buildings (Seq: 21)] - [Buildings - User Defined Field Values (Seq: 1)] Building Info - Years Between PIS &amp; Purchase Date - Both]&gt;</t>
        </r>
      </text>
    </comment>
    <comment ref="AK211" authorId="0" shapeId="0" xr:uid="{E5C2AC44-E459-4C1C-95C7-08D46FB473F9}">
      <text>
        <r>
          <rPr>
            <b/>
            <sz val="9"/>
            <color indexed="81"/>
            <rFont val="Tahoma"/>
            <family val="2"/>
          </rPr>
          <t>&lt;[[DEVDeals] - [Associated TC Deal (Seq: 1)] - [TC Property Current Stage (Seq: 1)] - [Buildings (Seq: 21)] Federal Minimum Set Aside Id - Both]&gt;</t>
        </r>
      </text>
    </comment>
    <comment ref="U212" authorId="0" shapeId="0" xr:uid="{A741F8B6-D29F-47F7-982C-5755F5C9044B}">
      <text>
        <r>
          <rPr>
            <b/>
            <sz val="9"/>
            <color indexed="81"/>
            <rFont val="Tahoma"/>
            <family val="2"/>
          </rPr>
          <t>&lt;[[DEVDeals] - [Associated TC Deal (Seq: 1)] - [TC Property Current Stage (Seq: 1)] - [Buildings (Seq: 22)] Address 1 - Both]&gt;</t>
        </r>
      </text>
    </comment>
    <comment ref="V212" authorId="0" shapeId="0" xr:uid="{3393F61A-AFCA-42C0-BD6C-355829F1058A}">
      <text>
        <r>
          <rPr>
            <b/>
            <sz val="9"/>
            <color indexed="81"/>
            <rFont val="Tahoma"/>
            <family val="2"/>
          </rPr>
          <t>&lt;[[DEVDeals] - [Associated TC Deal (Seq: 1)] - [TC Property Current Stage (Seq: 1)] - [Buildings (Seq: 22)] City - Both]&gt;</t>
        </r>
      </text>
    </comment>
    <comment ref="W212" authorId="0" shapeId="0" xr:uid="{5AC4D628-01F4-42D4-A0F3-66012B7BBC37}">
      <text>
        <r>
          <rPr>
            <b/>
            <sz val="9"/>
            <color indexed="81"/>
            <rFont val="Tahoma"/>
            <family val="2"/>
          </rPr>
          <t>&lt;[[DEVDeals] - [Associated TC Deal (Seq: 1)] - [TC Property Current Stage (Seq: 1)] - [Buildings (Seq: 22)] State - Both]&gt;</t>
        </r>
      </text>
    </comment>
    <comment ref="X212" authorId="0" shapeId="0" xr:uid="{BE580E2C-BD05-4E5A-827E-A08CFAA0B7EE}">
      <text>
        <r>
          <rPr>
            <b/>
            <sz val="9"/>
            <color indexed="81"/>
            <rFont val="Tahoma"/>
            <family val="2"/>
          </rPr>
          <t>&lt;[[DEVDeals] - [Associated TC Deal (Seq: 1)] - [TC Property Current Stage (Seq: 1)] - [Buildings (Seq: 22)] Zip Code - Both]&gt;</t>
        </r>
      </text>
    </comment>
    <comment ref="Y212" authorId="0" shapeId="0" xr:uid="{E6CF7F55-470C-4B92-A3DF-2D772DE8BD31}">
      <text>
        <r>
          <rPr>
            <b/>
            <sz val="9"/>
            <color indexed="81"/>
            <rFont val="Tahoma"/>
            <family val="2"/>
          </rPr>
          <t>&lt;[[DEVDeals] - [Associated TC Deal (Seq: 1)] - [TC Property Current Stage (Seq: 1)] - [Buildings (Seq: 22)] BIN - Both]&gt;</t>
        </r>
      </text>
    </comment>
    <comment ref="AA212" authorId="0" shapeId="0" xr:uid="{D31281C6-E39B-497B-9109-920AAB7C45AF}">
      <text>
        <r>
          <rPr>
            <b/>
            <sz val="9"/>
            <color indexed="81"/>
            <rFont val="Tahoma"/>
            <family val="2"/>
          </rPr>
          <t>&lt;[[DEVDeals] - [Associated TC Deal (Seq: 1)] - [TC Property Current Stage (Seq: 1)] - [Buildings (Seq: 22)] Num TC Units - Both]&gt;</t>
        </r>
      </text>
    </comment>
    <comment ref="AB212" authorId="0" shapeId="0" xr:uid="{388B1E4C-2727-46CF-B1CD-FB306AC7451F}">
      <text>
        <r>
          <rPr>
            <b/>
            <sz val="9"/>
            <color indexed="81"/>
            <rFont val="Tahoma"/>
            <family val="2"/>
          </rPr>
          <t>&lt;[[DEVDeals] - [Associated TC Deal (Seq: 1)] - [TC Property Current Stage (Seq: 1)] - [Buildings (Seq: 22)] - [Buildings - User Defined Field Values (Seq: 1)] Building Info - Total Square Footage - Both]&gt;</t>
        </r>
      </text>
    </comment>
    <comment ref="AC212" authorId="0" shapeId="0" xr:uid="{B2E12D55-0593-489F-AD61-5625ED48BC60}">
      <text>
        <r>
          <rPr>
            <b/>
            <sz val="9"/>
            <color indexed="81"/>
            <rFont val="Tahoma"/>
            <family val="2"/>
          </rPr>
          <t>&lt;[[DEVDeals] - [Associated TC Deal (Seq: 1)] - [TC Property Current Stage (Seq: 1)] - [Buildings (Seq: 22)] - [Buildings - User Defined Field Values (Seq: 1)] Building Info - Restricted Unit Square Footage - Both]&gt;</t>
        </r>
      </text>
    </comment>
    <comment ref="AD212" authorId="0" shapeId="0" xr:uid="{371B806C-5E61-401B-B404-3B62A74F896F}">
      <text>
        <r>
          <rPr>
            <b/>
            <sz val="9"/>
            <color indexed="81"/>
            <rFont val="Tahoma"/>
            <family val="2"/>
          </rPr>
          <t>&lt;[[DEVDeals] - [Associated TC Deal (Seq: 1)] - [TC Property Current Stage (Seq: 1)] - [Buildings (Seq: 22)] Applicable Fraction - Both]&gt;</t>
        </r>
      </text>
    </comment>
    <comment ref="AE212" authorId="0" shapeId="0" xr:uid="{0379753D-52D6-4784-8229-CBA056AB77C0}">
      <text>
        <r>
          <rPr>
            <b/>
            <sz val="9"/>
            <color indexed="81"/>
            <rFont val="Tahoma"/>
            <family val="2"/>
          </rPr>
          <t>&lt;[[DEVDeals] - [Associated TC Deal (Seq: 1)] - [TC Property Current Stage (Seq: 1)] - [Buildings (Seq: 22)] - [Buildings - User Defined Field Values (Seq: 1)] Building Info - Year Built - Both]&gt;</t>
        </r>
      </text>
    </comment>
    <comment ref="AF212" authorId="0" shapeId="0" xr:uid="{5CE004DB-95D9-4E0D-ADF6-8473F63785DA}">
      <text>
        <r>
          <rPr>
            <b/>
            <sz val="9"/>
            <color indexed="81"/>
            <rFont val="Tahoma"/>
            <family val="2"/>
          </rPr>
          <t>&lt;[[DEVDeals] - [Associated TC Deal (Seq: 1)] - [TC Property Current Stage (Seq: 1)] - [Buildings (Seq: 22)] - [Buildings - User Defined Field Values (Seq: 1)] Building Info - Building Type - Both]&gt;</t>
        </r>
      </text>
    </comment>
    <comment ref="AG212" authorId="0" shapeId="0" xr:uid="{CE4DDF95-BDCB-4B6E-B754-C16F7D99ACF6}">
      <text>
        <r>
          <rPr>
            <b/>
            <sz val="9"/>
            <color indexed="81"/>
            <rFont val="Tahoma"/>
            <family val="2"/>
          </rPr>
          <t>&lt;[[DEVDeals] - [Associated TC Deal (Seq: 1)] - [TC Property Current Stage (Seq: 1)] - [Buildings (Seq: 22)] Num Mkt Units - Both]&gt;</t>
        </r>
      </text>
    </comment>
    <comment ref="AH212" authorId="0" shapeId="0" xr:uid="{2A5BE291-E2EC-41B8-88F4-D7E3E4579901}">
      <text>
        <r>
          <rPr>
            <b/>
            <sz val="9"/>
            <color indexed="81"/>
            <rFont val="Tahoma"/>
            <family val="2"/>
          </rPr>
          <t>&lt;[[DEVDeals] - [Associated TC Deal (Seq: 1)] - [TC Property Current Stage (Seq: 1)] - [Buildings (Seq: 22)] - [Buildings - User Defined Field Values (Seq: 1)] Building Info - Date Last Placed in Service - Both]&gt;</t>
        </r>
      </text>
    </comment>
    <comment ref="AI212" authorId="0" shapeId="0" xr:uid="{DDD5E4AD-AEAE-42A7-A092-412B3FCB9AC7}">
      <text>
        <r>
          <rPr>
            <b/>
            <sz val="9"/>
            <color indexed="81"/>
            <rFont val="Tahoma"/>
            <family val="2"/>
          </rPr>
          <t>&lt;[[DEVDeals] - [Associated TC Deal (Seq: 1)] - [TC Property Current Stage (Seq: 1)] - [Buildings (Seq: 22)] - [Buildings - User Defined Field Values (Seq: 1)] Building Info - Sponsor's Purchase Date - Both]&gt;</t>
        </r>
      </text>
    </comment>
    <comment ref="AJ212" authorId="0" shapeId="0" xr:uid="{3366C216-7FA5-4955-B4E1-A534150D6B4B}">
      <text>
        <r>
          <rPr>
            <b/>
            <sz val="9"/>
            <color indexed="81"/>
            <rFont val="Tahoma"/>
            <family val="2"/>
          </rPr>
          <t>&lt;[[DEVDeals] - [Associated TC Deal (Seq: 1)] - [TC Property Current Stage (Seq: 1)] - [Buildings (Seq: 22)] - [Buildings - User Defined Field Values (Seq: 1)] Building Info - Years Between PIS &amp; Purchase Date - Both]&gt;</t>
        </r>
      </text>
    </comment>
    <comment ref="AK212" authorId="0" shapeId="0" xr:uid="{8489ADB1-4C5A-4C37-BB2A-C8AA1434430C}">
      <text>
        <r>
          <rPr>
            <b/>
            <sz val="9"/>
            <color indexed="81"/>
            <rFont val="Tahoma"/>
            <family val="2"/>
          </rPr>
          <t>&lt;[[DEVDeals] - [Associated TC Deal (Seq: 1)] - [TC Property Current Stage (Seq: 1)] - [Buildings (Seq: 22)] Federal Minimum Set Aside Id - Both]&gt;</t>
        </r>
      </text>
    </comment>
    <comment ref="U213" authorId="0" shapeId="0" xr:uid="{E5DFB930-6701-4A99-AC12-BE6215A6E3FA}">
      <text>
        <r>
          <rPr>
            <b/>
            <sz val="9"/>
            <color indexed="81"/>
            <rFont val="Tahoma"/>
            <family val="2"/>
          </rPr>
          <t>&lt;[[DEVDeals] - [Associated TC Deal (Seq: 1)] - [TC Property Current Stage (Seq: 1)] - [Buildings (Seq: 23)] Address 1 - Both]&gt;</t>
        </r>
      </text>
    </comment>
    <comment ref="V213" authorId="0" shapeId="0" xr:uid="{372920E6-1A53-4EAF-8DE7-B28167031490}">
      <text>
        <r>
          <rPr>
            <b/>
            <sz val="9"/>
            <color indexed="81"/>
            <rFont val="Tahoma"/>
            <family val="2"/>
          </rPr>
          <t>&lt;[[DEVDeals] - [Associated TC Deal (Seq: 1)] - [TC Property Current Stage (Seq: 1)] - [Buildings (Seq: 23)] City - Both]&gt;</t>
        </r>
      </text>
    </comment>
    <comment ref="W213" authorId="0" shapeId="0" xr:uid="{85197201-77C8-46A3-A6C2-8709DD8459B7}">
      <text>
        <r>
          <rPr>
            <b/>
            <sz val="9"/>
            <color indexed="81"/>
            <rFont val="Tahoma"/>
            <family val="2"/>
          </rPr>
          <t>&lt;[[DEVDeals] - [Associated TC Deal (Seq: 1)] - [TC Property Current Stage (Seq: 1)] - [Buildings (Seq: 23)] State - Both]&gt;</t>
        </r>
      </text>
    </comment>
    <comment ref="X213" authorId="0" shapeId="0" xr:uid="{C0775340-13BD-4139-A55D-3DD0BB445C71}">
      <text>
        <r>
          <rPr>
            <b/>
            <sz val="9"/>
            <color indexed="81"/>
            <rFont val="Tahoma"/>
            <family val="2"/>
          </rPr>
          <t>&lt;[[DEVDeals] - [Associated TC Deal (Seq: 1)] - [TC Property Current Stage (Seq: 1)] - [Buildings (Seq: 23)] Zip Code - Both]&gt;</t>
        </r>
      </text>
    </comment>
    <comment ref="Y213" authorId="0" shapeId="0" xr:uid="{44703BA0-587B-47F8-8CE0-1DCB711DCE1E}">
      <text>
        <r>
          <rPr>
            <b/>
            <sz val="9"/>
            <color indexed="81"/>
            <rFont val="Tahoma"/>
            <family val="2"/>
          </rPr>
          <t>&lt;[[DEVDeals] - [Associated TC Deal (Seq: 1)] - [TC Property Current Stage (Seq: 1)] - [Buildings (Seq: 23)] BIN - Both]&gt;</t>
        </r>
      </text>
    </comment>
    <comment ref="AA213" authorId="0" shapeId="0" xr:uid="{BE5EE8CF-A75B-4495-A848-74F8A04E5F4C}">
      <text>
        <r>
          <rPr>
            <b/>
            <sz val="9"/>
            <color indexed="81"/>
            <rFont val="Tahoma"/>
            <family val="2"/>
          </rPr>
          <t>&lt;[[DEVDeals] - [Associated TC Deal (Seq: 1)] - [TC Property Current Stage (Seq: 1)] - [Buildings (Seq: 23)] Num TC Units - Both]&gt;</t>
        </r>
      </text>
    </comment>
    <comment ref="AB213" authorId="0" shapeId="0" xr:uid="{5650E468-BD88-4AB5-943C-489BF43B56B1}">
      <text>
        <r>
          <rPr>
            <b/>
            <sz val="9"/>
            <color indexed="81"/>
            <rFont val="Tahoma"/>
            <family val="2"/>
          </rPr>
          <t>&lt;[[DEVDeals] - [Associated TC Deal (Seq: 1)] - [TC Property Current Stage (Seq: 1)] - [Buildings (Seq: 23)] - [Buildings - User Defined Field Values (Seq: 1)] Building Info - Total Square Footage - Both]&gt;</t>
        </r>
      </text>
    </comment>
    <comment ref="AC213" authorId="0" shapeId="0" xr:uid="{8BA2199A-6DA0-4075-AA3F-E143A2068EA5}">
      <text>
        <r>
          <rPr>
            <b/>
            <sz val="9"/>
            <color indexed="81"/>
            <rFont val="Tahoma"/>
            <family val="2"/>
          </rPr>
          <t>&lt;[[DEVDeals] - [Associated TC Deal (Seq: 1)] - [TC Property Current Stage (Seq: 1)] - [Buildings (Seq: 23)] - [Buildings - User Defined Field Values (Seq: 1)] Building Info - Restricted Unit Square Footage - Both]&gt;</t>
        </r>
      </text>
    </comment>
    <comment ref="AD213" authorId="0" shapeId="0" xr:uid="{96ED880F-6DA7-4FCB-9CCF-75CA2FC9679E}">
      <text>
        <r>
          <rPr>
            <b/>
            <sz val="9"/>
            <color indexed="81"/>
            <rFont val="Tahoma"/>
            <family val="2"/>
          </rPr>
          <t>&lt;[[DEVDeals] - [Associated TC Deal (Seq: 1)] - [TC Property Current Stage (Seq: 1)] - [Buildings (Seq: 23)] Applicable Fraction - Both]&gt;</t>
        </r>
      </text>
    </comment>
    <comment ref="AE213" authorId="0" shapeId="0" xr:uid="{0D974CF1-C86E-4F99-8278-D8D0BDB7A6C7}">
      <text>
        <r>
          <rPr>
            <b/>
            <sz val="9"/>
            <color indexed="81"/>
            <rFont val="Tahoma"/>
            <family val="2"/>
          </rPr>
          <t>&lt;[[DEVDeals] - [Associated TC Deal (Seq: 1)] - [TC Property Current Stage (Seq: 1)] - [Buildings (Seq: 23)] - [Buildings - User Defined Field Values (Seq: 1)] Building Info - Year Built - Both]&gt;</t>
        </r>
      </text>
    </comment>
    <comment ref="AF213" authorId="0" shapeId="0" xr:uid="{108B418C-B559-4BEC-8792-684DC056C4D5}">
      <text>
        <r>
          <rPr>
            <b/>
            <sz val="9"/>
            <color indexed="81"/>
            <rFont val="Tahoma"/>
            <family val="2"/>
          </rPr>
          <t>&lt;[[DEVDeals] - [Associated TC Deal (Seq: 1)] - [TC Property Current Stage (Seq: 1)] - [Buildings (Seq: 23)] - [Buildings - User Defined Field Values (Seq: 1)] Building Info - Building Type - Both]&gt;</t>
        </r>
      </text>
    </comment>
    <comment ref="AG213" authorId="0" shapeId="0" xr:uid="{E3EB347D-A2B2-4760-BFDB-DED791F8C26E}">
      <text>
        <r>
          <rPr>
            <b/>
            <sz val="9"/>
            <color indexed="81"/>
            <rFont val="Tahoma"/>
            <family val="2"/>
          </rPr>
          <t>&lt;[[DEVDeals] - [Associated TC Deal (Seq: 1)] - [TC Property Current Stage (Seq: 1)] - [Buildings (Seq: 23)] Num Mkt Units - Both]&gt;</t>
        </r>
      </text>
    </comment>
    <comment ref="AH213" authorId="0" shapeId="0" xr:uid="{D5B2B50B-BB54-493B-B863-1575EE6E343A}">
      <text>
        <r>
          <rPr>
            <b/>
            <sz val="9"/>
            <color indexed="81"/>
            <rFont val="Tahoma"/>
            <family val="2"/>
          </rPr>
          <t>&lt;[[DEVDeals] - [Associated TC Deal (Seq: 1)] - [TC Property Current Stage (Seq: 1)] - [Buildings (Seq: 23)] - [Buildings - User Defined Field Values (Seq: 1)] Building Info - Date Last Placed in Service - Both]&gt;</t>
        </r>
      </text>
    </comment>
    <comment ref="AI213" authorId="0" shapeId="0" xr:uid="{C4C28C92-AC24-4E8C-8301-0717CEE2878E}">
      <text>
        <r>
          <rPr>
            <b/>
            <sz val="9"/>
            <color indexed="81"/>
            <rFont val="Tahoma"/>
            <family val="2"/>
          </rPr>
          <t>&lt;[[DEVDeals] - [Associated TC Deal (Seq: 1)] - [TC Property Current Stage (Seq: 1)] - [Buildings (Seq: 23)] - [Buildings - User Defined Field Values (Seq: 1)] Building Info - Sponsor's Purchase Date - Both]&gt;</t>
        </r>
      </text>
    </comment>
    <comment ref="AJ213" authorId="0" shapeId="0" xr:uid="{991E9EBB-3AAF-46C2-952D-4B0044F0FB44}">
      <text>
        <r>
          <rPr>
            <b/>
            <sz val="9"/>
            <color indexed="81"/>
            <rFont val="Tahoma"/>
            <family val="2"/>
          </rPr>
          <t>&lt;[[DEVDeals] - [Associated TC Deal (Seq: 1)] - [TC Property Current Stage (Seq: 1)] - [Buildings (Seq: 23)] - [Buildings - User Defined Field Values (Seq: 1)] Building Info - Years Between PIS &amp; Purchase Date - Both]&gt;</t>
        </r>
      </text>
    </comment>
    <comment ref="AK213" authorId="0" shapeId="0" xr:uid="{C5072680-B05F-4E83-9F2D-97A621938AD6}">
      <text>
        <r>
          <rPr>
            <b/>
            <sz val="9"/>
            <color indexed="81"/>
            <rFont val="Tahoma"/>
            <family val="2"/>
          </rPr>
          <t>&lt;[[DEVDeals] - [Associated TC Deal (Seq: 1)] - [TC Property Current Stage (Seq: 1)] - [Buildings (Seq: 23)] Federal Minimum Set Aside Id - Both]&gt;</t>
        </r>
      </text>
    </comment>
    <comment ref="U214" authorId="0" shapeId="0" xr:uid="{12FFDF7C-A06B-4410-BF6C-28CF964A15DD}">
      <text>
        <r>
          <rPr>
            <b/>
            <sz val="9"/>
            <color indexed="81"/>
            <rFont val="Tahoma"/>
            <family val="2"/>
          </rPr>
          <t>&lt;[[DEVDeals] - [Associated TC Deal (Seq: 1)] - [TC Property Current Stage (Seq: 1)] - [Buildings (Seq: 24)] Address 1 - Both]&gt;</t>
        </r>
      </text>
    </comment>
    <comment ref="V214" authorId="0" shapeId="0" xr:uid="{A7B3E8E0-FE58-4E29-A871-F90C97F139A1}">
      <text>
        <r>
          <rPr>
            <b/>
            <sz val="9"/>
            <color indexed="81"/>
            <rFont val="Tahoma"/>
            <family val="2"/>
          </rPr>
          <t>&lt;[[DEVDeals] - [Associated TC Deal (Seq: 1)] - [TC Property Current Stage (Seq: 1)] - [Buildings (Seq: 24)] City - Both]&gt;</t>
        </r>
      </text>
    </comment>
    <comment ref="W214" authorId="0" shapeId="0" xr:uid="{0953C43A-D7A2-4865-B927-2763B8B8F274}">
      <text>
        <r>
          <rPr>
            <b/>
            <sz val="9"/>
            <color indexed="81"/>
            <rFont val="Tahoma"/>
            <family val="2"/>
          </rPr>
          <t>&lt;[[DEVDeals] - [Associated TC Deal (Seq: 1)] - [TC Property Current Stage (Seq: 1)] - [Buildings (Seq: 24)] State - Both]&gt;</t>
        </r>
      </text>
    </comment>
    <comment ref="X214" authorId="0" shapeId="0" xr:uid="{903882FB-01C3-4856-B181-829F2A8E4EF0}">
      <text>
        <r>
          <rPr>
            <b/>
            <sz val="9"/>
            <color indexed="81"/>
            <rFont val="Tahoma"/>
            <family val="2"/>
          </rPr>
          <t>&lt;[[DEVDeals] - [Associated TC Deal (Seq: 1)] - [TC Property Current Stage (Seq: 1)] - [Buildings (Seq: 24)] Zip Code - Both]&gt;</t>
        </r>
      </text>
    </comment>
    <comment ref="Y214" authorId="0" shapeId="0" xr:uid="{0CBC5E3F-1967-41B5-BA83-4CDC19B39211}">
      <text>
        <r>
          <rPr>
            <b/>
            <sz val="9"/>
            <color indexed="81"/>
            <rFont val="Tahoma"/>
            <family val="2"/>
          </rPr>
          <t>&lt;[[DEVDeals] - [Associated TC Deal (Seq: 1)] - [TC Property Current Stage (Seq: 1)] - [Buildings (Seq: 24)] BIN - Both]&gt;</t>
        </r>
      </text>
    </comment>
    <comment ref="AA214" authorId="0" shapeId="0" xr:uid="{22C45429-A414-4D9C-A32F-40A9B35254BB}">
      <text>
        <r>
          <rPr>
            <b/>
            <sz val="9"/>
            <color indexed="81"/>
            <rFont val="Tahoma"/>
            <family val="2"/>
          </rPr>
          <t>&lt;[[DEVDeals] - [Associated TC Deal (Seq: 1)] - [TC Property Current Stage (Seq: 1)] - [Buildings (Seq: 24)] Num TC Units - Both]&gt;</t>
        </r>
      </text>
    </comment>
    <comment ref="AB214" authorId="0" shapeId="0" xr:uid="{68F90976-DFB2-4B45-9A31-93AF606EE945}">
      <text>
        <r>
          <rPr>
            <b/>
            <sz val="9"/>
            <color indexed="81"/>
            <rFont val="Tahoma"/>
            <family val="2"/>
          </rPr>
          <t>&lt;[[DEVDeals] - [Associated TC Deal (Seq: 1)] - [TC Property Current Stage (Seq: 1)] - [Buildings (Seq: 24)] - [Buildings - User Defined Field Values (Seq: 1)] Building Info - Total Square Footage - Both]&gt;</t>
        </r>
      </text>
    </comment>
    <comment ref="AC214" authorId="0" shapeId="0" xr:uid="{45E1E533-4523-49CD-AB5D-C83F7C5B0412}">
      <text>
        <r>
          <rPr>
            <b/>
            <sz val="9"/>
            <color indexed="81"/>
            <rFont val="Tahoma"/>
            <family val="2"/>
          </rPr>
          <t>&lt;[[DEVDeals] - [Associated TC Deal (Seq: 1)] - [TC Property Current Stage (Seq: 1)] - [Buildings (Seq: 24)] - [Buildings - User Defined Field Values (Seq: 1)] Building Info - Restricted Unit Square Footage - Both]&gt;</t>
        </r>
      </text>
    </comment>
    <comment ref="AD214" authorId="0" shapeId="0" xr:uid="{8AEE4165-4A59-492C-B42E-561272E8DA94}">
      <text>
        <r>
          <rPr>
            <b/>
            <sz val="9"/>
            <color indexed="81"/>
            <rFont val="Tahoma"/>
            <family val="2"/>
          </rPr>
          <t>&lt;[[DEVDeals] - [Associated TC Deal (Seq: 1)] - [TC Property Current Stage (Seq: 1)] - [Buildings (Seq: 24)] Applicable Fraction - Both]&gt;</t>
        </r>
      </text>
    </comment>
    <comment ref="AE214" authorId="0" shapeId="0" xr:uid="{E65D11CF-FE16-4682-A44E-9B820186AEDE}">
      <text>
        <r>
          <rPr>
            <b/>
            <sz val="9"/>
            <color indexed="81"/>
            <rFont val="Tahoma"/>
            <family val="2"/>
          </rPr>
          <t>&lt;[[DEVDeals] - [Associated TC Deal (Seq: 1)] - [TC Property Current Stage (Seq: 1)] - [Buildings (Seq: 24)] - [Buildings - User Defined Field Values (Seq: 1)] Building Info - Year Built - Both]&gt;</t>
        </r>
      </text>
    </comment>
    <comment ref="AF214" authorId="0" shapeId="0" xr:uid="{02085F05-E38A-42EC-B04C-29839C4C5315}">
      <text>
        <r>
          <rPr>
            <b/>
            <sz val="9"/>
            <color indexed="81"/>
            <rFont val="Tahoma"/>
            <family val="2"/>
          </rPr>
          <t>&lt;[[DEVDeals] - [Associated TC Deal (Seq: 1)] - [TC Property Current Stage (Seq: 1)] - [Buildings (Seq: 24)] - [Buildings - User Defined Field Values (Seq: 1)] Building Info - Building Type - Both]&gt;</t>
        </r>
      </text>
    </comment>
    <comment ref="AG214" authorId="0" shapeId="0" xr:uid="{3A509DF2-9AF5-4E57-879E-392612E43BC9}">
      <text>
        <r>
          <rPr>
            <b/>
            <sz val="9"/>
            <color indexed="81"/>
            <rFont val="Tahoma"/>
            <family val="2"/>
          </rPr>
          <t>&lt;[[DEVDeals] - [Associated TC Deal (Seq: 1)] - [TC Property Current Stage (Seq: 1)] - [Buildings (Seq: 24)] Num Mkt Units - Both]&gt;</t>
        </r>
      </text>
    </comment>
    <comment ref="AH214" authorId="0" shapeId="0" xr:uid="{44B4AF08-2252-4AA1-B99D-2A5219F2908B}">
      <text>
        <r>
          <rPr>
            <b/>
            <sz val="9"/>
            <color indexed="81"/>
            <rFont val="Tahoma"/>
            <family val="2"/>
          </rPr>
          <t>&lt;[[DEVDeals] - [Associated TC Deal (Seq: 1)] - [TC Property Current Stage (Seq: 1)] - [Buildings (Seq: 24)] - [Buildings - User Defined Field Values (Seq: 1)] Building Info - Date Last Placed in Service - Both]&gt;</t>
        </r>
      </text>
    </comment>
    <comment ref="AI214" authorId="0" shapeId="0" xr:uid="{AD161AA2-F0FE-436D-A12C-7B232E0D880F}">
      <text>
        <r>
          <rPr>
            <b/>
            <sz val="9"/>
            <color indexed="81"/>
            <rFont val="Tahoma"/>
            <family val="2"/>
          </rPr>
          <t>&lt;[[DEVDeals] - [Associated TC Deal (Seq: 1)] - [TC Property Current Stage (Seq: 1)] - [Buildings (Seq: 24)] - [Buildings - User Defined Field Values (Seq: 1)] Building Info - Sponsor's Purchase Date - Both]&gt;</t>
        </r>
      </text>
    </comment>
    <comment ref="AJ214" authorId="0" shapeId="0" xr:uid="{D229B8F5-27F9-4B6A-A757-75860E01FA7E}">
      <text>
        <r>
          <rPr>
            <b/>
            <sz val="9"/>
            <color indexed="81"/>
            <rFont val="Tahoma"/>
            <family val="2"/>
          </rPr>
          <t>&lt;[[DEVDeals] - [Associated TC Deal (Seq: 1)] - [TC Property Current Stage (Seq: 1)] - [Buildings (Seq: 24)] - [Buildings - User Defined Field Values (Seq: 1)] Building Info - Years Between PIS &amp; Purchase Date - Both]&gt;</t>
        </r>
      </text>
    </comment>
    <comment ref="AK214" authorId="0" shapeId="0" xr:uid="{74C7A673-C284-456C-B32A-A0BE8E2AC3D3}">
      <text>
        <r>
          <rPr>
            <b/>
            <sz val="9"/>
            <color indexed="81"/>
            <rFont val="Tahoma"/>
            <family val="2"/>
          </rPr>
          <t>&lt;[[DEVDeals] - [Associated TC Deal (Seq: 1)] - [TC Property Current Stage (Seq: 1)] - [Buildings (Seq: 24)] Federal Minimum Set Aside Id - Both]&gt;</t>
        </r>
      </text>
    </comment>
    <comment ref="U215" authorId="0" shapeId="0" xr:uid="{27E6F62F-18B0-4FBD-9A5C-554D63015FBA}">
      <text>
        <r>
          <rPr>
            <b/>
            <sz val="9"/>
            <color indexed="81"/>
            <rFont val="Tahoma"/>
            <family val="2"/>
          </rPr>
          <t>&lt;[[DEVDeals] - [Associated TC Deal (Seq: 1)] - [TC Property Current Stage (Seq: 1)] - [Buildings (Seq: 25)] Address 1 - Both]&gt;</t>
        </r>
      </text>
    </comment>
    <comment ref="V215" authorId="0" shapeId="0" xr:uid="{0B775A59-905E-4AE4-9CE6-E13A3328E26A}">
      <text>
        <r>
          <rPr>
            <b/>
            <sz val="9"/>
            <color indexed="81"/>
            <rFont val="Tahoma"/>
            <family val="2"/>
          </rPr>
          <t>&lt;[[DEVDeals] - [Associated TC Deal (Seq: 1)] - [TC Property Current Stage (Seq: 1)] - [Buildings (Seq: 25)] City - Both]&gt;</t>
        </r>
      </text>
    </comment>
    <comment ref="W215" authorId="0" shapeId="0" xr:uid="{9FA1D8F8-8108-472F-ACF5-C27A7D9A0591}">
      <text>
        <r>
          <rPr>
            <b/>
            <sz val="9"/>
            <color indexed="81"/>
            <rFont val="Tahoma"/>
            <family val="2"/>
          </rPr>
          <t>&lt;[[DEVDeals] - [Associated TC Deal (Seq: 1)] - [TC Property Current Stage (Seq: 1)] - [Buildings (Seq: 25)] State - Both]&gt;</t>
        </r>
      </text>
    </comment>
    <comment ref="X215" authorId="0" shapeId="0" xr:uid="{0EDDF9C9-DA51-4F03-98FD-1B864CB526CF}">
      <text>
        <r>
          <rPr>
            <b/>
            <sz val="9"/>
            <color indexed="81"/>
            <rFont val="Tahoma"/>
            <family val="2"/>
          </rPr>
          <t>&lt;[[DEVDeals] - [Associated TC Deal (Seq: 1)] - [TC Property Current Stage (Seq: 1)] - [Buildings (Seq: 25)] Zip Code - Both]&gt;</t>
        </r>
      </text>
    </comment>
    <comment ref="Y215" authorId="0" shapeId="0" xr:uid="{26305E67-11EC-4087-9EAC-7E1DC2C61A98}">
      <text>
        <r>
          <rPr>
            <b/>
            <sz val="9"/>
            <color indexed="81"/>
            <rFont val="Tahoma"/>
            <family val="2"/>
          </rPr>
          <t>&lt;[[DEVDeals] - [Associated TC Deal (Seq: 1)] - [TC Property Current Stage (Seq: 1)] - [Buildings (Seq: 25)] BIN - Both]&gt;</t>
        </r>
      </text>
    </comment>
    <comment ref="AA215" authorId="0" shapeId="0" xr:uid="{101D9909-1083-40A7-A6EE-D231C077CAD4}">
      <text>
        <r>
          <rPr>
            <b/>
            <sz val="9"/>
            <color indexed="81"/>
            <rFont val="Tahoma"/>
            <family val="2"/>
          </rPr>
          <t>&lt;[[DEVDeals] - [Associated TC Deal (Seq: 1)] - [TC Property Current Stage (Seq: 1)] - [Buildings (Seq: 25)] Num TC Units - Both]&gt;</t>
        </r>
      </text>
    </comment>
    <comment ref="AB215" authorId="0" shapeId="0" xr:uid="{3E84BCB2-E707-411E-911F-0AEAC421315C}">
      <text>
        <r>
          <rPr>
            <b/>
            <sz val="9"/>
            <color indexed="81"/>
            <rFont val="Tahoma"/>
            <family val="2"/>
          </rPr>
          <t>&lt;[[DEVDeals] - [Associated TC Deal (Seq: 1)] - [TC Property Current Stage (Seq: 1)] - [Buildings (Seq: 25)] - [Buildings - User Defined Field Values (Seq: 1)] Building Info - Total Square Footage - Both]&gt;</t>
        </r>
      </text>
    </comment>
    <comment ref="AC215" authorId="0" shapeId="0" xr:uid="{0A6BD095-C942-44FB-8B02-6B910D4FB3C0}">
      <text>
        <r>
          <rPr>
            <b/>
            <sz val="9"/>
            <color indexed="81"/>
            <rFont val="Tahoma"/>
            <family val="2"/>
          </rPr>
          <t>&lt;[[DEVDeals] - [Associated TC Deal (Seq: 1)] - [TC Property Current Stage (Seq: 1)] - [Buildings (Seq: 25)] - [Buildings - User Defined Field Values (Seq: 1)] Building Info - Restricted Unit Square Footage - Both]&gt;</t>
        </r>
      </text>
    </comment>
    <comment ref="AD215" authorId="0" shapeId="0" xr:uid="{8FE89D0F-9C87-43F7-BAF0-1E63D02F6921}">
      <text>
        <r>
          <rPr>
            <b/>
            <sz val="9"/>
            <color indexed="81"/>
            <rFont val="Tahoma"/>
            <family val="2"/>
          </rPr>
          <t>&lt;[[DEVDeals] - [Associated TC Deal (Seq: 1)] - [TC Property Current Stage (Seq: 1)] - [Buildings (Seq: 25)] Applicable Fraction - Both]&gt;</t>
        </r>
      </text>
    </comment>
    <comment ref="AE215" authorId="0" shapeId="0" xr:uid="{75B49281-C92A-479F-9B08-A1E1F8E66F8C}">
      <text>
        <r>
          <rPr>
            <b/>
            <sz val="9"/>
            <color indexed="81"/>
            <rFont val="Tahoma"/>
            <family val="2"/>
          </rPr>
          <t>&lt;[[DEVDeals] - [Associated TC Deal (Seq: 1)] - [TC Property Current Stage (Seq: 1)] - [Buildings (Seq: 25)] - [Buildings - User Defined Field Values (Seq: 1)] Building Info - Year Built - Both]&gt;</t>
        </r>
      </text>
    </comment>
    <comment ref="AF215" authorId="0" shapeId="0" xr:uid="{13F70575-BCA8-4E39-85FC-629D9E57D259}">
      <text>
        <r>
          <rPr>
            <b/>
            <sz val="9"/>
            <color indexed="81"/>
            <rFont val="Tahoma"/>
            <family val="2"/>
          </rPr>
          <t>&lt;[[DEVDeals] - [Associated TC Deal (Seq: 1)] - [TC Property Current Stage (Seq: 1)] - [Buildings (Seq: 25)] - [Buildings - User Defined Field Values (Seq: 1)] Building Info - Building Type - Both]&gt;</t>
        </r>
      </text>
    </comment>
    <comment ref="AG215" authorId="0" shapeId="0" xr:uid="{96166F62-36C5-4F6C-BC5A-154CAB84AEEA}">
      <text>
        <r>
          <rPr>
            <b/>
            <sz val="9"/>
            <color indexed="81"/>
            <rFont val="Tahoma"/>
            <family val="2"/>
          </rPr>
          <t>&lt;[[DEVDeals] - [Associated TC Deal (Seq: 1)] - [TC Property Current Stage (Seq: 1)] - [Buildings (Seq: 25)] Num Mkt Units - Both]&gt;</t>
        </r>
      </text>
    </comment>
    <comment ref="AH215" authorId="0" shapeId="0" xr:uid="{432633DB-948D-49AD-B85C-25F7AADAFAC2}">
      <text>
        <r>
          <rPr>
            <b/>
            <sz val="9"/>
            <color indexed="81"/>
            <rFont val="Tahoma"/>
            <family val="2"/>
          </rPr>
          <t>&lt;[[DEVDeals] - [Associated TC Deal (Seq: 1)] - [TC Property Current Stage (Seq: 1)] - [Buildings (Seq: 25)] - [Buildings - User Defined Field Values (Seq: 1)] Building Info - Date Last Placed in Service - Both]&gt;</t>
        </r>
      </text>
    </comment>
    <comment ref="AI215" authorId="0" shapeId="0" xr:uid="{A023FBDE-4A90-4158-8D77-1FBAE13464B3}">
      <text>
        <r>
          <rPr>
            <b/>
            <sz val="9"/>
            <color indexed="81"/>
            <rFont val="Tahoma"/>
            <family val="2"/>
          </rPr>
          <t>&lt;[[DEVDeals] - [Associated TC Deal (Seq: 1)] - [TC Property Current Stage (Seq: 1)] - [Buildings (Seq: 25)] - [Buildings - User Defined Field Values (Seq: 1)] Building Info - Sponsor's Purchase Date - Both]&gt;</t>
        </r>
      </text>
    </comment>
    <comment ref="AJ215" authorId="0" shapeId="0" xr:uid="{341166E4-EBB4-4904-AF2C-2D10F8E7B7FC}">
      <text>
        <r>
          <rPr>
            <b/>
            <sz val="9"/>
            <color indexed="81"/>
            <rFont val="Tahoma"/>
            <family val="2"/>
          </rPr>
          <t>&lt;[[DEVDeals] - [Associated TC Deal (Seq: 1)] - [TC Property Current Stage (Seq: 1)] - [Buildings (Seq: 25)] - [Buildings - User Defined Field Values (Seq: 1)] Building Info - Years Between PIS &amp; Purchase Date - Both]&gt;</t>
        </r>
      </text>
    </comment>
    <comment ref="AK215" authorId="0" shapeId="0" xr:uid="{95DF4DF5-2EF4-415D-A3A8-AB5435C67B70}">
      <text>
        <r>
          <rPr>
            <b/>
            <sz val="9"/>
            <color indexed="81"/>
            <rFont val="Tahoma"/>
            <family val="2"/>
          </rPr>
          <t>&lt;[[DEVDeals] - [Associated TC Deal (Seq: 1)] - [TC Property Current Stage (Seq: 1)] - [Buildings (Seq: 25)] Federal Minimum Set Aside Id - Both]&gt;</t>
        </r>
      </text>
    </comment>
    <comment ref="U216" authorId="0" shapeId="0" xr:uid="{405BB191-C760-4C16-A617-238C23901136}">
      <text>
        <r>
          <rPr>
            <b/>
            <sz val="9"/>
            <color indexed="81"/>
            <rFont val="Tahoma"/>
            <family val="2"/>
          </rPr>
          <t>&lt;[[DEVDeals] - [Associated TC Deal (Seq: 1)] - [TC Property Current Stage (Seq: 1)] - [Buildings (Seq: 26)] Address 1 - Both]&gt;</t>
        </r>
      </text>
    </comment>
    <comment ref="V216" authorId="0" shapeId="0" xr:uid="{F71912B9-9199-4628-BB55-AEAA11CC697D}">
      <text>
        <r>
          <rPr>
            <b/>
            <sz val="9"/>
            <color indexed="81"/>
            <rFont val="Tahoma"/>
            <family val="2"/>
          </rPr>
          <t>&lt;[[DEVDeals] - [Associated TC Deal (Seq: 1)] - [TC Property Current Stage (Seq: 1)] - [Buildings (Seq: 26)] City - Both]&gt;</t>
        </r>
      </text>
    </comment>
    <comment ref="W216" authorId="0" shapeId="0" xr:uid="{489721CC-98A1-4EB3-9779-93D7B3D2D396}">
      <text>
        <r>
          <rPr>
            <b/>
            <sz val="9"/>
            <color indexed="81"/>
            <rFont val="Tahoma"/>
            <family val="2"/>
          </rPr>
          <t>&lt;[[DEVDeals] - [Associated TC Deal (Seq: 1)] - [TC Property Current Stage (Seq: 1)] - [Buildings (Seq: 26)] State - Both]&gt;</t>
        </r>
      </text>
    </comment>
    <comment ref="X216" authorId="0" shapeId="0" xr:uid="{86D34682-6C44-4C3B-B29C-86DE1E50ABBD}">
      <text>
        <r>
          <rPr>
            <b/>
            <sz val="9"/>
            <color indexed="81"/>
            <rFont val="Tahoma"/>
            <family val="2"/>
          </rPr>
          <t>&lt;[[DEVDeals] - [Associated TC Deal (Seq: 1)] - [TC Property Current Stage (Seq: 1)] - [Buildings (Seq: 26)] Zip Code - Both]&gt;</t>
        </r>
      </text>
    </comment>
    <comment ref="Y216" authorId="0" shapeId="0" xr:uid="{AFE18D75-3230-467B-8B84-C973AEC30E11}">
      <text>
        <r>
          <rPr>
            <b/>
            <sz val="9"/>
            <color indexed="81"/>
            <rFont val="Tahoma"/>
            <family val="2"/>
          </rPr>
          <t>&lt;[[DEVDeals] - [Associated TC Deal (Seq: 1)] - [TC Property Current Stage (Seq: 1)] - [Buildings (Seq: 26)] BIN - Both]&gt;</t>
        </r>
      </text>
    </comment>
    <comment ref="AA216" authorId="0" shapeId="0" xr:uid="{9FC4BF9D-4133-4B6E-860D-20B56A3F4AC8}">
      <text>
        <r>
          <rPr>
            <b/>
            <sz val="9"/>
            <color indexed="81"/>
            <rFont val="Tahoma"/>
            <family val="2"/>
          </rPr>
          <t>&lt;[[DEVDeals] - [Associated TC Deal (Seq: 1)] - [TC Property Current Stage (Seq: 1)] - [Buildings (Seq: 26)] Num TC Units - Both]&gt;</t>
        </r>
      </text>
    </comment>
    <comment ref="AB216" authorId="0" shapeId="0" xr:uid="{FD52D84E-3B8B-49D9-A27C-4595CDFC27A2}">
      <text>
        <r>
          <rPr>
            <b/>
            <sz val="9"/>
            <color indexed="81"/>
            <rFont val="Tahoma"/>
            <family val="2"/>
          </rPr>
          <t>&lt;[[DEVDeals] - [Associated TC Deal (Seq: 1)] - [TC Property Current Stage (Seq: 1)] - [Buildings (Seq: 26)] - [Buildings - User Defined Field Values (Seq: 1)] Building Info - Total Square Footage - Both]&gt;</t>
        </r>
      </text>
    </comment>
    <comment ref="AC216" authorId="0" shapeId="0" xr:uid="{472D20C2-1D85-471F-B5BD-2CF1560978C4}">
      <text>
        <r>
          <rPr>
            <b/>
            <sz val="9"/>
            <color indexed="81"/>
            <rFont val="Tahoma"/>
            <family val="2"/>
          </rPr>
          <t>&lt;[[DEVDeals] - [Associated TC Deal (Seq: 1)] - [TC Property Current Stage (Seq: 1)] - [Buildings (Seq: 26)] - [Buildings - User Defined Field Values (Seq: 1)] Building Info - Restricted Unit Square Footage - Both]&gt;</t>
        </r>
      </text>
    </comment>
    <comment ref="AD216" authorId="0" shapeId="0" xr:uid="{F23306AE-759F-442E-B7C9-94C11BA19F89}">
      <text>
        <r>
          <rPr>
            <b/>
            <sz val="9"/>
            <color indexed="81"/>
            <rFont val="Tahoma"/>
            <family val="2"/>
          </rPr>
          <t>&lt;[[DEVDeals] - [Associated TC Deal (Seq: 1)] - [TC Property Current Stage (Seq: 1)] - [Buildings (Seq: 26)] Applicable Fraction - Both]&gt;</t>
        </r>
      </text>
    </comment>
    <comment ref="AE216" authorId="0" shapeId="0" xr:uid="{5558EF1D-FCC5-4D04-9F18-B99E9C7AD4A0}">
      <text>
        <r>
          <rPr>
            <b/>
            <sz val="9"/>
            <color indexed="81"/>
            <rFont val="Tahoma"/>
            <family val="2"/>
          </rPr>
          <t>&lt;[[DEVDeals] - [Associated TC Deal (Seq: 1)] - [TC Property Current Stage (Seq: 1)] - [Buildings (Seq: 26)] - [Buildings - User Defined Field Values (Seq: 1)] Building Info - Year Built - Both]&gt;</t>
        </r>
      </text>
    </comment>
    <comment ref="AF216" authorId="0" shapeId="0" xr:uid="{5D4D6B49-0765-40D3-B787-3328D981AC09}">
      <text>
        <r>
          <rPr>
            <b/>
            <sz val="9"/>
            <color indexed="81"/>
            <rFont val="Tahoma"/>
            <family val="2"/>
          </rPr>
          <t>&lt;[[DEVDeals] - [Associated TC Deal (Seq: 1)] - [TC Property Current Stage (Seq: 1)] - [Buildings (Seq: 26)] - [Buildings - User Defined Field Values (Seq: 1)] Building Info - Building Type - Both]&gt;</t>
        </r>
      </text>
    </comment>
    <comment ref="AG216" authorId="0" shapeId="0" xr:uid="{3B539C80-81BC-40A8-9D68-ED060E91E2D2}">
      <text>
        <r>
          <rPr>
            <b/>
            <sz val="9"/>
            <color indexed="81"/>
            <rFont val="Tahoma"/>
            <family val="2"/>
          </rPr>
          <t>&lt;[[DEVDeals] - [Associated TC Deal (Seq: 1)] - [TC Property Current Stage (Seq: 1)] - [Buildings (Seq: 26)] Num Mkt Units - Both]&gt;</t>
        </r>
      </text>
    </comment>
    <comment ref="AH216" authorId="0" shapeId="0" xr:uid="{0C6A4F38-0C2E-468A-ADD3-7226DB5D711C}">
      <text>
        <r>
          <rPr>
            <b/>
            <sz val="9"/>
            <color indexed="81"/>
            <rFont val="Tahoma"/>
            <family val="2"/>
          </rPr>
          <t>&lt;[[DEVDeals] - [Associated TC Deal (Seq: 1)] - [TC Property Current Stage (Seq: 1)] - [Buildings (Seq: 26)] - [Buildings - User Defined Field Values (Seq: 1)] Building Info - Date Last Placed in Service - Both]&gt;</t>
        </r>
      </text>
    </comment>
    <comment ref="AI216" authorId="0" shapeId="0" xr:uid="{E2C1ADB4-1357-4900-8519-45ED94D93A39}">
      <text>
        <r>
          <rPr>
            <b/>
            <sz val="9"/>
            <color indexed="81"/>
            <rFont val="Tahoma"/>
            <family val="2"/>
          </rPr>
          <t>&lt;[[DEVDeals] - [Associated TC Deal (Seq: 1)] - [TC Property Current Stage (Seq: 1)] - [Buildings (Seq: 26)] - [Buildings - User Defined Field Values (Seq: 1)] Building Info - Sponsor's Purchase Date - Both]&gt;</t>
        </r>
      </text>
    </comment>
    <comment ref="AJ216" authorId="0" shapeId="0" xr:uid="{9DB1302F-7D8A-4655-8566-83480117CCFB}">
      <text>
        <r>
          <rPr>
            <b/>
            <sz val="9"/>
            <color indexed="81"/>
            <rFont val="Tahoma"/>
            <family val="2"/>
          </rPr>
          <t>&lt;[[DEVDeals] - [Associated TC Deal (Seq: 1)] - [TC Property Current Stage (Seq: 1)] - [Buildings (Seq: 26)] - [Buildings - User Defined Field Values (Seq: 1)] Building Info - Years Between PIS &amp; Purchase Date - Both]&gt;</t>
        </r>
      </text>
    </comment>
    <comment ref="AK216" authorId="0" shapeId="0" xr:uid="{927294D1-7509-4BB7-A8E2-6F9344E44C1E}">
      <text>
        <r>
          <rPr>
            <b/>
            <sz val="9"/>
            <color indexed="81"/>
            <rFont val="Tahoma"/>
            <family val="2"/>
          </rPr>
          <t>&lt;[[DEVDeals] - [Associated TC Deal (Seq: 1)] - [TC Property Current Stage (Seq: 1)] - [Buildings (Seq: 26)] Federal Minimum Set Aside Id - Both]&gt;</t>
        </r>
      </text>
    </comment>
    <comment ref="U217" authorId="0" shapeId="0" xr:uid="{D74D6AB3-0BC8-4EA3-8390-99AF566D981C}">
      <text>
        <r>
          <rPr>
            <b/>
            <sz val="9"/>
            <color indexed="81"/>
            <rFont val="Tahoma"/>
            <family val="2"/>
          </rPr>
          <t>&lt;[[DEVDeals] - [Associated TC Deal (Seq: 1)] - [TC Property Current Stage (Seq: 1)] - [Buildings (Seq: 27)] Address 1 - Both]&gt;</t>
        </r>
      </text>
    </comment>
    <comment ref="V217" authorId="0" shapeId="0" xr:uid="{60340144-1D0F-4DC0-9155-C87C3A9F021D}">
      <text>
        <r>
          <rPr>
            <b/>
            <sz val="9"/>
            <color indexed="81"/>
            <rFont val="Tahoma"/>
            <family val="2"/>
          </rPr>
          <t>&lt;[[DEVDeals] - [Associated TC Deal (Seq: 1)] - [TC Property Current Stage (Seq: 1)] - [Buildings (Seq: 27)] City - Both]&gt;</t>
        </r>
      </text>
    </comment>
    <comment ref="W217" authorId="0" shapeId="0" xr:uid="{BE1F0611-D2F4-4482-AF53-A8D0D4A9DD3F}">
      <text>
        <r>
          <rPr>
            <b/>
            <sz val="9"/>
            <color indexed="81"/>
            <rFont val="Tahoma"/>
            <family val="2"/>
          </rPr>
          <t>&lt;[[DEVDeals] - [Associated TC Deal (Seq: 1)] - [TC Property Current Stage (Seq: 1)] - [Buildings (Seq: 27)] State - Both]&gt;</t>
        </r>
      </text>
    </comment>
    <comment ref="X217" authorId="0" shapeId="0" xr:uid="{ACE5C9C1-4B86-4899-A3F9-BE43C4160905}">
      <text>
        <r>
          <rPr>
            <b/>
            <sz val="9"/>
            <color indexed="81"/>
            <rFont val="Tahoma"/>
            <family val="2"/>
          </rPr>
          <t>&lt;[[DEVDeals] - [Associated TC Deal (Seq: 1)] - [TC Property Current Stage (Seq: 1)] - [Buildings (Seq: 27)] Zip Code - Both]&gt;</t>
        </r>
      </text>
    </comment>
    <comment ref="Y217" authorId="0" shapeId="0" xr:uid="{A58C9CE2-DA1A-4949-8FA6-25A8160B9967}">
      <text>
        <r>
          <rPr>
            <b/>
            <sz val="9"/>
            <color indexed="81"/>
            <rFont val="Tahoma"/>
            <family val="2"/>
          </rPr>
          <t>&lt;[[DEVDeals] - [Associated TC Deal (Seq: 1)] - [TC Property Current Stage (Seq: 1)] - [Buildings (Seq: 27)] BIN - Both]&gt;</t>
        </r>
      </text>
    </comment>
    <comment ref="AA217" authorId="0" shapeId="0" xr:uid="{B503FA5D-C499-492C-8413-E56980162B04}">
      <text>
        <r>
          <rPr>
            <b/>
            <sz val="9"/>
            <color indexed="81"/>
            <rFont val="Tahoma"/>
            <family val="2"/>
          </rPr>
          <t>&lt;[[DEVDeals] - [Associated TC Deal (Seq: 1)] - [TC Property Current Stage (Seq: 1)] - [Buildings (Seq: 27)] Num TC Units - Both]&gt;</t>
        </r>
      </text>
    </comment>
    <comment ref="AB217" authorId="0" shapeId="0" xr:uid="{C55B1E14-CE85-448E-BD42-3080B507C066}">
      <text>
        <r>
          <rPr>
            <b/>
            <sz val="9"/>
            <color indexed="81"/>
            <rFont val="Tahoma"/>
            <family val="2"/>
          </rPr>
          <t>&lt;[[DEVDeals] - [Associated TC Deal (Seq: 1)] - [TC Property Current Stage (Seq: 1)] - [Buildings (Seq: 27)] - [Buildings - User Defined Field Values (Seq: 1)] Building Info - Total Square Footage - Both]&gt;</t>
        </r>
      </text>
    </comment>
    <comment ref="AC217" authorId="0" shapeId="0" xr:uid="{2DEC9151-41B3-4DE5-B712-BF1B63058D5C}">
      <text>
        <r>
          <rPr>
            <b/>
            <sz val="9"/>
            <color indexed="81"/>
            <rFont val="Tahoma"/>
            <family val="2"/>
          </rPr>
          <t>&lt;[[DEVDeals] - [Associated TC Deal (Seq: 1)] - [TC Property Current Stage (Seq: 1)] - [Buildings (Seq: 27)] - [Buildings - User Defined Field Values (Seq: 1)] Building Info - Restricted Unit Square Footage - Both]&gt;</t>
        </r>
      </text>
    </comment>
    <comment ref="AD217" authorId="0" shapeId="0" xr:uid="{F14D9193-2F3C-4C53-92BE-91B2FD290545}">
      <text>
        <r>
          <rPr>
            <b/>
            <sz val="9"/>
            <color indexed="81"/>
            <rFont val="Tahoma"/>
            <family val="2"/>
          </rPr>
          <t>&lt;[[DEVDeals] - [Associated TC Deal (Seq: 1)] - [TC Property Current Stage (Seq: 1)] - [Buildings (Seq: 27)] Applicable Fraction - Both]&gt;</t>
        </r>
      </text>
    </comment>
    <comment ref="AE217" authorId="0" shapeId="0" xr:uid="{66B6ECD9-B958-459C-91DE-DE9E64D43D5D}">
      <text>
        <r>
          <rPr>
            <b/>
            <sz val="9"/>
            <color indexed="81"/>
            <rFont val="Tahoma"/>
            <family val="2"/>
          </rPr>
          <t>&lt;[[DEVDeals] - [Associated TC Deal (Seq: 1)] - [TC Property Current Stage (Seq: 1)] - [Buildings (Seq: 27)] - [Buildings - User Defined Field Values (Seq: 1)] Building Info - Year Built - Both]&gt;</t>
        </r>
      </text>
    </comment>
    <comment ref="AF217" authorId="0" shapeId="0" xr:uid="{8EB7B640-7B6F-4183-B193-89823486C88E}">
      <text>
        <r>
          <rPr>
            <b/>
            <sz val="9"/>
            <color indexed="81"/>
            <rFont val="Tahoma"/>
            <family val="2"/>
          </rPr>
          <t>&lt;[[DEVDeals] - [Associated TC Deal (Seq: 1)] - [TC Property Current Stage (Seq: 1)] - [Buildings (Seq: 27)] - [Buildings - User Defined Field Values (Seq: 1)] Building Info - Building Type - Both]&gt;</t>
        </r>
      </text>
    </comment>
    <comment ref="AG217" authorId="0" shapeId="0" xr:uid="{3BF8C2F2-976D-4604-8B38-81894FC10226}">
      <text>
        <r>
          <rPr>
            <b/>
            <sz val="9"/>
            <color indexed="81"/>
            <rFont val="Tahoma"/>
            <family val="2"/>
          </rPr>
          <t>&lt;[[DEVDeals] - [Associated TC Deal (Seq: 1)] - [TC Property Current Stage (Seq: 1)] - [Buildings (Seq: 27)] Num Mkt Units - Both]&gt;</t>
        </r>
      </text>
    </comment>
    <comment ref="AH217" authorId="0" shapeId="0" xr:uid="{8F566B2F-F4E4-463C-B209-3E9729075E39}">
      <text>
        <r>
          <rPr>
            <b/>
            <sz val="9"/>
            <color indexed="81"/>
            <rFont val="Tahoma"/>
            <family val="2"/>
          </rPr>
          <t>&lt;[[DEVDeals] - [Associated TC Deal (Seq: 1)] - [TC Property Current Stage (Seq: 1)] - [Buildings (Seq: 27)] - [Buildings - User Defined Field Values (Seq: 1)] Building Info - Date Last Placed in Service - Both]&gt;</t>
        </r>
      </text>
    </comment>
    <comment ref="AI217" authorId="0" shapeId="0" xr:uid="{D2E70DC5-D069-4220-A9CF-3807109B0026}">
      <text>
        <r>
          <rPr>
            <b/>
            <sz val="9"/>
            <color indexed="81"/>
            <rFont val="Tahoma"/>
            <family val="2"/>
          </rPr>
          <t>&lt;[[DEVDeals] - [Associated TC Deal (Seq: 1)] - [TC Property Current Stage (Seq: 1)] - [Buildings (Seq: 27)] - [Buildings - User Defined Field Values (Seq: 1)] Building Info - Sponsor's Purchase Date - Both]&gt;</t>
        </r>
      </text>
    </comment>
    <comment ref="AJ217" authorId="0" shapeId="0" xr:uid="{62ACA220-380E-465A-95DE-CD3ADD534488}">
      <text>
        <r>
          <rPr>
            <b/>
            <sz val="9"/>
            <color indexed="81"/>
            <rFont val="Tahoma"/>
            <family val="2"/>
          </rPr>
          <t>&lt;[[DEVDeals] - [Associated TC Deal (Seq: 1)] - [TC Property Current Stage (Seq: 1)] - [Buildings (Seq: 27)] - [Buildings - User Defined Field Values (Seq: 1)] Building Info - Years Between PIS &amp; Purchase Date - Both]&gt;</t>
        </r>
      </text>
    </comment>
    <comment ref="AK217" authorId="0" shapeId="0" xr:uid="{A53F241F-1CA0-485A-9CC8-B0A717070889}">
      <text>
        <r>
          <rPr>
            <b/>
            <sz val="9"/>
            <color indexed="81"/>
            <rFont val="Tahoma"/>
            <family val="2"/>
          </rPr>
          <t>&lt;[[DEVDeals] - [Associated TC Deal (Seq: 1)] - [TC Property Current Stage (Seq: 1)] - [Buildings (Seq: 27)] Federal Minimum Set Aside Id - Both]&gt;</t>
        </r>
      </text>
    </comment>
    <comment ref="U218" authorId="0" shapeId="0" xr:uid="{B991E127-C193-4B8A-9FEB-6DCE4A12CA23}">
      <text>
        <r>
          <rPr>
            <b/>
            <sz val="9"/>
            <color indexed="81"/>
            <rFont val="Tahoma"/>
            <family val="2"/>
          </rPr>
          <t>&lt;[[DEVDeals] - [Associated TC Deal (Seq: 1)] - [TC Property Current Stage (Seq: 1)] - [Buildings (Seq: 28)] Address 1 - Both]&gt;</t>
        </r>
      </text>
    </comment>
    <comment ref="V218" authorId="0" shapeId="0" xr:uid="{240E480B-2CDE-4671-B7DF-1DF0E7745FA1}">
      <text>
        <r>
          <rPr>
            <b/>
            <sz val="9"/>
            <color indexed="81"/>
            <rFont val="Tahoma"/>
            <family val="2"/>
          </rPr>
          <t>&lt;[[DEVDeals] - [Associated TC Deal (Seq: 1)] - [TC Property Current Stage (Seq: 1)] - [Buildings (Seq: 28)] City - Both]&gt;</t>
        </r>
      </text>
    </comment>
    <comment ref="W218" authorId="0" shapeId="0" xr:uid="{D886CFE3-5C11-4B9C-97AD-BB2DFCDCE330}">
      <text>
        <r>
          <rPr>
            <b/>
            <sz val="9"/>
            <color indexed="81"/>
            <rFont val="Tahoma"/>
            <family val="2"/>
          </rPr>
          <t>&lt;[[DEVDeals] - [Associated TC Deal (Seq: 1)] - [TC Property Current Stage (Seq: 1)] - [Buildings (Seq: 28)] State - Both]&gt;</t>
        </r>
      </text>
    </comment>
    <comment ref="X218" authorId="0" shapeId="0" xr:uid="{F006F820-CB69-4948-843E-5E03CADFB21A}">
      <text>
        <r>
          <rPr>
            <b/>
            <sz val="9"/>
            <color indexed="81"/>
            <rFont val="Tahoma"/>
            <family val="2"/>
          </rPr>
          <t>&lt;[[DEVDeals] - [Associated TC Deal (Seq: 1)] - [TC Property Current Stage (Seq: 1)] - [Buildings (Seq: 28)] Zip Code - Both]&gt;</t>
        </r>
      </text>
    </comment>
    <comment ref="Y218" authorId="0" shapeId="0" xr:uid="{EB4AE7CF-A0C2-400F-BB52-C4A74EE6001C}">
      <text>
        <r>
          <rPr>
            <b/>
            <sz val="9"/>
            <color indexed="81"/>
            <rFont val="Tahoma"/>
            <family val="2"/>
          </rPr>
          <t>&lt;[[DEVDeals] - [Associated TC Deal (Seq: 1)] - [TC Property Current Stage (Seq: 1)] - [Buildings (Seq: 28)] BIN - Both]&gt;</t>
        </r>
      </text>
    </comment>
    <comment ref="AA218" authorId="0" shapeId="0" xr:uid="{55152A70-7C8F-4FB1-B6CB-AAEFB015BFDD}">
      <text>
        <r>
          <rPr>
            <b/>
            <sz val="9"/>
            <color indexed="81"/>
            <rFont val="Tahoma"/>
            <family val="2"/>
          </rPr>
          <t>&lt;[[DEVDeals] - [Associated TC Deal (Seq: 1)] - [TC Property Current Stage (Seq: 1)] - [Buildings (Seq: 28)] Num TC Units - Both]&gt;</t>
        </r>
      </text>
    </comment>
    <comment ref="AB218" authorId="0" shapeId="0" xr:uid="{2AFF4BBE-8413-4846-AF82-2A9DD543B5E8}">
      <text>
        <r>
          <rPr>
            <b/>
            <sz val="9"/>
            <color indexed="81"/>
            <rFont val="Tahoma"/>
            <family val="2"/>
          </rPr>
          <t>&lt;[[DEVDeals] - [Associated TC Deal (Seq: 1)] - [TC Property Current Stage (Seq: 1)] - [Buildings (Seq: 28)] - [Buildings - User Defined Field Values (Seq: 1)] Building Info - Total Square Footage - Both]&gt;</t>
        </r>
      </text>
    </comment>
    <comment ref="AC218" authorId="0" shapeId="0" xr:uid="{C1CE354F-A97E-4172-8EB8-2F908F91C13C}">
      <text>
        <r>
          <rPr>
            <b/>
            <sz val="9"/>
            <color indexed="81"/>
            <rFont val="Tahoma"/>
            <family val="2"/>
          </rPr>
          <t>&lt;[[DEVDeals] - [Associated TC Deal (Seq: 1)] - [TC Property Current Stage (Seq: 1)] - [Buildings (Seq: 28)] - [Buildings - User Defined Field Values (Seq: 1)] Building Info - Restricted Unit Square Footage - Both]&gt;</t>
        </r>
      </text>
    </comment>
    <comment ref="AD218" authorId="0" shapeId="0" xr:uid="{880475FA-ABB7-4079-9D10-C76B79E3EA71}">
      <text>
        <r>
          <rPr>
            <b/>
            <sz val="9"/>
            <color indexed="81"/>
            <rFont val="Tahoma"/>
            <family val="2"/>
          </rPr>
          <t>&lt;[[DEVDeals] - [Associated TC Deal (Seq: 1)] - [TC Property Current Stage (Seq: 1)] - [Buildings (Seq: 28)] Applicable Fraction - Both]&gt;</t>
        </r>
      </text>
    </comment>
    <comment ref="AE218" authorId="0" shapeId="0" xr:uid="{117E0F2B-B99A-4EC9-AE39-051305B66B2D}">
      <text>
        <r>
          <rPr>
            <b/>
            <sz val="9"/>
            <color indexed="81"/>
            <rFont val="Tahoma"/>
            <family val="2"/>
          </rPr>
          <t>&lt;[[DEVDeals] - [Associated TC Deal (Seq: 1)] - [TC Property Current Stage (Seq: 1)] - [Buildings (Seq: 28)] - [Buildings - User Defined Field Values (Seq: 1)] Building Info - Year Built - Both]&gt;</t>
        </r>
      </text>
    </comment>
    <comment ref="AF218" authorId="0" shapeId="0" xr:uid="{990EB8BF-F57C-49EC-8158-5219F1538AE0}">
      <text>
        <r>
          <rPr>
            <b/>
            <sz val="9"/>
            <color indexed="81"/>
            <rFont val="Tahoma"/>
            <family val="2"/>
          </rPr>
          <t>&lt;[[DEVDeals] - [Associated TC Deal (Seq: 1)] - [TC Property Current Stage (Seq: 1)] - [Buildings (Seq: 28)] - [Buildings - User Defined Field Values (Seq: 1)] Building Info - Building Type - Both]&gt;</t>
        </r>
      </text>
    </comment>
    <comment ref="AG218" authorId="0" shapeId="0" xr:uid="{D8083141-795B-4A98-8DBF-D2B67F5CC45B}">
      <text>
        <r>
          <rPr>
            <b/>
            <sz val="9"/>
            <color indexed="81"/>
            <rFont val="Tahoma"/>
            <family val="2"/>
          </rPr>
          <t>&lt;[[DEVDeals] - [Associated TC Deal (Seq: 1)] - [TC Property Current Stage (Seq: 1)] - [Buildings (Seq: 28)] Num Mkt Units - Both]&gt;</t>
        </r>
      </text>
    </comment>
    <comment ref="AH218" authorId="0" shapeId="0" xr:uid="{A87442B5-A065-4ADB-B64F-2C2DB432D5E2}">
      <text>
        <r>
          <rPr>
            <b/>
            <sz val="9"/>
            <color indexed="81"/>
            <rFont val="Tahoma"/>
            <family val="2"/>
          </rPr>
          <t>&lt;[[DEVDeals] - [Associated TC Deal (Seq: 1)] - [TC Property Current Stage (Seq: 1)] - [Buildings (Seq: 28)] - [Buildings - User Defined Field Values (Seq: 1)] Building Info - Date Last Placed in Service - Both]&gt;</t>
        </r>
      </text>
    </comment>
    <comment ref="AI218" authorId="0" shapeId="0" xr:uid="{DCEFCC8B-31F4-40AC-B5C8-34AF00DD7A68}">
      <text>
        <r>
          <rPr>
            <b/>
            <sz val="9"/>
            <color indexed="81"/>
            <rFont val="Tahoma"/>
            <family val="2"/>
          </rPr>
          <t>&lt;[[DEVDeals] - [Associated TC Deal (Seq: 1)] - [TC Property Current Stage (Seq: 1)] - [Buildings (Seq: 28)] - [Buildings - User Defined Field Values (Seq: 1)] Building Info - Sponsor's Purchase Date - Both]&gt;</t>
        </r>
      </text>
    </comment>
    <comment ref="AJ218" authorId="0" shapeId="0" xr:uid="{428CD706-971E-4AFA-BE31-3D7E0C29EBAA}">
      <text>
        <r>
          <rPr>
            <b/>
            <sz val="9"/>
            <color indexed="81"/>
            <rFont val="Tahoma"/>
            <family val="2"/>
          </rPr>
          <t>&lt;[[DEVDeals] - [Associated TC Deal (Seq: 1)] - [TC Property Current Stage (Seq: 1)] - [Buildings (Seq: 28)] - [Buildings - User Defined Field Values (Seq: 1)] Building Info - Years Between PIS &amp; Purchase Date - Both]&gt;</t>
        </r>
      </text>
    </comment>
    <comment ref="AK218" authorId="0" shapeId="0" xr:uid="{37E2EFD5-14E7-4614-AD7F-75B7D8A19478}">
      <text>
        <r>
          <rPr>
            <b/>
            <sz val="9"/>
            <color indexed="81"/>
            <rFont val="Tahoma"/>
            <family val="2"/>
          </rPr>
          <t>&lt;[[DEVDeals] - [Associated TC Deal (Seq: 1)] - [TC Property Current Stage (Seq: 1)] - [Buildings (Seq: 28)] Federal Minimum Set Aside Id - Both]&gt;</t>
        </r>
      </text>
    </comment>
    <comment ref="U219" authorId="0" shapeId="0" xr:uid="{0F7D502E-A7F6-4DF3-81F8-6A40F843B53C}">
      <text>
        <r>
          <rPr>
            <b/>
            <sz val="9"/>
            <color indexed="81"/>
            <rFont val="Tahoma"/>
            <family val="2"/>
          </rPr>
          <t>&lt;[[DEVDeals] - [Associated TC Deal (Seq: 1)] - [TC Property Current Stage (Seq: 1)] - [Buildings (Seq: 29)] Address 1 - Both]&gt;</t>
        </r>
      </text>
    </comment>
    <comment ref="V219" authorId="0" shapeId="0" xr:uid="{2BE4F755-D7CE-4F58-B4FC-26B03D3031EF}">
      <text>
        <r>
          <rPr>
            <b/>
            <sz val="9"/>
            <color indexed="81"/>
            <rFont val="Tahoma"/>
            <family val="2"/>
          </rPr>
          <t>&lt;[[DEVDeals] - [Associated TC Deal (Seq: 1)] - [TC Property Current Stage (Seq: 1)] - [Buildings (Seq: 29)] City - Both]&gt;</t>
        </r>
      </text>
    </comment>
    <comment ref="W219" authorId="0" shapeId="0" xr:uid="{33290574-3407-4F4D-B102-2A2287DA9AFA}">
      <text>
        <r>
          <rPr>
            <b/>
            <sz val="9"/>
            <color indexed="81"/>
            <rFont val="Tahoma"/>
            <family val="2"/>
          </rPr>
          <t>&lt;[[DEVDeals] - [Associated TC Deal (Seq: 1)] - [TC Property Current Stage (Seq: 1)] - [Buildings (Seq: 29)] State - Both]&gt;</t>
        </r>
      </text>
    </comment>
    <comment ref="X219" authorId="0" shapeId="0" xr:uid="{335F5914-E825-4D63-8E63-26611409F153}">
      <text>
        <r>
          <rPr>
            <b/>
            <sz val="9"/>
            <color indexed="81"/>
            <rFont val="Tahoma"/>
            <family val="2"/>
          </rPr>
          <t>&lt;[[DEVDeals] - [Associated TC Deal (Seq: 1)] - [TC Property Current Stage (Seq: 1)] - [Buildings (Seq: 29)] Zip Code - Both]&gt;</t>
        </r>
      </text>
    </comment>
    <comment ref="Y219" authorId="0" shapeId="0" xr:uid="{8DF6D04E-AB7D-47A8-B83A-E09FEF58732A}">
      <text>
        <r>
          <rPr>
            <b/>
            <sz val="9"/>
            <color indexed="81"/>
            <rFont val="Tahoma"/>
            <family val="2"/>
          </rPr>
          <t>&lt;[[DEVDeals] - [Associated TC Deal (Seq: 1)] - [TC Property Current Stage (Seq: 1)] - [Buildings (Seq: 29)] BIN - Both]&gt;</t>
        </r>
      </text>
    </comment>
    <comment ref="AA219" authorId="0" shapeId="0" xr:uid="{2CF87DED-FC34-499B-ABE3-BE5C1663A63C}">
      <text>
        <r>
          <rPr>
            <b/>
            <sz val="9"/>
            <color indexed="81"/>
            <rFont val="Tahoma"/>
            <family val="2"/>
          </rPr>
          <t>&lt;[[DEVDeals] - [Associated TC Deal (Seq: 1)] - [TC Property Current Stage (Seq: 1)] - [Buildings (Seq: 29)] Num TC Units - Both]&gt;</t>
        </r>
      </text>
    </comment>
    <comment ref="AB219" authorId="0" shapeId="0" xr:uid="{3058A4EC-FF2D-4AB2-A7E8-DD325AE53CDF}">
      <text>
        <r>
          <rPr>
            <b/>
            <sz val="9"/>
            <color indexed="81"/>
            <rFont val="Tahoma"/>
            <family val="2"/>
          </rPr>
          <t>&lt;[[DEVDeals] - [Associated TC Deal (Seq: 1)] - [TC Property Current Stage (Seq: 1)] - [Buildings (Seq: 29)] - [Buildings - User Defined Field Values (Seq: 1)] Building Info - Total Square Footage - Both]&gt;</t>
        </r>
      </text>
    </comment>
    <comment ref="AC219" authorId="0" shapeId="0" xr:uid="{87567D19-1D88-46B0-83BD-8D5C82FAD48F}">
      <text>
        <r>
          <rPr>
            <b/>
            <sz val="9"/>
            <color indexed="81"/>
            <rFont val="Tahoma"/>
            <family val="2"/>
          </rPr>
          <t>&lt;[[DEVDeals] - [Associated TC Deal (Seq: 1)] - [TC Property Current Stage (Seq: 1)] - [Buildings (Seq: 29)] - [Buildings - User Defined Field Values (Seq: 1)] Building Info - Restricted Unit Square Footage - Both]&gt;</t>
        </r>
      </text>
    </comment>
    <comment ref="AD219" authorId="0" shapeId="0" xr:uid="{4F413259-55C9-4222-A17D-9D8007BE0E8F}">
      <text>
        <r>
          <rPr>
            <b/>
            <sz val="9"/>
            <color indexed="81"/>
            <rFont val="Tahoma"/>
            <family val="2"/>
          </rPr>
          <t>&lt;[[DEVDeals] - [Associated TC Deal (Seq: 1)] - [TC Property Current Stage (Seq: 1)] - [Buildings (Seq: 29)] Applicable Fraction - Both]&gt;</t>
        </r>
      </text>
    </comment>
    <comment ref="AE219" authorId="0" shapeId="0" xr:uid="{1C011D5A-BA04-4F1F-B107-CCE12364B8E9}">
      <text>
        <r>
          <rPr>
            <b/>
            <sz val="9"/>
            <color indexed="81"/>
            <rFont val="Tahoma"/>
            <family val="2"/>
          </rPr>
          <t>&lt;[[DEVDeals] - [Associated TC Deal (Seq: 1)] - [TC Property Current Stage (Seq: 1)] - [Buildings (Seq: 29)] - [Buildings - User Defined Field Values (Seq: 1)] Building Info - Year Built - Both]&gt;</t>
        </r>
      </text>
    </comment>
    <comment ref="AF219" authorId="0" shapeId="0" xr:uid="{44D2144C-576D-4D18-AF38-C105D7A948C4}">
      <text>
        <r>
          <rPr>
            <b/>
            <sz val="9"/>
            <color indexed="81"/>
            <rFont val="Tahoma"/>
            <family val="2"/>
          </rPr>
          <t>&lt;[[DEVDeals] - [Associated TC Deal (Seq: 1)] - [TC Property Current Stage (Seq: 1)] - [Buildings (Seq: 29)] - [Buildings - User Defined Field Values (Seq: 1)] Building Info - Building Type - Both]&gt;</t>
        </r>
      </text>
    </comment>
    <comment ref="AG219" authorId="0" shapeId="0" xr:uid="{7586F48A-B251-4BB9-8B59-C138868C7EDF}">
      <text>
        <r>
          <rPr>
            <b/>
            <sz val="9"/>
            <color indexed="81"/>
            <rFont val="Tahoma"/>
            <family val="2"/>
          </rPr>
          <t>&lt;[[DEVDeals] - [Associated TC Deal (Seq: 1)] - [TC Property Current Stage (Seq: 1)] - [Buildings (Seq: 29)] Num Mkt Units - Both]&gt;</t>
        </r>
      </text>
    </comment>
    <comment ref="AH219" authorId="0" shapeId="0" xr:uid="{8D14FE01-0A9A-448F-A383-1ECF4788159F}">
      <text>
        <r>
          <rPr>
            <b/>
            <sz val="9"/>
            <color indexed="81"/>
            <rFont val="Tahoma"/>
            <family val="2"/>
          </rPr>
          <t>&lt;[[DEVDeals] - [Associated TC Deal (Seq: 1)] - [TC Property Current Stage (Seq: 1)] - [Buildings (Seq: 29)] - [Buildings - User Defined Field Values (Seq: 1)] Building Info - Date Last Placed in Service - Both]&gt;</t>
        </r>
      </text>
    </comment>
    <comment ref="AI219" authorId="0" shapeId="0" xr:uid="{A56F4074-A929-401D-9347-C8012338C9EB}">
      <text>
        <r>
          <rPr>
            <b/>
            <sz val="9"/>
            <color indexed="81"/>
            <rFont val="Tahoma"/>
            <family val="2"/>
          </rPr>
          <t>&lt;[[DEVDeals] - [Associated TC Deal (Seq: 1)] - [TC Property Current Stage (Seq: 1)] - [Buildings (Seq: 29)] - [Buildings - User Defined Field Values (Seq: 1)] Building Info - Sponsor's Purchase Date - Both]&gt;</t>
        </r>
      </text>
    </comment>
    <comment ref="AJ219" authorId="0" shapeId="0" xr:uid="{4A2A56BB-52F2-45C6-BAD4-523BCCC8E244}">
      <text>
        <r>
          <rPr>
            <b/>
            <sz val="9"/>
            <color indexed="81"/>
            <rFont val="Tahoma"/>
            <family val="2"/>
          </rPr>
          <t>&lt;[[DEVDeals] - [Associated TC Deal (Seq: 1)] - [TC Property Current Stage (Seq: 1)] - [Buildings (Seq: 29)] - [Buildings - User Defined Field Values (Seq: 1)] Building Info - Years Between PIS &amp; Purchase Date - Both]&gt;</t>
        </r>
      </text>
    </comment>
    <comment ref="AK219" authorId="0" shapeId="0" xr:uid="{9DAD56C7-B76F-44F7-915D-69AB970EB354}">
      <text>
        <r>
          <rPr>
            <b/>
            <sz val="9"/>
            <color indexed="81"/>
            <rFont val="Tahoma"/>
            <family val="2"/>
          </rPr>
          <t>&lt;[[DEVDeals] - [Associated TC Deal (Seq: 1)] - [TC Property Current Stage (Seq: 1)] - [Buildings (Seq: 29)] Federal Minimum Set Aside Id - Both]&gt;</t>
        </r>
      </text>
    </comment>
    <comment ref="U220" authorId="0" shapeId="0" xr:uid="{6298D9E0-B177-41ED-8939-85CA879C33BA}">
      <text>
        <r>
          <rPr>
            <b/>
            <sz val="9"/>
            <color indexed="81"/>
            <rFont val="Tahoma"/>
            <family val="2"/>
          </rPr>
          <t>&lt;[[DEVDeals] - [Associated TC Deal (Seq: 1)] - [TC Property Current Stage (Seq: 1)] - [Buildings (Seq: 30)] Address 1 - Both]&gt;</t>
        </r>
      </text>
    </comment>
    <comment ref="V220" authorId="0" shapeId="0" xr:uid="{1916498E-0E1C-4F59-80E5-CC8D99FE595C}">
      <text>
        <r>
          <rPr>
            <b/>
            <sz val="9"/>
            <color indexed="81"/>
            <rFont val="Tahoma"/>
            <family val="2"/>
          </rPr>
          <t>&lt;[[DEVDeals] - [Associated TC Deal (Seq: 1)] - [TC Property Current Stage (Seq: 1)] - [Buildings (Seq: 30)] City - Both]&gt;</t>
        </r>
      </text>
    </comment>
    <comment ref="W220" authorId="0" shapeId="0" xr:uid="{149D87C2-B027-4AF5-8ED1-F729C3683742}">
      <text>
        <r>
          <rPr>
            <b/>
            <sz val="9"/>
            <color indexed="81"/>
            <rFont val="Tahoma"/>
            <family val="2"/>
          </rPr>
          <t>&lt;[[DEVDeals] - [Associated TC Deal (Seq: 1)] - [TC Property Current Stage (Seq: 1)] - [Buildings (Seq: 30)] State - Both]&gt;</t>
        </r>
      </text>
    </comment>
    <comment ref="X220" authorId="0" shapeId="0" xr:uid="{9DDFED9A-9084-44A9-BF9E-A03D49437CE5}">
      <text>
        <r>
          <rPr>
            <b/>
            <sz val="9"/>
            <color indexed="81"/>
            <rFont val="Tahoma"/>
            <family val="2"/>
          </rPr>
          <t>&lt;[[DEVDeals] - [Associated TC Deal (Seq: 1)] - [TC Property Current Stage (Seq: 1)] - [Buildings (Seq: 30)] Zip Code - Both]&gt;</t>
        </r>
      </text>
    </comment>
    <comment ref="Y220" authorId="0" shapeId="0" xr:uid="{974BB4DF-CD09-451F-8475-43E27E93B1A0}">
      <text>
        <r>
          <rPr>
            <b/>
            <sz val="9"/>
            <color indexed="81"/>
            <rFont val="Tahoma"/>
            <family val="2"/>
          </rPr>
          <t>&lt;[[DEVDeals] - [Associated TC Deal (Seq: 1)] - [TC Property Current Stage (Seq: 1)] - [Buildings (Seq: 30)] BIN - Both]&gt;</t>
        </r>
      </text>
    </comment>
    <comment ref="AA220" authorId="0" shapeId="0" xr:uid="{98E8F561-B656-4394-94BE-9E3F0054C639}">
      <text>
        <r>
          <rPr>
            <b/>
            <sz val="9"/>
            <color indexed="81"/>
            <rFont val="Tahoma"/>
            <family val="2"/>
          </rPr>
          <t>&lt;[[DEVDeals] - [Associated TC Deal (Seq: 1)] - [TC Property Current Stage (Seq: 1)] - [Buildings (Seq: 30)] Num TC Units - Both]&gt;</t>
        </r>
      </text>
    </comment>
    <comment ref="AB220" authorId="0" shapeId="0" xr:uid="{BF02DEB8-B8BB-44CF-9C25-8A037B3FE1FA}">
      <text>
        <r>
          <rPr>
            <b/>
            <sz val="9"/>
            <color indexed="81"/>
            <rFont val="Tahoma"/>
            <family val="2"/>
          </rPr>
          <t>&lt;[[DEVDeals] - [Associated TC Deal (Seq: 1)] - [TC Property Current Stage (Seq: 1)] - [Buildings (Seq: 30)] - [Buildings - User Defined Field Values (Seq: 1)] Building Info - Total Square Footage - Both]&gt;</t>
        </r>
      </text>
    </comment>
    <comment ref="AC220" authorId="0" shapeId="0" xr:uid="{6C8BBAA5-4537-4F2F-A34F-AEAAB110DAA2}">
      <text>
        <r>
          <rPr>
            <b/>
            <sz val="9"/>
            <color indexed="81"/>
            <rFont val="Tahoma"/>
            <family val="2"/>
          </rPr>
          <t>&lt;[[DEVDeals] - [Associated TC Deal (Seq: 1)] - [TC Property Current Stage (Seq: 1)] - [Buildings (Seq: 30)] - [Buildings - User Defined Field Values (Seq: 1)] Building Info - Restricted Unit Square Footage - Both]&gt;</t>
        </r>
      </text>
    </comment>
    <comment ref="AD220" authorId="0" shapeId="0" xr:uid="{1F0EFFD1-4D87-4B9B-A0AA-FC4CA9CB9BFF}">
      <text>
        <r>
          <rPr>
            <b/>
            <sz val="9"/>
            <color indexed="81"/>
            <rFont val="Tahoma"/>
            <family val="2"/>
          </rPr>
          <t>&lt;[[DEVDeals] - [Associated TC Deal (Seq: 1)] - [TC Property Current Stage (Seq: 1)] - [Buildings (Seq: 30)] Applicable Fraction - Both]&gt;</t>
        </r>
      </text>
    </comment>
    <comment ref="AE220" authorId="0" shapeId="0" xr:uid="{6049C257-EA81-4C95-BF5D-900CCBC7C6E1}">
      <text>
        <r>
          <rPr>
            <b/>
            <sz val="9"/>
            <color indexed="81"/>
            <rFont val="Tahoma"/>
            <family val="2"/>
          </rPr>
          <t>&lt;[[DEVDeals] - [Associated TC Deal (Seq: 1)] - [TC Property Current Stage (Seq: 1)] - [Buildings (Seq: 30)] - [Buildings - User Defined Field Values (Seq: 1)] Building Info - Year Built - Both]&gt;</t>
        </r>
      </text>
    </comment>
    <comment ref="AF220" authorId="0" shapeId="0" xr:uid="{5235D013-E92F-4D88-94B3-1CC584925E63}">
      <text>
        <r>
          <rPr>
            <b/>
            <sz val="9"/>
            <color indexed="81"/>
            <rFont val="Tahoma"/>
            <family val="2"/>
          </rPr>
          <t>&lt;[[DEVDeals] - [Associated TC Deal (Seq: 1)] - [TC Property Current Stage (Seq: 1)] - [Buildings (Seq: 30)] - [Buildings - User Defined Field Values (Seq: 1)] Building Info - Building Type - Both]&gt;</t>
        </r>
      </text>
    </comment>
    <comment ref="AG220" authorId="0" shapeId="0" xr:uid="{885DCE32-ECC4-40E2-9C3E-77CD6B868C80}">
      <text>
        <r>
          <rPr>
            <b/>
            <sz val="9"/>
            <color indexed="81"/>
            <rFont val="Tahoma"/>
            <family val="2"/>
          </rPr>
          <t>&lt;[[DEVDeals] - [Associated TC Deal (Seq: 1)] - [TC Property Current Stage (Seq: 1)] - [Buildings (Seq: 30)] Num Mkt Units - Both]&gt;</t>
        </r>
      </text>
    </comment>
    <comment ref="AH220" authorId="0" shapeId="0" xr:uid="{1908029C-EE72-4A2E-AEB7-F6E2C17D8BD4}">
      <text>
        <r>
          <rPr>
            <b/>
            <sz val="9"/>
            <color indexed="81"/>
            <rFont val="Tahoma"/>
            <family val="2"/>
          </rPr>
          <t>&lt;[[DEVDeals] - [Associated TC Deal (Seq: 1)] - [TC Property Current Stage (Seq: 1)] - [Buildings (Seq: 30)] - [Buildings - User Defined Field Values (Seq: 1)] Building Info - Date Last Placed in Service - Both]&gt;</t>
        </r>
      </text>
    </comment>
    <comment ref="AI220" authorId="0" shapeId="0" xr:uid="{2C3FD87E-96E3-46F2-B96D-1984A86B3B48}">
      <text>
        <r>
          <rPr>
            <b/>
            <sz val="9"/>
            <color indexed="81"/>
            <rFont val="Tahoma"/>
            <family val="2"/>
          </rPr>
          <t>&lt;[[DEVDeals] - [Associated TC Deal (Seq: 1)] - [TC Property Current Stage (Seq: 1)] - [Buildings (Seq: 30)] - [Buildings - User Defined Field Values (Seq: 1)] Building Info - Sponsor's Purchase Date - Both]&gt;</t>
        </r>
      </text>
    </comment>
    <comment ref="AJ220" authorId="0" shapeId="0" xr:uid="{C3BED6F8-E9D1-49E4-ACFB-D3637127B943}">
      <text>
        <r>
          <rPr>
            <b/>
            <sz val="9"/>
            <color indexed="81"/>
            <rFont val="Tahoma"/>
            <family val="2"/>
          </rPr>
          <t>&lt;[[DEVDeals] - [Associated TC Deal (Seq: 1)] - [TC Property Current Stage (Seq: 1)] - [Buildings (Seq: 30)] - [Buildings - User Defined Field Values (Seq: 1)] Building Info - Years Between PIS &amp; Purchase Date - Both]&gt;</t>
        </r>
      </text>
    </comment>
    <comment ref="AK220" authorId="0" shapeId="0" xr:uid="{0FD20A21-584D-41E2-9475-86F60427663B}">
      <text>
        <r>
          <rPr>
            <b/>
            <sz val="9"/>
            <color indexed="81"/>
            <rFont val="Tahoma"/>
            <family val="2"/>
          </rPr>
          <t>&lt;[[DEVDeals] - [Associated TC Deal (Seq: 1)] - [TC Property Current Stage (Seq: 1)] - [Buildings (Seq: 30)] Federal Minimum Set Aside Id - Both]&gt;</t>
        </r>
      </text>
    </comment>
    <comment ref="U221" authorId="0" shapeId="0" xr:uid="{814DFADF-5EA4-4FBF-84A5-03832C6DD841}">
      <text>
        <r>
          <rPr>
            <b/>
            <sz val="9"/>
            <color indexed="81"/>
            <rFont val="Tahoma"/>
            <family val="2"/>
          </rPr>
          <t>&lt;[[DEVDeals] - [Associated TC Deal (Seq: 1)] - [TC Property Current Stage (Seq: 1)] - [Buildings (Seq: 31)] Address 1 - Both]&gt;</t>
        </r>
      </text>
    </comment>
    <comment ref="V221" authorId="0" shapeId="0" xr:uid="{06DF0D3D-89A4-45F5-AFF3-C1FE706CF443}">
      <text>
        <r>
          <rPr>
            <b/>
            <sz val="9"/>
            <color indexed="81"/>
            <rFont val="Tahoma"/>
            <family val="2"/>
          </rPr>
          <t>&lt;[[DEVDeals] - [Associated TC Deal (Seq: 1)] - [TC Property Current Stage (Seq: 1)] - [Buildings (Seq: 31)] City - Both]&gt;</t>
        </r>
      </text>
    </comment>
    <comment ref="W221" authorId="0" shapeId="0" xr:uid="{7CD6B3E8-E560-4399-8FC1-98C3598D7D27}">
      <text>
        <r>
          <rPr>
            <b/>
            <sz val="9"/>
            <color indexed="81"/>
            <rFont val="Tahoma"/>
            <family val="2"/>
          </rPr>
          <t>&lt;[[DEVDeals] - [Associated TC Deal (Seq: 1)] - [TC Property Current Stage (Seq: 1)] - [Buildings (Seq: 31)] State - Both]&gt;</t>
        </r>
      </text>
    </comment>
    <comment ref="X221" authorId="0" shapeId="0" xr:uid="{5C51FD59-AFED-4618-9CB9-F10B3B544482}">
      <text>
        <r>
          <rPr>
            <b/>
            <sz val="9"/>
            <color indexed="81"/>
            <rFont val="Tahoma"/>
            <family val="2"/>
          </rPr>
          <t>&lt;[[DEVDeals] - [Associated TC Deal (Seq: 1)] - [TC Property Current Stage (Seq: 1)] - [Buildings (Seq: 31)] Zip Code - Both]&gt;</t>
        </r>
      </text>
    </comment>
    <comment ref="Y221" authorId="0" shapeId="0" xr:uid="{9940FC14-F6CA-496E-83B2-5CAB94853E16}">
      <text>
        <r>
          <rPr>
            <b/>
            <sz val="9"/>
            <color indexed="81"/>
            <rFont val="Tahoma"/>
            <family val="2"/>
          </rPr>
          <t>&lt;[[DEVDeals] - [Associated TC Deal (Seq: 1)] - [TC Property Current Stage (Seq: 1)] - [Buildings (Seq: 31)] BIN - Both]&gt;</t>
        </r>
      </text>
    </comment>
    <comment ref="AA221" authorId="0" shapeId="0" xr:uid="{BFF5DE53-219D-49D6-9AB9-9FB65E96AD4A}">
      <text>
        <r>
          <rPr>
            <b/>
            <sz val="9"/>
            <color indexed="81"/>
            <rFont val="Tahoma"/>
            <family val="2"/>
          </rPr>
          <t>&lt;[[DEVDeals] - [Associated TC Deal (Seq: 1)] - [TC Property Current Stage (Seq: 1)] - [Buildings (Seq: 31)] Num TC Units - Both]&gt;</t>
        </r>
      </text>
    </comment>
    <comment ref="AB221" authorId="0" shapeId="0" xr:uid="{DCCF0145-C7FF-4CDE-A2A3-F0D26056070F}">
      <text>
        <r>
          <rPr>
            <b/>
            <sz val="9"/>
            <color indexed="81"/>
            <rFont val="Tahoma"/>
            <family val="2"/>
          </rPr>
          <t>&lt;[[DEVDeals] - [Associated TC Deal (Seq: 1)] - [TC Property Current Stage (Seq: 1)] - [Buildings (Seq: 31)] - [Buildings - User Defined Field Values (Seq: 1)] Building Info - Total Square Footage - Both]&gt;</t>
        </r>
      </text>
    </comment>
    <comment ref="AC221" authorId="0" shapeId="0" xr:uid="{C1FFB3D8-256B-4F82-AF06-2CD72B2DFFA5}">
      <text>
        <r>
          <rPr>
            <b/>
            <sz val="9"/>
            <color indexed="81"/>
            <rFont val="Tahoma"/>
            <family val="2"/>
          </rPr>
          <t>&lt;[[DEVDeals] - [Associated TC Deal (Seq: 1)] - [TC Property Current Stage (Seq: 1)] - [Buildings (Seq: 31)] - [Buildings - User Defined Field Values (Seq: 1)] Building Info - Restricted Unit Square Footage - Both]&gt;</t>
        </r>
      </text>
    </comment>
    <comment ref="AD221" authorId="0" shapeId="0" xr:uid="{7D413A12-C8C3-43D1-A79E-FAAE06AD6A89}">
      <text>
        <r>
          <rPr>
            <b/>
            <sz val="9"/>
            <color indexed="81"/>
            <rFont val="Tahoma"/>
            <family val="2"/>
          </rPr>
          <t>&lt;[[DEVDeals] - [Associated TC Deal (Seq: 1)] - [TC Property Current Stage (Seq: 1)] - [Buildings (Seq: 31)] Applicable Fraction - Both]&gt;</t>
        </r>
      </text>
    </comment>
    <comment ref="AE221" authorId="0" shapeId="0" xr:uid="{94776050-8E83-42B6-A50C-D64651A37932}">
      <text>
        <r>
          <rPr>
            <b/>
            <sz val="9"/>
            <color indexed="81"/>
            <rFont val="Tahoma"/>
            <family val="2"/>
          </rPr>
          <t>&lt;[[DEVDeals] - [Associated TC Deal (Seq: 1)] - [TC Property Current Stage (Seq: 1)] - [Buildings (Seq: 31)] - [Buildings - User Defined Field Values (Seq: 1)] Building Info - Year Built - Both]&gt;</t>
        </r>
      </text>
    </comment>
    <comment ref="AF221" authorId="0" shapeId="0" xr:uid="{914F5D08-208C-4068-8533-8AA0103B5EC9}">
      <text>
        <r>
          <rPr>
            <b/>
            <sz val="9"/>
            <color indexed="81"/>
            <rFont val="Tahoma"/>
            <family val="2"/>
          </rPr>
          <t>&lt;[[DEVDeals] - [Associated TC Deal (Seq: 1)] - [TC Property Current Stage (Seq: 1)] - [Buildings (Seq: 31)] - [Buildings - User Defined Field Values (Seq: 1)] Building Info - Building Type - Both]&gt;</t>
        </r>
      </text>
    </comment>
    <comment ref="AG221" authorId="0" shapeId="0" xr:uid="{0F09D187-5852-4D57-BF22-AED0C8ED579E}">
      <text>
        <r>
          <rPr>
            <b/>
            <sz val="9"/>
            <color indexed="81"/>
            <rFont val="Tahoma"/>
            <family val="2"/>
          </rPr>
          <t>&lt;[[DEVDeals] - [Associated TC Deal (Seq: 1)] - [TC Property Current Stage (Seq: 1)] - [Buildings (Seq: 31)] Num Mkt Units - Both]&gt;</t>
        </r>
      </text>
    </comment>
    <comment ref="AH221" authorId="0" shapeId="0" xr:uid="{F046187B-E920-4C6D-B7C6-4163DC3BA1B0}">
      <text>
        <r>
          <rPr>
            <b/>
            <sz val="9"/>
            <color indexed="81"/>
            <rFont val="Tahoma"/>
            <family val="2"/>
          </rPr>
          <t>&lt;[[DEVDeals] - [Associated TC Deal (Seq: 1)] - [TC Property Current Stage (Seq: 1)] - [Buildings (Seq: 31)] - [Buildings - User Defined Field Values (Seq: 1)] Building Info - Date Last Placed in Service - Both]&gt;</t>
        </r>
      </text>
    </comment>
    <comment ref="AI221" authorId="0" shapeId="0" xr:uid="{5839082D-0600-4CEA-A119-CFD032F38F84}">
      <text>
        <r>
          <rPr>
            <b/>
            <sz val="9"/>
            <color indexed="81"/>
            <rFont val="Tahoma"/>
            <family val="2"/>
          </rPr>
          <t>&lt;[[DEVDeals] - [Associated TC Deal (Seq: 1)] - [TC Property Current Stage (Seq: 1)] - [Buildings (Seq: 31)] - [Buildings - User Defined Field Values (Seq: 1)] Building Info - Sponsor's Purchase Date - Both]&gt;</t>
        </r>
      </text>
    </comment>
    <comment ref="AJ221" authorId="0" shapeId="0" xr:uid="{A7D8B5EA-8615-4CD0-8321-1883A9FF129E}">
      <text>
        <r>
          <rPr>
            <b/>
            <sz val="9"/>
            <color indexed="81"/>
            <rFont val="Tahoma"/>
            <family val="2"/>
          </rPr>
          <t>&lt;[[DEVDeals] - [Associated TC Deal (Seq: 1)] - [TC Property Current Stage (Seq: 1)] - [Buildings (Seq: 31)] - [Buildings - User Defined Field Values (Seq: 1)] Building Info - Years Between PIS &amp; Purchase Date - Both]&gt;</t>
        </r>
      </text>
    </comment>
    <comment ref="AK221" authorId="0" shapeId="0" xr:uid="{CB171104-650C-4547-9700-65B38563E1E4}">
      <text>
        <r>
          <rPr>
            <b/>
            <sz val="9"/>
            <color indexed="81"/>
            <rFont val="Tahoma"/>
            <family val="2"/>
          </rPr>
          <t>&lt;[[DEVDeals] - [Associated TC Deal (Seq: 1)] - [TC Property Current Stage (Seq: 1)] - [Buildings (Seq: 31)] Federal Minimum Set Aside Id - Both]&gt;</t>
        </r>
      </text>
    </comment>
    <comment ref="U222" authorId="0" shapeId="0" xr:uid="{5AC8DD12-0C43-47F1-9C6A-C346F53B9665}">
      <text>
        <r>
          <rPr>
            <b/>
            <sz val="9"/>
            <color indexed="81"/>
            <rFont val="Tahoma"/>
            <family val="2"/>
          </rPr>
          <t>&lt;[[DEVDeals] - [Associated TC Deal (Seq: 1)] - [TC Property Current Stage (Seq: 1)] - [Buildings (Seq: 32)] Address 1 - Both]&gt;</t>
        </r>
      </text>
    </comment>
    <comment ref="V222" authorId="0" shapeId="0" xr:uid="{1FEC7B80-5354-479B-A422-39CDB1AA1A03}">
      <text>
        <r>
          <rPr>
            <b/>
            <sz val="9"/>
            <color indexed="81"/>
            <rFont val="Tahoma"/>
            <family val="2"/>
          </rPr>
          <t>&lt;[[DEVDeals] - [Associated TC Deal (Seq: 1)] - [TC Property Current Stage (Seq: 1)] - [Buildings (Seq: 32)] City - Both]&gt;</t>
        </r>
      </text>
    </comment>
    <comment ref="W222" authorId="0" shapeId="0" xr:uid="{258C30D8-F868-462D-8E9E-2066CE293B6C}">
      <text>
        <r>
          <rPr>
            <b/>
            <sz val="9"/>
            <color indexed="81"/>
            <rFont val="Tahoma"/>
            <family val="2"/>
          </rPr>
          <t>&lt;[[DEVDeals] - [Associated TC Deal (Seq: 1)] - [TC Property Current Stage (Seq: 1)] - [Buildings (Seq: 32)] State - Both]&gt;</t>
        </r>
      </text>
    </comment>
    <comment ref="X222" authorId="0" shapeId="0" xr:uid="{050B9AE3-F6B3-4F3C-BAD2-8D9A9B463535}">
      <text>
        <r>
          <rPr>
            <b/>
            <sz val="9"/>
            <color indexed="81"/>
            <rFont val="Tahoma"/>
            <family val="2"/>
          </rPr>
          <t>&lt;[[DEVDeals] - [Associated TC Deal (Seq: 1)] - [TC Property Current Stage (Seq: 1)] - [Buildings (Seq: 32)] Zip Code - Both]&gt;</t>
        </r>
      </text>
    </comment>
    <comment ref="Y222" authorId="0" shapeId="0" xr:uid="{38961DAE-A06F-48E1-9C4E-1CF9C37C3FFF}">
      <text>
        <r>
          <rPr>
            <b/>
            <sz val="9"/>
            <color indexed="81"/>
            <rFont val="Tahoma"/>
            <family val="2"/>
          </rPr>
          <t>&lt;[[DEVDeals] - [Associated TC Deal (Seq: 1)] - [TC Property Current Stage (Seq: 1)] - [Buildings (Seq: 32)] BIN - Both]&gt;</t>
        </r>
      </text>
    </comment>
    <comment ref="AA222" authorId="0" shapeId="0" xr:uid="{86C22008-4483-4C1C-B585-D7B955282D36}">
      <text>
        <r>
          <rPr>
            <b/>
            <sz val="9"/>
            <color indexed="81"/>
            <rFont val="Tahoma"/>
            <family val="2"/>
          </rPr>
          <t>&lt;[[DEVDeals] - [Associated TC Deal (Seq: 1)] - [TC Property Current Stage (Seq: 1)] - [Buildings (Seq: 32)] Num TC Units - Both]&gt;</t>
        </r>
      </text>
    </comment>
    <comment ref="AB222" authorId="0" shapeId="0" xr:uid="{15E72243-38E3-457D-B13B-D376105EE4D5}">
      <text>
        <r>
          <rPr>
            <b/>
            <sz val="9"/>
            <color indexed="81"/>
            <rFont val="Tahoma"/>
            <family val="2"/>
          </rPr>
          <t>&lt;[[DEVDeals] - [Associated TC Deal (Seq: 1)] - [TC Property Current Stage (Seq: 1)] - [Buildings (Seq: 32)] - [Buildings - User Defined Field Values (Seq: 1)] Building Info - Total Square Footage - Both]&gt;</t>
        </r>
      </text>
    </comment>
    <comment ref="AC222" authorId="0" shapeId="0" xr:uid="{FA58D826-31C8-46D3-88BE-6B92D7334B76}">
      <text>
        <r>
          <rPr>
            <b/>
            <sz val="9"/>
            <color indexed="81"/>
            <rFont val="Tahoma"/>
            <family val="2"/>
          </rPr>
          <t>&lt;[[DEVDeals] - [Associated TC Deal (Seq: 1)] - [TC Property Current Stage (Seq: 1)] - [Buildings (Seq: 32)] - [Buildings - User Defined Field Values (Seq: 1)] Building Info - Restricted Unit Square Footage - Both]&gt;</t>
        </r>
      </text>
    </comment>
    <comment ref="AD222" authorId="0" shapeId="0" xr:uid="{42CC3AC3-EB41-4F1C-A080-1490356E428A}">
      <text>
        <r>
          <rPr>
            <b/>
            <sz val="9"/>
            <color indexed="81"/>
            <rFont val="Tahoma"/>
            <family val="2"/>
          </rPr>
          <t>&lt;[[DEVDeals] - [Associated TC Deal (Seq: 1)] - [TC Property Current Stage (Seq: 1)] - [Buildings (Seq: 32)] Applicable Fraction - Both]&gt;</t>
        </r>
      </text>
    </comment>
    <comment ref="AE222" authorId="0" shapeId="0" xr:uid="{71EAC6DC-86D7-4B21-A7E5-CBA48B3433B7}">
      <text>
        <r>
          <rPr>
            <b/>
            <sz val="9"/>
            <color indexed="81"/>
            <rFont val="Tahoma"/>
            <family val="2"/>
          </rPr>
          <t>&lt;[[DEVDeals] - [Associated TC Deal (Seq: 1)] - [TC Property Current Stage (Seq: 1)] - [Buildings (Seq: 32)] - [Buildings - User Defined Field Values (Seq: 1)] Building Info - Year Built - Both]&gt;</t>
        </r>
      </text>
    </comment>
    <comment ref="AF222" authorId="0" shapeId="0" xr:uid="{7EFE83D2-6B97-441E-A078-30BBB84D70C6}">
      <text>
        <r>
          <rPr>
            <b/>
            <sz val="9"/>
            <color indexed="81"/>
            <rFont val="Tahoma"/>
            <family val="2"/>
          </rPr>
          <t>&lt;[[DEVDeals] - [Associated TC Deal (Seq: 1)] - [TC Property Current Stage (Seq: 1)] - [Buildings (Seq: 32)] - [Buildings - User Defined Field Values (Seq: 1)] Building Info - Building Type - Both]&gt;</t>
        </r>
      </text>
    </comment>
    <comment ref="AG222" authorId="0" shapeId="0" xr:uid="{BE90520B-7C5A-4BA8-BD9F-8823C769CE55}">
      <text>
        <r>
          <rPr>
            <b/>
            <sz val="9"/>
            <color indexed="81"/>
            <rFont val="Tahoma"/>
            <family val="2"/>
          </rPr>
          <t>&lt;[[DEVDeals] - [Associated TC Deal (Seq: 1)] - [TC Property Current Stage (Seq: 1)] - [Buildings (Seq: 32)] Num Mkt Units - Both]&gt;</t>
        </r>
      </text>
    </comment>
    <comment ref="AH222" authorId="0" shapeId="0" xr:uid="{9521E89E-AA88-46C9-8ABD-3B6AA17FFBA2}">
      <text>
        <r>
          <rPr>
            <b/>
            <sz val="9"/>
            <color indexed="81"/>
            <rFont val="Tahoma"/>
            <family val="2"/>
          </rPr>
          <t>&lt;[[DEVDeals] - [Associated TC Deal (Seq: 1)] - [TC Property Current Stage (Seq: 1)] - [Buildings (Seq: 32)] - [Buildings - User Defined Field Values (Seq: 1)] Building Info - Date Last Placed in Service - Both]&gt;</t>
        </r>
      </text>
    </comment>
    <comment ref="AI222" authorId="0" shapeId="0" xr:uid="{99BC816F-50A8-4C67-9529-516E30A446AE}">
      <text>
        <r>
          <rPr>
            <b/>
            <sz val="9"/>
            <color indexed="81"/>
            <rFont val="Tahoma"/>
            <family val="2"/>
          </rPr>
          <t>&lt;[[DEVDeals] - [Associated TC Deal (Seq: 1)] - [TC Property Current Stage (Seq: 1)] - [Buildings (Seq: 32)] - [Buildings - User Defined Field Values (Seq: 1)] Building Info - Sponsor's Purchase Date - Both]&gt;</t>
        </r>
      </text>
    </comment>
    <comment ref="AJ222" authorId="0" shapeId="0" xr:uid="{984FB797-A233-478D-AA58-6ED8A6C30EC8}">
      <text>
        <r>
          <rPr>
            <b/>
            <sz val="9"/>
            <color indexed="81"/>
            <rFont val="Tahoma"/>
            <family val="2"/>
          </rPr>
          <t>&lt;[[DEVDeals] - [Associated TC Deal (Seq: 1)] - [TC Property Current Stage (Seq: 1)] - [Buildings (Seq: 32)] - [Buildings - User Defined Field Values (Seq: 1)] Building Info - Years Between PIS &amp; Purchase Date - Both]&gt;</t>
        </r>
      </text>
    </comment>
    <comment ref="AK222" authorId="0" shapeId="0" xr:uid="{8C23D9AB-4EDB-4707-B318-8F48823ABAE8}">
      <text>
        <r>
          <rPr>
            <b/>
            <sz val="9"/>
            <color indexed="81"/>
            <rFont val="Tahoma"/>
            <family val="2"/>
          </rPr>
          <t>&lt;[[DEVDeals] - [Associated TC Deal (Seq: 1)] - [TC Property Current Stage (Seq: 1)] - [Buildings (Seq: 32)] Federal Minimum Set Aside Id - Both]&gt;</t>
        </r>
      </text>
    </comment>
    <comment ref="U223" authorId="0" shapeId="0" xr:uid="{97F8571F-6471-4F31-96B5-817D6DB38794}">
      <text>
        <r>
          <rPr>
            <b/>
            <sz val="9"/>
            <color indexed="81"/>
            <rFont val="Tahoma"/>
            <family val="2"/>
          </rPr>
          <t>&lt;[[DEVDeals] - [Associated TC Deal (Seq: 1)] - [TC Property Current Stage (Seq: 1)] - [Buildings (Seq: 33)] Address 1 - Both]&gt;</t>
        </r>
      </text>
    </comment>
    <comment ref="V223" authorId="0" shapeId="0" xr:uid="{4C79E298-F4E1-416C-AA56-17C13FDACFC7}">
      <text>
        <r>
          <rPr>
            <b/>
            <sz val="9"/>
            <color indexed="81"/>
            <rFont val="Tahoma"/>
            <family val="2"/>
          </rPr>
          <t>&lt;[[DEVDeals] - [Associated TC Deal (Seq: 1)] - [TC Property Current Stage (Seq: 1)] - [Buildings (Seq: 33)] City - Both]&gt;</t>
        </r>
      </text>
    </comment>
    <comment ref="W223" authorId="0" shapeId="0" xr:uid="{BCBDEE12-454A-4630-8D6C-DF38E63BCAF2}">
      <text>
        <r>
          <rPr>
            <b/>
            <sz val="9"/>
            <color indexed="81"/>
            <rFont val="Tahoma"/>
            <family val="2"/>
          </rPr>
          <t>&lt;[[DEVDeals] - [Associated TC Deal (Seq: 1)] - [TC Property Current Stage (Seq: 1)] - [Buildings (Seq: 33)] State - Both]&gt;</t>
        </r>
      </text>
    </comment>
    <comment ref="X223" authorId="0" shapeId="0" xr:uid="{4743F85D-42FA-4936-B398-8A3EB3996EC2}">
      <text>
        <r>
          <rPr>
            <b/>
            <sz val="9"/>
            <color indexed="81"/>
            <rFont val="Tahoma"/>
            <family val="2"/>
          </rPr>
          <t>&lt;[[DEVDeals] - [Associated TC Deal (Seq: 1)] - [TC Property Current Stage (Seq: 1)] - [Buildings (Seq: 33)] Zip Code - Both]&gt;</t>
        </r>
      </text>
    </comment>
    <comment ref="Y223" authorId="0" shapeId="0" xr:uid="{766E73D3-90F3-4675-9742-1F7C8975D977}">
      <text>
        <r>
          <rPr>
            <b/>
            <sz val="9"/>
            <color indexed="81"/>
            <rFont val="Tahoma"/>
            <family val="2"/>
          </rPr>
          <t>&lt;[[DEVDeals] - [Associated TC Deal (Seq: 1)] - [TC Property Current Stage (Seq: 1)] - [Buildings (Seq: 33)] BIN - Both]&gt;</t>
        </r>
      </text>
    </comment>
    <comment ref="AA223" authorId="0" shapeId="0" xr:uid="{E75F841E-2890-41C9-AA07-6AA271EF8097}">
      <text>
        <r>
          <rPr>
            <b/>
            <sz val="9"/>
            <color indexed="81"/>
            <rFont val="Tahoma"/>
            <family val="2"/>
          </rPr>
          <t>&lt;[[DEVDeals] - [Associated TC Deal (Seq: 1)] - [TC Property Current Stage (Seq: 1)] - [Buildings (Seq: 33)] Num TC Units - Both]&gt;</t>
        </r>
      </text>
    </comment>
    <comment ref="AB223" authorId="0" shapeId="0" xr:uid="{19677978-3199-4EDC-A15A-3C231294199B}">
      <text>
        <r>
          <rPr>
            <b/>
            <sz val="9"/>
            <color indexed="81"/>
            <rFont val="Tahoma"/>
            <family val="2"/>
          </rPr>
          <t>&lt;[[DEVDeals] - [Associated TC Deal (Seq: 1)] - [TC Property Current Stage (Seq: 1)] - [Buildings (Seq: 33)] - [Buildings - User Defined Field Values (Seq: 1)] Building Info - Total Square Footage - Both]&gt;</t>
        </r>
      </text>
    </comment>
    <comment ref="AC223" authorId="0" shapeId="0" xr:uid="{447BFD11-E687-4D6E-AF2F-B0FC56FB41ED}">
      <text>
        <r>
          <rPr>
            <b/>
            <sz val="9"/>
            <color indexed="81"/>
            <rFont val="Tahoma"/>
            <family val="2"/>
          </rPr>
          <t>&lt;[[DEVDeals] - [Associated TC Deal (Seq: 1)] - [TC Property Current Stage (Seq: 1)] - [Buildings (Seq: 33)] - [Buildings - User Defined Field Values (Seq: 1)] Building Info - Restricted Unit Square Footage - Both]&gt;</t>
        </r>
      </text>
    </comment>
    <comment ref="AD223" authorId="0" shapeId="0" xr:uid="{F258F4D2-682C-4088-A02B-5591131E5A00}">
      <text>
        <r>
          <rPr>
            <b/>
            <sz val="9"/>
            <color indexed="81"/>
            <rFont val="Tahoma"/>
            <family val="2"/>
          </rPr>
          <t>&lt;[[DEVDeals] - [Associated TC Deal (Seq: 1)] - [TC Property Current Stage (Seq: 1)] - [Buildings (Seq: 33)] Applicable Fraction - Both]&gt;</t>
        </r>
      </text>
    </comment>
    <comment ref="AE223" authorId="0" shapeId="0" xr:uid="{A0D5EF8C-542F-4E2A-BE5F-D3A6ADAB7720}">
      <text>
        <r>
          <rPr>
            <b/>
            <sz val="9"/>
            <color indexed="81"/>
            <rFont val="Tahoma"/>
            <family val="2"/>
          </rPr>
          <t>&lt;[[DEVDeals] - [Associated TC Deal (Seq: 1)] - [TC Property Current Stage (Seq: 1)] - [Buildings (Seq: 33)] - [Buildings - User Defined Field Values (Seq: 1)] Building Info - Year Built - Both]&gt;</t>
        </r>
      </text>
    </comment>
    <comment ref="AF223" authorId="0" shapeId="0" xr:uid="{CEB544E0-CAD2-440F-9947-A33ADC46F242}">
      <text>
        <r>
          <rPr>
            <b/>
            <sz val="9"/>
            <color indexed="81"/>
            <rFont val="Tahoma"/>
            <family val="2"/>
          </rPr>
          <t>&lt;[[DEVDeals] - [Associated TC Deal (Seq: 1)] - [TC Property Current Stage (Seq: 1)] - [Buildings (Seq: 33)] - [Buildings - User Defined Field Values (Seq: 1)] Building Info - Building Type - Both]&gt;</t>
        </r>
      </text>
    </comment>
    <comment ref="AG223" authorId="0" shapeId="0" xr:uid="{305CAC13-3AFC-44A2-B1FE-6015A0B9AC60}">
      <text>
        <r>
          <rPr>
            <b/>
            <sz val="9"/>
            <color indexed="81"/>
            <rFont val="Tahoma"/>
            <family val="2"/>
          </rPr>
          <t>&lt;[[DEVDeals] - [Associated TC Deal (Seq: 1)] - [TC Property Current Stage (Seq: 1)] - [Buildings (Seq: 33)] Num Mkt Units - Both]&gt;</t>
        </r>
      </text>
    </comment>
    <comment ref="AH223" authorId="0" shapeId="0" xr:uid="{957F8844-8E51-4419-88E9-D374D8DE4E91}">
      <text>
        <r>
          <rPr>
            <b/>
            <sz val="9"/>
            <color indexed="81"/>
            <rFont val="Tahoma"/>
            <family val="2"/>
          </rPr>
          <t>&lt;[[DEVDeals] - [Associated TC Deal (Seq: 1)] - [TC Property Current Stage (Seq: 1)] - [Buildings (Seq: 33)] - [Buildings - User Defined Field Values (Seq: 1)] Building Info - Date Last Placed in Service - Both]&gt;</t>
        </r>
      </text>
    </comment>
    <comment ref="AI223" authorId="0" shapeId="0" xr:uid="{DCE5910A-9281-48E8-936C-132A62457551}">
      <text>
        <r>
          <rPr>
            <b/>
            <sz val="9"/>
            <color indexed="81"/>
            <rFont val="Tahoma"/>
            <family val="2"/>
          </rPr>
          <t>&lt;[[DEVDeals] - [Associated TC Deal (Seq: 1)] - [TC Property Current Stage (Seq: 1)] - [Buildings (Seq: 33)] - [Buildings - User Defined Field Values (Seq: 1)] Building Info - Sponsor's Purchase Date - Both]&gt;</t>
        </r>
      </text>
    </comment>
    <comment ref="AJ223" authorId="0" shapeId="0" xr:uid="{81C053D5-F631-44D6-B870-00056C5D0DC7}">
      <text>
        <r>
          <rPr>
            <b/>
            <sz val="9"/>
            <color indexed="81"/>
            <rFont val="Tahoma"/>
            <family val="2"/>
          </rPr>
          <t>&lt;[[DEVDeals] - [Associated TC Deal (Seq: 1)] - [TC Property Current Stage (Seq: 1)] - [Buildings (Seq: 33)] - [Buildings - User Defined Field Values (Seq: 1)] Building Info - Years Between PIS &amp; Purchase Date - Both]&gt;</t>
        </r>
      </text>
    </comment>
    <comment ref="AK223" authorId="0" shapeId="0" xr:uid="{F40E0379-8C21-4202-A994-8C4329DC63B9}">
      <text>
        <r>
          <rPr>
            <b/>
            <sz val="9"/>
            <color indexed="81"/>
            <rFont val="Tahoma"/>
            <family val="2"/>
          </rPr>
          <t>&lt;[[DEVDeals] - [Associated TC Deal (Seq: 1)] - [TC Property Current Stage (Seq: 1)] - [Buildings (Seq: 33)] Federal Minimum Set Aside Id - Both]&gt;</t>
        </r>
      </text>
    </comment>
    <comment ref="U224" authorId="0" shapeId="0" xr:uid="{FF257A47-FB00-4A2D-A9AA-6FB60460E29E}">
      <text>
        <r>
          <rPr>
            <b/>
            <sz val="9"/>
            <color indexed="81"/>
            <rFont val="Tahoma"/>
            <family val="2"/>
          </rPr>
          <t>&lt;[[DEVDeals] - [Associated TC Deal (Seq: 1)] - [TC Property Current Stage (Seq: 1)] - [Buildings (Seq: 34)] Address 1 - Both]&gt;</t>
        </r>
      </text>
    </comment>
    <comment ref="V224" authorId="0" shapeId="0" xr:uid="{1C5F506B-0194-4369-8EDE-F5F954E6C872}">
      <text>
        <r>
          <rPr>
            <b/>
            <sz val="9"/>
            <color indexed="81"/>
            <rFont val="Tahoma"/>
            <family val="2"/>
          </rPr>
          <t>&lt;[[DEVDeals] - [Associated TC Deal (Seq: 1)] - [TC Property Current Stage (Seq: 1)] - [Buildings (Seq: 34)] City - Both]&gt;</t>
        </r>
      </text>
    </comment>
    <comment ref="W224" authorId="0" shapeId="0" xr:uid="{30F8DEF8-3812-46B7-B6B4-F690C8AE4A2F}">
      <text>
        <r>
          <rPr>
            <b/>
            <sz val="9"/>
            <color indexed="81"/>
            <rFont val="Tahoma"/>
            <family val="2"/>
          </rPr>
          <t>&lt;[[DEVDeals] - [Associated TC Deal (Seq: 1)] - [TC Property Current Stage (Seq: 1)] - [Buildings (Seq: 34)] State - Both]&gt;</t>
        </r>
      </text>
    </comment>
    <comment ref="X224" authorId="0" shapeId="0" xr:uid="{2057223B-41F6-478E-9DA6-384AAF5A8372}">
      <text>
        <r>
          <rPr>
            <b/>
            <sz val="9"/>
            <color indexed="81"/>
            <rFont val="Tahoma"/>
            <family val="2"/>
          </rPr>
          <t>&lt;[[DEVDeals] - [Associated TC Deal (Seq: 1)] - [TC Property Current Stage (Seq: 1)] - [Buildings (Seq: 34)] Zip Code - Both]&gt;</t>
        </r>
      </text>
    </comment>
    <comment ref="Y224" authorId="0" shapeId="0" xr:uid="{F2C171FE-C366-4048-967F-4E8EEF253E67}">
      <text>
        <r>
          <rPr>
            <b/>
            <sz val="9"/>
            <color indexed="81"/>
            <rFont val="Tahoma"/>
            <family val="2"/>
          </rPr>
          <t>&lt;[[DEVDeals] - [Associated TC Deal (Seq: 1)] - [TC Property Current Stage (Seq: 1)] - [Buildings (Seq: 34)] BIN - Both]&gt;</t>
        </r>
      </text>
    </comment>
    <comment ref="AA224" authorId="0" shapeId="0" xr:uid="{EE98A7F6-C7E5-49E3-9323-8F6D5B83EF09}">
      <text>
        <r>
          <rPr>
            <b/>
            <sz val="9"/>
            <color indexed="81"/>
            <rFont val="Tahoma"/>
            <family val="2"/>
          </rPr>
          <t>&lt;[[DEVDeals] - [Associated TC Deal (Seq: 1)] - [TC Property Current Stage (Seq: 1)] - [Buildings (Seq: 34)] Num TC Units - Both]&gt;</t>
        </r>
      </text>
    </comment>
    <comment ref="AB224" authorId="0" shapeId="0" xr:uid="{BBC41680-E33B-4A62-8FDE-BFE8F089A8C0}">
      <text>
        <r>
          <rPr>
            <b/>
            <sz val="9"/>
            <color indexed="81"/>
            <rFont val="Tahoma"/>
            <family val="2"/>
          </rPr>
          <t>&lt;[[DEVDeals] - [Associated TC Deal (Seq: 1)] - [TC Property Current Stage (Seq: 1)] - [Buildings (Seq: 34)] - [Buildings - User Defined Field Values (Seq: 1)] Building Info - Total Square Footage - Both]&gt;</t>
        </r>
      </text>
    </comment>
    <comment ref="AC224" authorId="0" shapeId="0" xr:uid="{FEFD9599-E793-4D26-A87E-9AAE1EB48093}">
      <text>
        <r>
          <rPr>
            <b/>
            <sz val="9"/>
            <color indexed="81"/>
            <rFont val="Tahoma"/>
            <family val="2"/>
          </rPr>
          <t>&lt;[[DEVDeals] - [Associated TC Deal (Seq: 1)] - [TC Property Current Stage (Seq: 1)] - [Buildings (Seq: 34)] - [Buildings - User Defined Field Values (Seq: 1)] Building Info - Restricted Unit Square Footage - Both]&gt;</t>
        </r>
      </text>
    </comment>
    <comment ref="AD224" authorId="0" shapeId="0" xr:uid="{DDE0D9E1-3C83-4314-8327-0C8C58C6CD00}">
      <text>
        <r>
          <rPr>
            <b/>
            <sz val="9"/>
            <color indexed="81"/>
            <rFont val="Tahoma"/>
            <family val="2"/>
          </rPr>
          <t>&lt;[[DEVDeals] - [Associated TC Deal (Seq: 1)] - [TC Property Current Stage (Seq: 1)] - [Buildings (Seq: 34)] Applicable Fraction - Both]&gt;</t>
        </r>
      </text>
    </comment>
    <comment ref="AE224" authorId="0" shapeId="0" xr:uid="{E5419425-02CC-4B6D-BF60-7DE7C35E015A}">
      <text>
        <r>
          <rPr>
            <b/>
            <sz val="9"/>
            <color indexed="81"/>
            <rFont val="Tahoma"/>
            <family val="2"/>
          </rPr>
          <t>&lt;[[DEVDeals] - [Associated TC Deal (Seq: 1)] - [TC Property Current Stage (Seq: 1)] - [Buildings (Seq: 34)] - [Buildings - User Defined Field Values (Seq: 1)] Building Info - Year Built - Both]&gt;</t>
        </r>
      </text>
    </comment>
    <comment ref="AF224" authorId="0" shapeId="0" xr:uid="{60B670D0-B710-4E5F-A062-C0EB851725E4}">
      <text>
        <r>
          <rPr>
            <b/>
            <sz val="9"/>
            <color indexed="81"/>
            <rFont val="Tahoma"/>
            <family val="2"/>
          </rPr>
          <t>&lt;[[DEVDeals] - [Associated TC Deal (Seq: 1)] - [TC Property Current Stage (Seq: 1)] - [Buildings (Seq: 34)] - [Buildings - User Defined Field Values (Seq: 1)] Building Info - Building Type - Both]&gt;</t>
        </r>
      </text>
    </comment>
    <comment ref="AG224" authorId="0" shapeId="0" xr:uid="{A89A3E60-04F2-4029-8DF9-E4D1986FD128}">
      <text>
        <r>
          <rPr>
            <b/>
            <sz val="9"/>
            <color indexed="81"/>
            <rFont val="Tahoma"/>
            <family val="2"/>
          </rPr>
          <t>&lt;[[DEVDeals] - [Associated TC Deal (Seq: 1)] - [TC Property Current Stage (Seq: 1)] - [Buildings (Seq: 34)] Num Mkt Units - Both]&gt;</t>
        </r>
      </text>
    </comment>
    <comment ref="AH224" authorId="0" shapeId="0" xr:uid="{B544B68A-310D-4621-B87C-32AB40BC3EFB}">
      <text>
        <r>
          <rPr>
            <b/>
            <sz val="9"/>
            <color indexed="81"/>
            <rFont val="Tahoma"/>
            <family val="2"/>
          </rPr>
          <t>&lt;[[DEVDeals] - [Associated TC Deal (Seq: 1)] - [TC Property Current Stage (Seq: 1)] - [Buildings (Seq: 34)] - [Buildings - User Defined Field Values (Seq: 1)] Building Info - Date Last Placed in Service - Both]&gt;</t>
        </r>
      </text>
    </comment>
    <comment ref="AI224" authorId="0" shapeId="0" xr:uid="{89C699C3-38DC-4489-8FA8-7176513A5473}">
      <text>
        <r>
          <rPr>
            <b/>
            <sz val="9"/>
            <color indexed="81"/>
            <rFont val="Tahoma"/>
            <family val="2"/>
          </rPr>
          <t>&lt;[[DEVDeals] - [Associated TC Deal (Seq: 1)] - [TC Property Current Stage (Seq: 1)] - [Buildings (Seq: 34)] - [Buildings - User Defined Field Values (Seq: 1)] Building Info - Sponsor's Purchase Date - Both]&gt;</t>
        </r>
      </text>
    </comment>
    <comment ref="AJ224" authorId="0" shapeId="0" xr:uid="{C59A6D89-88B0-4280-9E0C-B39454583197}">
      <text>
        <r>
          <rPr>
            <b/>
            <sz val="9"/>
            <color indexed="81"/>
            <rFont val="Tahoma"/>
            <family val="2"/>
          </rPr>
          <t>&lt;[[DEVDeals] - [Associated TC Deal (Seq: 1)] - [TC Property Current Stage (Seq: 1)] - [Buildings (Seq: 34)] - [Buildings - User Defined Field Values (Seq: 1)] Building Info - Years Between PIS &amp; Purchase Date - Both]&gt;</t>
        </r>
      </text>
    </comment>
    <comment ref="AK224" authorId="0" shapeId="0" xr:uid="{9307B4CC-F222-4D2E-A906-2B9661F828CD}">
      <text>
        <r>
          <rPr>
            <b/>
            <sz val="9"/>
            <color indexed="81"/>
            <rFont val="Tahoma"/>
            <family val="2"/>
          </rPr>
          <t>&lt;[[DEVDeals] - [Associated TC Deal (Seq: 1)] - [TC Property Current Stage (Seq: 1)] - [Buildings (Seq: 34)] Federal Minimum Set Aside Id - Both]&gt;</t>
        </r>
      </text>
    </comment>
    <comment ref="U225" authorId="0" shapeId="0" xr:uid="{2A07668F-B4A8-4378-A1A6-A2163DA049E5}">
      <text>
        <r>
          <rPr>
            <b/>
            <sz val="9"/>
            <color indexed="81"/>
            <rFont val="Tahoma"/>
            <family val="2"/>
          </rPr>
          <t>&lt;[[DEVDeals] - [Associated TC Deal (Seq: 1)] - [TC Property Current Stage (Seq: 1)] - [Buildings (Seq: 35)] Address 1 - Both]&gt;</t>
        </r>
      </text>
    </comment>
    <comment ref="V225" authorId="0" shapeId="0" xr:uid="{88DCB5B2-53EB-4894-8D18-46DEB02DA596}">
      <text>
        <r>
          <rPr>
            <b/>
            <sz val="9"/>
            <color indexed="81"/>
            <rFont val="Tahoma"/>
            <family val="2"/>
          </rPr>
          <t>&lt;[[DEVDeals] - [Associated TC Deal (Seq: 1)] - [TC Property Current Stage (Seq: 1)] - [Buildings (Seq: 35)] City - Both]&gt;</t>
        </r>
      </text>
    </comment>
    <comment ref="W225" authorId="0" shapeId="0" xr:uid="{833B32B6-8011-43CF-AB18-7DDEA470F489}">
      <text>
        <r>
          <rPr>
            <b/>
            <sz val="9"/>
            <color indexed="81"/>
            <rFont val="Tahoma"/>
            <family val="2"/>
          </rPr>
          <t>&lt;[[DEVDeals] - [Associated TC Deal (Seq: 1)] - [TC Property Current Stage (Seq: 1)] - [Buildings (Seq: 35)] State - Both]&gt;</t>
        </r>
      </text>
    </comment>
    <comment ref="X225" authorId="0" shapeId="0" xr:uid="{CDE03FF6-4822-4F79-8FC1-2EEB7EB75892}">
      <text>
        <r>
          <rPr>
            <b/>
            <sz val="9"/>
            <color indexed="81"/>
            <rFont val="Tahoma"/>
            <family val="2"/>
          </rPr>
          <t>&lt;[[DEVDeals] - [Associated TC Deal (Seq: 1)] - [TC Property Current Stage (Seq: 1)] - [Buildings (Seq: 35)] Zip Code - Both]&gt;</t>
        </r>
      </text>
    </comment>
    <comment ref="Y225" authorId="0" shapeId="0" xr:uid="{295DB55C-7FB4-4FB0-B982-8011D988C577}">
      <text>
        <r>
          <rPr>
            <b/>
            <sz val="9"/>
            <color indexed="81"/>
            <rFont val="Tahoma"/>
            <family val="2"/>
          </rPr>
          <t>&lt;[[DEVDeals] - [Associated TC Deal (Seq: 1)] - [TC Property Current Stage (Seq: 1)] - [Buildings (Seq: 35)] BIN - Both]&gt;</t>
        </r>
      </text>
    </comment>
    <comment ref="AA225" authorId="0" shapeId="0" xr:uid="{5E8D515F-77B8-4AA8-BEB9-FB5C243A6E54}">
      <text>
        <r>
          <rPr>
            <b/>
            <sz val="9"/>
            <color indexed="81"/>
            <rFont val="Tahoma"/>
            <family val="2"/>
          </rPr>
          <t>&lt;[[DEVDeals] - [Associated TC Deal (Seq: 1)] - [TC Property Current Stage (Seq: 1)] - [Buildings (Seq: 35)] Num TC Units - Both]&gt;</t>
        </r>
      </text>
    </comment>
    <comment ref="AB225" authorId="0" shapeId="0" xr:uid="{6680D68A-2DC1-4127-ABD5-ECF31E93C52F}">
      <text>
        <r>
          <rPr>
            <b/>
            <sz val="9"/>
            <color indexed="81"/>
            <rFont val="Tahoma"/>
            <family val="2"/>
          </rPr>
          <t>&lt;[[DEVDeals] - [Associated TC Deal (Seq: 1)] - [TC Property Current Stage (Seq: 1)] - [Buildings (Seq: 35)] - [Buildings - User Defined Field Values (Seq: 1)] Building Info - Total Square Footage - Both]&gt;</t>
        </r>
      </text>
    </comment>
    <comment ref="AC225" authorId="0" shapeId="0" xr:uid="{99248C5A-F873-4D96-BBE9-90749D283E49}">
      <text>
        <r>
          <rPr>
            <b/>
            <sz val="9"/>
            <color indexed="81"/>
            <rFont val="Tahoma"/>
            <family val="2"/>
          </rPr>
          <t>&lt;[[DEVDeals] - [Associated TC Deal (Seq: 1)] - [TC Property Current Stage (Seq: 1)] - [Buildings (Seq: 35)] - [Buildings - User Defined Field Values (Seq: 1)] Building Info - Restricted Unit Square Footage - Both]&gt;</t>
        </r>
      </text>
    </comment>
    <comment ref="AD225" authorId="0" shapeId="0" xr:uid="{2839BE70-3DDC-408E-BBAF-F162302987AC}">
      <text>
        <r>
          <rPr>
            <b/>
            <sz val="9"/>
            <color indexed="81"/>
            <rFont val="Tahoma"/>
            <family val="2"/>
          </rPr>
          <t>&lt;[[DEVDeals] - [Associated TC Deal (Seq: 1)] - [TC Property Current Stage (Seq: 1)] - [Buildings (Seq: 35)] Applicable Fraction - Both]&gt;</t>
        </r>
      </text>
    </comment>
    <comment ref="AE225" authorId="0" shapeId="0" xr:uid="{73EBF297-3F0E-49CE-B189-EA630E3FEAFF}">
      <text>
        <r>
          <rPr>
            <b/>
            <sz val="9"/>
            <color indexed="81"/>
            <rFont val="Tahoma"/>
            <family val="2"/>
          </rPr>
          <t>&lt;[[DEVDeals] - [Associated TC Deal (Seq: 1)] - [TC Property Current Stage (Seq: 1)] - [Buildings (Seq: 35)] - [Buildings - User Defined Field Values (Seq: 1)] Building Info - Year Built - Both]&gt;</t>
        </r>
      </text>
    </comment>
    <comment ref="AF225" authorId="0" shapeId="0" xr:uid="{3FA19D14-5C73-4E86-93A2-C433CE21C9A1}">
      <text>
        <r>
          <rPr>
            <b/>
            <sz val="9"/>
            <color indexed="81"/>
            <rFont val="Tahoma"/>
            <family val="2"/>
          </rPr>
          <t>&lt;[[DEVDeals] - [Associated TC Deal (Seq: 1)] - [TC Property Current Stage (Seq: 1)] - [Buildings (Seq: 35)] - [Buildings - User Defined Field Values (Seq: 1)] Building Info - Building Type - Both]&gt;</t>
        </r>
      </text>
    </comment>
    <comment ref="AG225" authorId="0" shapeId="0" xr:uid="{384C1082-7129-45CE-B5F7-2252BE218387}">
      <text>
        <r>
          <rPr>
            <b/>
            <sz val="9"/>
            <color indexed="81"/>
            <rFont val="Tahoma"/>
            <family val="2"/>
          </rPr>
          <t>&lt;[[DEVDeals] - [Associated TC Deal (Seq: 1)] - [TC Property Current Stage (Seq: 1)] - [Buildings (Seq: 35)] Num Mkt Units - Both]&gt;</t>
        </r>
      </text>
    </comment>
    <comment ref="AH225" authorId="0" shapeId="0" xr:uid="{8061C737-DFD4-4F50-8509-9AC9DE972E4B}">
      <text>
        <r>
          <rPr>
            <b/>
            <sz val="9"/>
            <color indexed="81"/>
            <rFont val="Tahoma"/>
            <family val="2"/>
          </rPr>
          <t>&lt;[[DEVDeals] - [Associated TC Deal (Seq: 1)] - [TC Property Current Stage (Seq: 1)] - [Buildings (Seq: 35)] - [Buildings - User Defined Field Values (Seq: 1)] Building Info - Date Last Placed in Service - Both]&gt;</t>
        </r>
      </text>
    </comment>
    <comment ref="AI225" authorId="0" shapeId="0" xr:uid="{8FC70D84-6F4E-4AFA-B77C-0CA3DF0A4ACF}">
      <text>
        <r>
          <rPr>
            <b/>
            <sz val="9"/>
            <color indexed="81"/>
            <rFont val="Tahoma"/>
            <family val="2"/>
          </rPr>
          <t>&lt;[[DEVDeals] - [Associated TC Deal (Seq: 1)] - [TC Property Current Stage (Seq: 1)] - [Buildings (Seq: 35)] - [Buildings - User Defined Field Values (Seq: 1)] Building Info - Sponsor's Purchase Date - Both]&gt;</t>
        </r>
      </text>
    </comment>
    <comment ref="AJ225" authorId="0" shapeId="0" xr:uid="{F0E1B466-B2BD-4BEB-BD79-D3E42F3399C7}">
      <text>
        <r>
          <rPr>
            <b/>
            <sz val="9"/>
            <color indexed="81"/>
            <rFont val="Tahoma"/>
            <family val="2"/>
          </rPr>
          <t>&lt;[[DEVDeals] - [Associated TC Deal (Seq: 1)] - [TC Property Current Stage (Seq: 1)] - [Buildings (Seq: 35)] - [Buildings - User Defined Field Values (Seq: 1)] Building Info - Years Between PIS &amp; Purchase Date - Both]&gt;</t>
        </r>
      </text>
    </comment>
    <comment ref="AK225" authorId="0" shapeId="0" xr:uid="{DBFCB4A5-229B-47F8-B2D0-0E1EE2DA2E99}">
      <text>
        <r>
          <rPr>
            <b/>
            <sz val="9"/>
            <color indexed="81"/>
            <rFont val="Tahoma"/>
            <family val="2"/>
          </rPr>
          <t>&lt;[[DEVDeals] - [Associated TC Deal (Seq: 1)] - [TC Property Current Stage (Seq: 1)] - [Buildings (Seq: 35)] Federal Minimum Set Aside Id - Both]&gt;</t>
        </r>
      </text>
    </comment>
    <comment ref="U226" authorId="0" shapeId="0" xr:uid="{903774A4-6AF0-4C15-89E7-BC5525C07BB2}">
      <text>
        <r>
          <rPr>
            <b/>
            <sz val="9"/>
            <color indexed="81"/>
            <rFont val="Tahoma"/>
            <family val="2"/>
          </rPr>
          <t>&lt;[[DEVDeals] - [Associated TC Deal (Seq: 1)] - [TC Property Current Stage (Seq: 1)] - [Buildings (Seq: 36)] Address 1 - Both]&gt;</t>
        </r>
      </text>
    </comment>
    <comment ref="V226" authorId="0" shapeId="0" xr:uid="{AABC1F2A-E982-48EF-A2A7-88F3B03A1311}">
      <text>
        <r>
          <rPr>
            <b/>
            <sz val="9"/>
            <color indexed="81"/>
            <rFont val="Tahoma"/>
            <family val="2"/>
          </rPr>
          <t>&lt;[[DEVDeals] - [Associated TC Deal (Seq: 1)] - [TC Property Current Stage (Seq: 1)] - [Buildings (Seq: 36)] City - Both]&gt;</t>
        </r>
      </text>
    </comment>
    <comment ref="W226" authorId="0" shapeId="0" xr:uid="{E812B4B5-EB13-40A7-9F47-AD802A6592C9}">
      <text>
        <r>
          <rPr>
            <b/>
            <sz val="9"/>
            <color indexed="81"/>
            <rFont val="Tahoma"/>
            <family val="2"/>
          </rPr>
          <t>&lt;[[DEVDeals] - [Associated TC Deal (Seq: 1)] - [TC Property Current Stage (Seq: 1)] - [Buildings (Seq: 36)] State - Both]&gt;</t>
        </r>
      </text>
    </comment>
    <comment ref="X226" authorId="0" shapeId="0" xr:uid="{C2698064-37EA-46A3-A2CA-D295282EFBAC}">
      <text>
        <r>
          <rPr>
            <b/>
            <sz val="9"/>
            <color indexed="81"/>
            <rFont val="Tahoma"/>
            <family val="2"/>
          </rPr>
          <t>&lt;[[DEVDeals] - [Associated TC Deal (Seq: 1)] - [TC Property Current Stage (Seq: 1)] - [Buildings (Seq: 36)] Zip Code - Both]&gt;</t>
        </r>
      </text>
    </comment>
    <comment ref="Y226" authorId="0" shapeId="0" xr:uid="{2CACC1AF-A3B2-436F-A86D-0EBAF0113776}">
      <text>
        <r>
          <rPr>
            <b/>
            <sz val="9"/>
            <color indexed="81"/>
            <rFont val="Tahoma"/>
            <family val="2"/>
          </rPr>
          <t>&lt;[[DEVDeals] - [Associated TC Deal (Seq: 1)] - [TC Property Current Stage (Seq: 1)] - [Buildings (Seq: 36)] BIN - Both]&gt;</t>
        </r>
      </text>
    </comment>
    <comment ref="AA226" authorId="0" shapeId="0" xr:uid="{DC7CB777-8107-4F99-91D5-63028B366D80}">
      <text>
        <r>
          <rPr>
            <b/>
            <sz val="9"/>
            <color indexed="81"/>
            <rFont val="Tahoma"/>
            <family val="2"/>
          </rPr>
          <t>&lt;[[DEVDeals] - [Associated TC Deal (Seq: 1)] - [TC Property Current Stage (Seq: 1)] - [Buildings (Seq: 36)] Num TC Units - Both]&gt;</t>
        </r>
      </text>
    </comment>
    <comment ref="AB226" authorId="0" shapeId="0" xr:uid="{8149C0B7-A702-46C3-95F3-4A9A30AFE239}">
      <text>
        <r>
          <rPr>
            <b/>
            <sz val="9"/>
            <color indexed="81"/>
            <rFont val="Tahoma"/>
            <family val="2"/>
          </rPr>
          <t>&lt;[[DEVDeals] - [Associated TC Deal (Seq: 1)] - [TC Property Current Stage (Seq: 1)] - [Buildings (Seq: 36)] - [Buildings - User Defined Field Values (Seq: 1)] Building Info - Total Square Footage - Both]&gt;</t>
        </r>
      </text>
    </comment>
    <comment ref="AC226" authorId="0" shapeId="0" xr:uid="{B7593965-490B-4E88-9C29-DEF9FCFC757C}">
      <text>
        <r>
          <rPr>
            <b/>
            <sz val="9"/>
            <color indexed="81"/>
            <rFont val="Tahoma"/>
            <family val="2"/>
          </rPr>
          <t>&lt;[[DEVDeals] - [Associated TC Deal (Seq: 1)] - [TC Property Current Stage (Seq: 1)] - [Buildings (Seq: 36)] - [Buildings - User Defined Field Values (Seq: 1)] Building Info - Restricted Unit Square Footage - Both]&gt;</t>
        </r>
      </text>
    </comment>
    <comment ref="AD226" authorId="0" shapeId="0" xr:uid="{4E140F6B-FF14-4DC9-9D92-9D7C116DF36B}">
      <text>
        <r>
          <rPr>
            <b/>
            <sz val="9"/>
            <color indexed="81"/>
            <rFont val="Tahoma"/>
            <family val="2"/>
          </rPr>
          <t>&lt;[[DEVDeals] - [Associated TC Deal (Seq: 1)] - [TC Property Current Stage (Seq: 1)] - [Buildings (Seq: 36)] Applicable Fraction - Both]&gt;</t>
        </r>
      </text>
    </comment>
    <comment ref="AE226" authorId="0" shapeId="0" xr:uid="{8D91EDE8-EFEB-4114-9175-4B1BB531C80A}">
      <text>
        <r>
          <rPr>
            <b/>
            <sz val="9"/>
            <color indexed="81"/>
            <rFont val="Tahoma"/>
            <family val="2"/>
          </rPr>
          <t>&lt;[[DEVDeals] - [Associated TC Deal (Seq: 1)] - [TC Property Current Stage (Seq: 1)] - [Buildings (Seq: 36)] - [Buildings - User Defined Field Values (Seq: 1)] Building Info - Year Built - Both]&gt;</t>
        </r>
      </text>
    </comment>
    <comment ref="AF226" authorId="0" shapeId="0" xr:uid="{ED706066-C2FD-4292-8181-4D78D3DBA522}">
      <text>
        <r>
          <rPr>
            <b/>
            <sz val="9"/>
            <color indexed="81"/>
            <rFont val="Tahoma"/>
            <family val="2"/>
          </rPr>
          <t>&lt;[[DEVDeals] - [Associated TC Deal (Seq: 1)] - [TC Property Current Stage (Seq: 1)] - [Buildings (Seq: 36)] - [Buildings - User Defined Field Values (Seq: 1)] Building Info - Building Type - Both]&gt;</t>
        </r>
      </text>
    </comment>
    <comment ref="AG226" authorId="0" shapeId="0" xr:uid="{320CC5DF-FB0B-42E9-B171-30F3F5171FAF}">
      <text>
        <r>
          <rPr>
            <b/>
            <sz val="9"/>
            <color indexed="81"/>
            <rFont val="Tahoma"/>
            <family val="2"/>
          </rPr>
          <t>&lt;[[DEVDeals] - [Associated TC Deal (Seq: 1)] - [TC Property Current Stage (Seq: 1)] - [Buildings (Seq: 36)] Num Mkt Units - Both]&gt;</t>
        </r>
      </text>
    </comment>
    <comment ref="AH226" authorId="0" shapeId="0" xr:uid="{E125438D-8451-48EB-86A4-6C4F105C3828}">
      <text>
        <r>
          <rPr>
            <b/>
            <sz val="9"/>
            <color indexed="81"/>
            <rFont val="Tahoma"/>
            <family val="2"/>
          </rPr>
          <t>&lt;[[DEVDeals] - [Associated TC Deal (Seq: 1)] - [TC Property Current Stage (Seq: 1)] - [Buildings (Seq: 36)] - [Buildings - User Defined Field Values (Seq: 1)] Building Info - Date Last Placed in Service - Both]&gt;</t>
        </r>
      </text>
    </comment>
    <comment ref="AI226" authorId="0" shapeId="0" xr:uid="{6E56878A-EB58-4650-AEB7-562C4D183D8A}">
      <text>
        <r>
          <rPr>
            <b/>
            <sz val="9"/>
            <color indexed="81"/>
            <rFont val="Tahoma"/>
            <family val="2"/>
          </rPr>
          <t>&lt;[[DEVDeals] - [Associated TC Deal (Seq: 1)] - [TC Property Current Stage (Seq: 1)] - [Buildings (Seq: 36)] - [Buildings - User Defined Field Values (Seq: 1)] Building Info - Sponsor's Purchase Date - Both]&gt;</t>
        </r>
      </text>
    </comment>
    <comment ref="AJ226" authorId="0" shapeId="0" xr:uid="{743B5C36-01BE-404D-AD9E-2A12D129D501}">
      <text>
        <r>
          <rPr>
            <b/>
            <sz val="9"/>
            <color indexed="81"/>
            <rFont val="Tahoma"/>
            <family val="2"/>
          </rPr>
          <t>&lt;[[DEVDeals] - [Associated TC Deal (Seq: 1)] - [TC Property Current Stage (Seq: 1)] - [Buildings (Seq: 36)] - [Buildings - User Defined Field Values (Seq: 1)] Building Info - Years Between PIS &amp; Purchase Date - Both]&gt;</t>
        </r>
      </text>
    </comment>
    <comment ref="AK226" authorId="0" shapeId="0" xr:uid="{DF5EFAA2-48A4-441B-8B6A-EB78148B2497}">
      <text>
        <r>
          <rPr>
            <b/>
            <sz val="9"/>
            <color indexed="81"/>
            <rFont val="Tahoma"/>
            <family val="2"/>
          </rPr>
          <t>&lt;[[DEVDeals] - [Associated TC Deal (Seq: 1)] - [TC Property Current Stage (Seq: 1)] - [Buildings (Seq: 36)] Federal Minimum Set Aside Id - Both]&gt;</t>
        </r>
      </text>
    </comment>
    <comment ref="U227" authorId="0" shapeId="0" xr:uid="{EE7B2023-0B64-4647-A2DB-D643CF267F08}">
      <text>
        <r>
          <rPr>
            <b/>
            <sz val="9"/>
            <color indexed="81"/>
            <rFont val="Tahoma"/>
            <family val="2"/>
          </rPr>
          <t>&lt;[[DEVDeals] - [Associated TC Deal (Seq: 1)] - [TC Property Current Stage (Seq: 1)] - [Buildings (Seq: 37)] Address 1 - Both]&gt;</t>
        </r>
      </text>
    </comment>
    <comment ref="V227" authorId="0" shapeId="0" xr:uid="{1FE53CF4-A9BF-4CFB-BECA-CD91ED9CA6AD}">
      <text>
        <r>
          <rPr>
            <b/>
            <sz val="9"/>
            <color indexed="81"/>
            <rFont val="Tahoma"/>
            <family val="2"/>
          </rPr>
          <t>&lt;[[DEVDeals] - [Associated TC Deal (Seq: 1)] - [TC Property Current Stage (Seq: 1)] - [Buildings (Seq: 37)] City - Both]&gt;</t>
        </r>
      </text>
    </comment>
    <comment ref="W227" authorId="0" shapeId="0" xr:uid="{2F949510-0FB5-4541-B3F5-0D5D17C6478D}">
      <text>
        <r>
          <rPr>
            <b/>
            <sz val="9"/>
            <color indexed="81"/>
            <rFont val="Tahoma"/>
            <family val="2"/>
          </rPr>
          <t>&lt;[[DEVDeals] - [Associated TC Deal (Seq: 1)] - [TC Property Current Stage (Seq: 1)] - [Buildings (Seq: 37)] State - Both]&gt;</t>
        </r>
      </text>
    </comment>
    <comment ref="X227" authorId="0" shapeId="0" xr:uid="{7AC1B4E5-DFF9-47EB-8BE8-E3B0C4A39554}">
      <text>
        <r>
          <rPr>
            <b/>
            <sz val="9"/>
            <color indexed="81"/>
            <rFont val="Tahoma"/>
            <family val="2"/>
          </rPr>
          <t>&lt;[[DEVDeals] - [Associated TC Deal (Seq: 1)] - [TC Property Current Stage (Seq: 1)] - [Buildings (Seq: 37)] Zip Code - Both]&gt;</t>
        </r>
      </text>
    </comment>
    <comment ref="Y227" authorId="0" shapeId="0" xr:uid="{96A7BBD8-F470-466A-81CD-863007C71B71}">
      <text>
        <r>
          <rPr>
            <b/>
            <sz val="9"/>
            <color indexed="81"/>
            <rFont val="Tahoma"/>
            <family val="2"/>
          </rPr>
          <t>&lt;[[DEVDeals] - [Associated TC Deal (Seq: 1)] - [TC Property Current Stage (Seq: 1)] - [Buildings (Seq: 37)] BIN - Both]&gt;</t>
        </r>
      </text>
    </comment>
    <comment ref="AA227" authorId="0" shapeId="0" xr:uid="{3F59D84B-E79C-49F9-8203-D85E0F0C51A2}">
      <text>
        <r>
          <rPr>
            <b/>
            <sz val="9"/>
            <color indexed="81"/>
            <rFont val="Tahoma"/>
            <family val="2"/>
          </rPr>
          <t>&lt;[[DEVDeals] - [Associated TC Deal (Seq: 1)] - [TC Property Current Stage (Seq: 1)] - [Buildings (Seq: 37)] Num TC Units - Both]&gt;</t>
        </r>
      </text>
    </comment>
    <comment ref="AB227" authorId="0" shapeId="0" xr:uid="{6EF96F09-9F62-48C3-9379-7F5EBFF25A2C}">
      <text>
        <r>
          <rPr>
            <b/>
            <sz val="9"/>
            <color indexed="81"/>
            <rFont val="Tahoma"/>
            <family val="2"/>
          </rPr>
          <t>&lt;[[DEVDeals] - [Associated TC Deal (Seq: 1)] - [TC Property Current Stage (Seq: 1)] - [Buildings (Seq: 37)] - [Buildings - User Defined Field Values (Seq: 1)] Building Info - Total Square Footage - Both]&gt;</t>
        </r>
      </text>
    </comment>
    <comment ref="AC227" authorId="0" shapeId="0" xr:uid="{BB5A9E26-1246-43E5-A64F-58481B3F2BF6}">
      <text>
        <r>
          <rPr>
            <b/>
            <sz val="9"/>
            <color indexed="81"/>
            <rFont val="Tahoma"/>
            <family val="2"/>
          </rPr>
          <t>&lt;[[DEVDeals] - [Associated TC Deal (Seq: 1)] - [TC Property Current Stage (Seq: 1)] - [Buildings (Seq: 37)] - [Buildings - User Defined Field Values (Seq: 1)] Building Info - Restricted Unit Square Footage - Both]&gt;</t>
        </r>
      </text>
    </comment>
    <comment ref="AD227" authorId="0" shapeId="0" xr:uid="{B34D6C7F-A872-4046-A6F5-A5E4F45ABF74}">
      <text>
        <r>
          <rPr>
            <b/>
            <sz val="9"/>
            <color indexed="81"/>
            <rFont val="Tahoma"/>
            <family val="2"/>
          </rPr>
          <t>&lt;[[DEVDeals] - [Associated TC Deal (Seq: 1)] - [TC Property Current Stage (Seq: 1)] - [Buildings (Seq: 37)] Applicable Fraction - Both]&gt;</t>
        </r>
      </text>
    </comment>
    <comment ref="AE227" authorId="0" shapeId="0" xr:uid="{2BB3DD6F-627A-4BF3-B0D2-2639CD3376DC}">
      <text>
        <r>
          <rPr>
            <b/>
            <sz val="9"/>
            <color indexed="81"/>
            <rFont val="Tahoma"/>
            <family val="2"/>
          </rPr>
          <t>&lt;[[DEVDeals] - [Associated TC Deal (Seq: 1)] - [TC Property Current Stage (Seq: 1)] - [Buildings (Seq: 37)] - [Buildings - User Defined Field Values (Seq: 1)] Building Info - Year Built - Both]&gt;</t>
        </r>
      </text>
    </comment>
    <comment ref="AF227" authorId="0" shapeId="0" xr:uid="{B6054C4F-1F13-4F5A-972F-5A74A8BE2E49}">
      <text>
        <r>
          <rPr>
            <b/>
            <sz val="9"/>
            <color indexed="81"/>
            <rFont val="Tahoma"/>
            <family val="2"/>
          </rPr>
          <t>&lt;[[DEVDeals] - [Associated TC Deal (Seq: 1)] - [TC Property Current Stage (Seq: 1)] - [Buildings (Seq: 37)] - [Buildings - User Defined Field Values (Seq: 1)] Building Info - Building Type - Both]&gt;</t>
        </r>
      </text>
    </comment>
    <comment ref="AG227" authorId="0" shapeId="0" xr:uid="{3E1C33DC-771D-4946-B342-64D6C012C962}">
      <text>
        <r>
          <rPr>
            <b/>
            <sz val="9"/>
            <color indexed="81"/>
            <rFont val="Tahoma"/>
            <family val="2"/>
          </rPr>
          <t>&lt;[[DEVDeals] - [Associated TC Deal (Seq: 1)] - [TC Property Current Stage (Seq: 1)] - [Buildings (Seq: 37)] Num Mkt Units - Both]&gt;</t>
        </r>
      </text>
    </comment>
    <comment ref="AH227" authorId="0" shapeId="0" xr:uid="{22139797-5A54-45B1-80AF-B109D3E71B2C}">
      <text>
        <r>
          <rPr>
            <b/>
            <sz val="9"/>
            <color indexed="81"/>
            <rFont val="Tahoma"/>
            <family val="2"/>
          </rPr>
          <t>&lt;[[DEVDeals] - [Associated TC Deal (Seq: 1)] - [TC Property Current Stage (Seq: 1)] - [Buildings (Seq: 37)] - [Buildings - User Defined Field Values (Seq: 1)] Building Info - Date Last Placed in Service - Both]&gt;</t>
        </r>
      </text>
    </comment>
    <comment ref="AI227" authorId="0" shapeId="0" xr:uid="{F2746E97-9A93-4FA2-8ACE-ACA3C172B94B}">
      <text>
        <r>
          <rPr>
            <b/>
            <sz val="9"/>
            <color indexed="81"/>
            <rFont val="Tahoma"/>
            <family val="2"/>
          </rPr>
          <t>&lt;[[DEVDeals] - [Associated TC Deal (Seq: 1)] - [TC Property Current Stage (Seq: 1)] - [Buildings (Seq: 37)] - [Buildings - User Defined Field Values (Seq: 1)] Building Info - Sponsor's Purchase Date - Both]&gt;</t>
        </r>
      </text>
    </comment>
    <comment ref="AJ227" authorId="0" shapeId="0" xr:uid="{5DFE0294-4BFF-4634-970A-C500105E311C}">
      <text>
        <r>
          <rPr>
            <b/>
            <sz val="9"/>
            <color indexed="81"/>
            <rFont val="Tahoma"/>
            <family val="2"/>
          </rPr>
          <t>&lt;[[DEVDeals] - [Associated TC Deal (Seq: 1)] - [TC Property Current Stage (Seq: 1)] - [Buildings (Seq: 37)] - [Buildings - User Defined Field Values (Seq: 1)] Building Info - Years Between PIS &amp; Purchase Date - Both]&gt;</t>
        </r>
      </text>
    </comment>
    <comment ref="AK227" authorId="0" shapeId="0" xr:uid="{D7CF647E-5FAF-4102-A8B3-E3955AB1D733}">
      <text>
        <r>
          <rPr>
            <b/>
            <sz val="9"/>
            <color indexed="81"/>
            <rFont val="Tahoma"/>
            <family val="2"/>
          </rPr>
          <t>&lt;[[DEVDeals] - [Associated TC Deal (Seq: 1)] - [TC Property Current Stage (Seq: 1)] - [Buildings (Seq: 37)] Federal Minimum Set Aside Id - Both]&gt;</t>
        </r>
      </text>
    </comment>
    <comment ref="U228" authorId="0" shapeId="0" xr:uid="{8A237F4E-19DD-40FE-B6AB-B0C63B26047A}">
      <text>
        <r>
          <rPr>
            <b/>
            <sz val="9"/>
            <color indexed="81"/>
            <rFont val="Tahoma"/>
            <family val="2"/>
          </rPr>
          <t>&lt;[[DEVDeals] - [Associated TC Deal (Seq: 1)] - [TC Property Current Stage (Seq: 1)] - [Buildings (Seq: 38)] Address 1 - Both]&gt;</t>
        </r>
      </text>
    </comment>
    <comment ref="V228" authorId="0" shapeId="0" xr:uid="{E5D44AF7-9410-4EA6-A1BE-7EC3CBE97913}">
      <text>
        <r>
          <rPr>
            <b/>
            <sz val="9"/>
            <color indexed="81"/>
            <rFont val="Tahoma"/>
            <family val="2"/>
          </rPr>
          <t>&lt;[[DEVDeals] - [Associated TC Deal (Seq: 1)] - [TC Property Current Stage (Seq: 1)] - [Buildings (Seq: 38)] City - Both]&gt;</t>
        </r>
      </text>
    </comment>
    <comment ref="W228" authorId="0" shapeId="0" xr:uid="{E15FC381-A0F2-4D39-B375-6D81D7588B57}">
      <text>
        <r>
          <rPr>
            <b/>
            <sz val="9"/>
            <color indexed="81"/>
            <rFont val="Tahoma"/>
            <family val="2"/>
          </rPr>
          <t>&lt;[[DEVDeals] - [Associated TC Deal (Seq: 1)] - [TC Property Current Stage (Seq: 1)] - [Buildings (Seq: 38)] State - Both]&gt;</t>
        </r>
      </text>
    </comment>
    <comment ref="X228" authorId="0" shapeId="0" xr:uid="{653D6611-F26A-49FF-8A21-333F8D41F32F}">
      <text>
        <r>
          <rPr>
            <b/>
            <sz val="9"/>
            <color indexed="81"/>
            <rFont val="Tahoma"/>
            <family val="2"/>
          </rPr>
          <t>&lt;[[DEVDeals] - [Associated TC Deal (Seq: 1)] - [TC Property Current Stage (Seq: 1)] - [Buildings (Seq: 38)] Zip Code - Both]&gt;</t>
        </r>
      </text>
    </comment>
    <comment ref="Y228" authorId="0" shapeId="0" xr:uid="{EDA766F6-BFB9-45C2-8DC0-0BCB78A8EEFC}">
      <text>
        <r>
          <rPr>
            <b/>
            <sz val="9"/>
            <color indexed="81"/>
            <rFont val="Tahoma"/>
            <family val="2"/>
          </rPr>
          <t>&lt;[[DEVDeals] - [Associated TC Deal (Seq: 1)] - [TC Property Current Stage (Seq: 1)] - [Buildings (Seq: 38)] BIN - Both]&gt;</t>
        </r>
      </text>
    </comment>
    <comment ref="AA228" authorId="0" shapeId="0" xr:uid="{D31E9482-E8E2-446F-8C15-604EB6CF66E6}">
      <text>
        <r>
          <rPr>
            <b/>
            <sz val="9"/>
            <color indexed="81"/>
            <rFont val="Tahoma"/>
            <family val="2"/>
          </rPr>
          <t>&lt;[[DEVDeals] - [Associated TC Deal (Seq: 1)] - [TC Property Current Stage (Seq: 1)] - [Buildings (Seq: 38)] Num TC Units - Both]&gt;</t>
        </r>
      </text>
    </comment>
    <comment ref="AB228" authorId="0" shapeId="0" xr:uid="{F2A6B91E-77B9-4E74-B93A-7873A305FD92}">
      <text>
        <r>
          <rPr>
            <b/>
            <sz val="9"/>
            <color indexed="81"/>
            <rFont val="Tahoma"/>
            <family val="2"/>
          </rPr>
          <t>&lt;[[DEVDeals] - [Associated TC Deal (Seq: 1)] - [TC Property Current Stage (Seq: 1)] - [Buildings (Seq: 38)] - [Buildings - User Defined Field Values (Seq: 1)] Building Info - Total Square Footage - Both]&gt;</t>
        </r>
      </text>
    </comment>
    <comment ref="AC228" authorId="0" shapeId="0" xr:uid="{554E11D1-69EC-4802-8E9C-91D5008C3164}">
      <text>
        <r>
          <rPr>
            <b/>
            <sz val="9"/>
            <color indexed="81"/>
            <rFont val="Tahoma"/>
            <family val="2"/>
          </rPr>
          <t>&lt;[[DEVDeals] - [Associated TC Deal (Seq: 1)] - [TC Property Current Stage (Seq: 1)] - [Buildings (Seq: 38)] - [Buildings - User Defined Field Values (Seq: 1)] Building Info - Restricted Unit Square Footage - Both]&gt;</t>
        </r>
      </text>
    </comment>
    <comment ref="AD228" authorId="0" shapeId="0" xr:uid="{E3726C91-5D14-4037-B907-9B716AE5397D}">
      <text>
        <r>
          <rPr>
            <b/>
            <sz val="9"/>
            <color indexed="81"/>
            <rFont val="Tahoma"/>
            <family val="2"/>
          </rPr>
          <t>&lt;[[DEVDeals] - [Associated TC Deal (Seq: 1)] - [TC Property Current Stage (Seq: 1)] - [Buildings (Seq: 38)] Applicable Fraction - Both]&gt;</t>
        </r>
      </text>
    </comment>
    <comment ref="AE228" authorId="0" shapeId="0" xr:uid="{03B692B1-1B1B-4B6B-9BB5-E6E16D01AC6A}">
      <text>
        <r>
          <rPr>
            <b/>
            <sz val="9"/>
            <color indexed="81"/>
            <rFont val="Tahoma"/>
            <family val="2"/>
          </rPr>
          <t>&lt;[[DEVDeals] - [Associated TC Deal (Seq: 1)] - [TC Property Current Stage (Seq: 1)] - [Buildings (Seq: 38)] - [Buildings - User Defined Field Values (Seq: 1)] Building Info - Year Built - Both]&gt;</t>
        </r>
      </text>
    </comment>
    <comment ref="AF228" authorId="0" shapeId="0" xr:uid="{A02099F6-BECD-458E-8D03-1DF833ED9905}">
      <text>
        <r>
          <rPr>
            <b/>
            <sz val="9"/>
            <color indexed="81"/>
            <rFont val="Tahoma"/>
            <family val="2"/>
          </rPr>
          <t>&lt;[[DEVDeals] - [Associated TC Deal (Seq: 1)] - [TC Property Current Stage (Seq: 1)] - [Buildings (Seq: 38)] - [Buildings - User Defined Field Values (Seq: 1)] Building Info - Building Type - Both]&gt;</t>
        </r>
      </text>
    </comment>
    <comment ref="AG228" authorId="0" shapeId="0" xr:uid="{EC77B04F-BF48-4BAF-968A-091B3598E18A}">
      <text>
        <r>
          <rPr>
            <b/>
            <sz val="9"/>
            <color indexed="81"/>
            <rFont val="Tahoma"/>
            <family val="2"/>
          </rPr>
          <t>&lt;[[DEVDeals] - [Associated TC Deal (Seq: 1)] - [TC Property Current Stage (Seq: 1)] - [Buildings (Seq: 38)] Num Mkt Units - Both]&gt;</t>
        </r>
      </text>
    </comment>
    <comment ref="AH228" authorId="0" shapeId="0" xr:uid="{EF505E06-2500-4377-9781-134C1AD48051}">
      <text>
        <r>
          <rPr>
            <b/>
            <sz val="9"/>
            <color indexed="81"/>
            <rFont val="Tahoma"/>
            <family val="2"/>
          </rPr>
          <t>&lt;[[DEVDeals] - [Associated TC Deal (Seq: 1)] - [TC Property Current Stage (Seq: 1)] - [Buildings (Seq: 38)] - [Buildings - User Defined Field Values (Seq: 1)] Building Info - Date Last Placed in Service - Both]&gt;</t>
        </r>
      </text>
    </comment>
    <comment ref="AI228" authorId="0" shapeId="0" xr:uid="{7C517532-668C-4FDC-A086-9824B68DF0CE}">
      <text>
        <r>
          <rPr>
            <b/>
            <sz val="9"/>
            <color indexed="81"/>
            <rFont val="Tahoma"/>
            <family val="2"/>
          </rPr>
          <t>&lt;[[DEVDeals] - [Associated TC Deal (Seq: 1)] - [TC Property Current Stage (Seq: 1)] - [Buildings (Seq: 38)] - [Buildings - User Defined Field Values (Seq: 1)] Building Info - Sponsor's Purchase Date - Both]&gt;</t>
        </r>
      </text>
    </comment>
    <comment ref="AJ228" authorId="0" shapeId="0" xr:uid="{BE8874D6-DD12-46E8-9210-C700771DFE38}">
      <text>
        <r>
          <rPr>
            <b/>
            <sz val="9"/>
            <color indexed="81"/>
            <rFont val="Tahoma"/>
            <family val="2"/>
          </rPr>
          <t>&lt;[[DEVDeals] - [Associated TC Deal (Seq: 1)] - [TC Property Current Stage (Seq: 1)] - [Buildings (Seq: 38)] - [Buildings - User Defined Field Values (Seq: 1)] Building Info - Years Between PIS &amp; Purchase Date - Both]&gt;</t>
        </r>
      </text>
    </comment>
    <comment ref="AK228" authorId="0" shapeId="0" xr:uid="{EED26188-625D-4772-8F91-F19560F47ABC}">
      <text>
        <r>
          <rPr>
            <b/>
            <sz val="9"/>
            <color indexed="81"/>
            <rFont val="Tahoma"/>
            <family val="2"/>
          </rPr>
          <t>&lt;[[DEVDeals] - [Associated TC Deal (Seq: 1)] - [TC Property Current Stage (Seq: 1)] - [Buildings (Seq: 38)] Federal Minimum Set Aside Id - Both]&gt;</t>
        </r>
      </text>
    </comment>
    <comment ref="U229" authorId="0" shapeId="0" xr:uid="{926EEB68-B97A-45BF-B50E-7E1BAD103A79}">
      <text>
        <r>
          <rPr>
            <b/>
            <sz val="9"/>
            <color indexed="81"/>
            <rFont val="Tahoma"/>
            <family val="2"/>
          </rPr>
          <t>&lt;[[DEVDeals] - [Associated TC Deal (Seq: 1)] - [TC Property Current Stage (Seq: 1)] - [Buildings (Seq: 39)] Address 1 - Both]&gt;</t>
        </r>
      </text>
    </comment>
    <comment ref="V229" authorId="0" shapeId="0" xr:uid="{DF8973CC-EAFC-4B4A-9C2C-7854244881D4}">
      <text>
        <r>
          <rPr>
            <b/>
            <sz val="9"/>
            <color indexed="81"/>
            <rFont val="Tahoma"/>
            <family val="2"/>
          </rPr>
          <t>&lt;[[DEVDeals] - [Associated TC Deal (Seq: 1)] - [TC Property Current Stage (Seq: 1)] - [Buildings (Seq: 39)] City - Both]&gt;</t>
        </r>
      </text>
    </comment>
    <comment ref="W229" authorId="0" shapeId="0" xr:uid="{FFDA17A0-26E4-4A63-8B95-42D7F057F22B}">
      <text>
        <r>
          <rPr>
            <b/>
            <sz val="9"/>
            <color indexed="81"/>
            <rFont val="Tahoma"/>
            <family val="2"/>
          </rPr>
          <t>&lt;[[DEVDeals] - [Associated TC Deal (Seq: 1)] - [TC Property Current Stage (Seq: 1)] - [Buildings (Seq: 39)] State - Both]&gt;</t>
        </r>
      </text>
    </comment>
    <comment ref="X229" authorId="0" shapeId="0" xr:uid="{C035B691-9F2A-42A4-B09B-32454EBB6022}">
      <text>
        <r>
          <rPr>
            <b/>
            <sz val="9"/>
            <color indexed="81"/>
            <rFont val="Tahoma"/>
            <family val="2"/>
          </rPr>
          <t>&lt;[[DEVDeals] - [Associated TC Deal (Seq: 1)] - [TC Property Current Stage (Seq: 1)] - [Buildings (Seq: 39)] Zip Code - Both]&gt;</t>
        </r>
      </text>
    </comment>
    <comment ref="Y229" authorId="0" shapeId="0" xr:uid="{8F8AD747-0104-4BA2-ACF0-2A66023EC2CA}">
      <text>
        <r>
          <rPr>
            <b/>
            <sz val="9"/>
            <color indexed="81"/>
            <rFont val="Tahoma"/>
            <family val="2"/>
          </rPr>
          <t>&lt;[[DEVDeals] - [Associated TC Deal (Seq: 1)] - [TC Property Current Stage (Seq: 1)] - [Buildings (Seq: 39)] BIN - Both]&gt;</t>
        </r>
      </text>
    </comment>
    <comment ref="AA229" authorId="0" shapeId="0" xr:uid="{37FB36AD-D788-46DE-877A-5596B00C3478}">
      <text>
        <r>
          <rPr>
            <b/>
            <sz val="9"/>
            <color indexed="81"/>
            <rFont val="Tahoma"/>
            <family val="2"/>
          </rPr>
          <t>&lt;[[DEVDeals] - [Associated TC Deal (Seq: 1)] - [TC Property Current Stage (Seq: 1)] - [Buildings (Seq: 39)] Num TC Units - Both]&gt;</t>
        </r>
      </text>
    </comment>
    <comment ref="AB229" authorId="0" shapeId="0" xr:uid="{6A41B7C7-C8A2-4F2A-AF99-475CD0786EAE}">
      <text>
        <r>
          <rPr>
            <b/>
            <sz val="9"/>
            <color indexed="81"/>
            <rFont val="Tahoma"/>
            <family val="2"/>
          </rPr>
          <t>&lt;[[DEVDeals] - [Associated TC Deal (Seq: 1)] - [TC Property Current Stage (Seq: 1)] - [Buildings (Seq: 39)] - [Buildings - User Defined Field Values (Seq: 1)] Building Info - Total Square Footage - Both]&gt;</t>
        </r>
      </text>
    </comment>
    <comment ref="AC229" authorId="0" shapeId="0" xr:uid="{0434D438-4E68-4455-95E5-92C18373090C}">
      <text>
        <r>
          <rPr>
            <b/>
            <sz val="9"/>
            <color indexed="81"/>
            <rFont val="Tahoma"/>
            <family val="2"/>
          </rPr>
          <t>&lt;[[DEVDeals] - [Associated TC Deal (Seq: 1)] - [TC Property Current Stage (Seq: 1)] - [Buildings (Seq: 39)] - [Buildings - User Defined Field Values (Seq: 1)] Building Info - Restricted Unit Square Footage - Both]&gt;</t>
        </r>
      </text>
    </comment>
    <comment ref="AD229" authorId="0" shapeId="0" xr:uid="{98DD6558-66AE-4AB2-B435-42A750FA90A0}">
      <text>
        <r>
          <rPr>
            <b/>
            <sz val="9"/>
            <color indexed="81"/>
            <rFont val="Tahoma"/>
            <family val="2"/>
          </rPr>
          <t>&lt;[[DEVDeals] - [Associated TC Deal (Seq: 1)] - [TC Property Current Stage (Seq: 1)] - [Buildings (Seq: 39)] Applicable Fraction - Both]&gt;</t>
        </r>
      </text>
    </comment>
    <comment ref="AE229" authorId="0" shapeId="0" xr:uid="{54EB9BB3-CDC7-4539-88DE-0871CB03A7A5}">
      <text>
        <r>
          <rPr>
            <b/>
            <sz val="9"/>
            <color indexed="81"/>
            <rFont val="Tahoma"/>
            <family val="2"/>
          </rPr>
          <t>&lt;[[DEVDeals] - [Associated TC Deal (Seq: 1)] - [TC Property Current Stage (Seq: 1)] - [Buildings (Seq: 39)] - [Buildings - User Defined Field Values (Seq: 1)] Building Info - Year Built - Both]&gt;</t>
        </r>
      </text>
    </comment>
    <comment ref="AF229" authorId="0" shapeId="0" xr:uid="{B3772509-A54D-4446-BE33-B68BC7A70A71}">
      <text>
        <r>
          <rPr>
            <b/>
            <sz val="9"/>
            <color indexed="81"/>
            <rFont val="Tahoma"/>
            <family val="2"/>
          </rPr>
          <t>&lt;[[DEVDeals] - [Associated TC Deal (Seq: 1)] - [TC Property Current Stage (Seq: 1)] - [Buildings (Seq: 39)] - [Buildings - User Defined Field Values (Seq: 1)] Building Info - Building Type - Both]&gt;</t>
        </r>
      </text>
    </comment>
    <comment ref="AG229" authorId="0" shapeId="0" xr:uid="{3DAEDEEF-C6DD-4206-8E32-43CD13555290}">
      <text>
        <r>
          <rPr>
            <b/>
            <sz val="9"/>
            <color indexed="81"/>
            <rFont val="Tahoma"/>
            <family val="2"/>
          </rPr>
          <t>&lt;[[DEVDeals] - [Associated TC Deal (Seq: 1)] - [TC Property Current Stage (Seq: 1)] - [Buildings (Seq: 39)] Num Mkt Units - Both]&gt;</t>
        </r>
      </text>
    </comment>
    <comment ref="AH229" authorId="0" shapeId="0" xr:uid="{8B066E7D-9518-40B3-85A6-309C88890A8D}">
      <text>
        <r>
          <rPr>
            <b/>
            <sz val="9"/>
            <color indexed="81"/>
            <rFont val="Tahoma"/>
            <family val="2"/>
          </rPr>
          <t>&lt;[[DEVDeals] - [Associated TC Deal (Seq: 1)] - [TC Property Current Stage (Seq: 1)] - [Buildings (Seq: 39)] - [Buildings - User Defined Field Values (Seq: 1)] Building Info - Date Last Placed in Service - Both]&gt;</t>
        </r>
      </text>
    </comment>
    <comment ref="AI229" authorId="0" shapeId="0" xr:uid="{F63C6BA7-23A8-4FCA-BE95-A3967C2E6BE6}">
      <text>
        <r>
          <rPr>
            <b/>
            <sz val="9"/>
            <color indexed="81"/>
            <rFont val="Tahoma"/>
            <family val="2"/>
          </rPr>
          <t>&lt;[[DEVDeals] - [Associated TC Deal (Seq: 1)] - [TC Property Current Stage (Seq: 1)] - [Buildings (Seq: 39)] - [Buildings - User Defined Field Values (Seq: 1)] Building Info - Sponsor's Purchase Date - Both]&gt;</t>
        </r>
      </text>
    </comment>
    <comment ref="AJ229" authorId="0" shapeId="0" xr:uid="{BD7CADB4-4FE4-4743-8023-963BDA105F23}">
      <text>
        <r>
          <rPr>
            <b/>
            <sz val="9"/>
            <color indexed="81"/>
            <rFont val="Tahoma"/>
            <family val="2"/>
          </rPr>
          <t>&lt;[[DEVDeals] - [Associated TC Deal (Seq: 1)] - [TC Property Current Stage (Seq: 1)] - [Buildings (Seq: 39)] - [Buildings - User Defined Field Values (Seq: 1)] Building Info - Years Between PIS &amp; Purchase Date - Both]&gt;</t>
        </r>
      </text>
    </comment>
    <comment ref="AK229" authorId="0" shapeId="0" xr:uid="{07C19945-DD54-4FBE-9605-B840C694FFB1}">
      <text>
        <r>
          <rPr>
            <b/>
            <sz val="9"/>
            <color indexed="81"/>
            <rFont val="Tahoma"/>
            <family val="2"/>
          </rPr>
          <t>&lt;[[DEVDeals] - [Associated TC Deal (Seq: 1)] - [TC Property Current Stage (Seq: 1)] - [Buildings (Seq: 39)] Federal Minimum Set Aside Id - Both]&gt;</t>
        </r>
      </text>
    </comment>
    <comment ref="U230" authorId="0" shapeId="0" xr:uid="{4DF1890F-D2BB-469A-8E3D-0693BD0DA839}">
      <text>
        <r>
          <rPr>
            <b/>
            <sz val="9"/>
            <color indexed="81"/>
            <rFont val="Tahoma"/>
            <family val="2"/>
          </rPr>
          <t>&lt;[[DEVDeals] - [Associated TC Deal (Seq: 1)] - [TC Property Current Stage (Seq: 1)] - [Buildings (Seq: 40)] Address 1 - Both]&gt;</t>
        </r>
      </text>
    </comment>
    <comment ref="V230" authorId="0" shapeId="0" xr:uid="{746ACC61-4349-4030-9E79-59A97B274B34}">
      <text>
        <r>
          <rPr>
            <b/>
            <sz val="9"/>
            <color indexed="81"/>
            <rFont val="Tahoma"/>
            <family val="2"/>
          </rPr>
          <t>&lt;[[DEVDeals] - [Associated TC Deal (Seq: 1)] - [TC Property Current Stage (Seq: 1)] - [Buildings (Seq: 40)] City - Both]&gt;</t>
        </r>
      </text>
    </comment>
    <comment ref="W230" authorId="0" shapeId="0" xr:uid="{3EEC6BF3-863F-40E0-9D49-C01D7920D281}">
      <text>
        <r>
          <rPr>
            <b/>
            <sz val="9"/>
            <color indexed="81"/>
            <rFont val="Tahoma"/>
            <family val="2"/>
          </rPr>
          <t>&lt;[[DEVDeals] - [Associated TC Deal (Seq: 1)] - [TC Property Current Stage (Seq: 1)] - [Buildings (Seq: 40)] State - Both]&gt;</t>
        </r>
      </text>
    </comment>
    <comment ref="X230" authorId="0" shapeId="0" xr:uid="{6C589C42-F15F-4B8E-AA00-1237D878A942}">
      <text>
        <r>
          <rPr>
            <b/>
            <sz val="9"/>
            <color indexed="81"/>
            <rFont val="Tahoma"/>
            <family val="2"/>
          </rPr>
          <t>&lt;[[DEVDeals] - [Associated TC Deal (Seq: 1)] - [TC Property Current Stage (Seq: 1)] - [Buildings (Seq: 40)] Zip Code - Both]&gt;</t>
        </r>
      </text>
    </comment>
    <comment ref="Y230" authorId="0" shapeId="0" xr:uid="{CA645F9F-1B66-422A-8863-D013811258CC}">
      <text>
        <r>
          <rPr>
            <b/>
            <sz val="9"/>
            <color indexed="81"/>
            <rFont val="Tahoma"/>
            <family val="2"/>
          </rPr>
          <t>&lt;[[DEVDeals] - [Associated TC Deal (Seq: 1)] - [TC Property Current Stage (Seq: 1)] - [Buildings (Seq: 40)] BIN - Both]&gt;</t>
        </r>
      </text>
    </comment>
    <comment ref="AA230" authorId="0" shapeId="0" xr:uid="{5B6D9106-F23D-4C0D-8DFA-C191540A06BB}">
      <text>
        <r>
          <rPr>
            <b/>
            <sz val="9"/>
            <color indexed="81"/>
            <rFont val="Tahoma"/>
            <family val="2"/>
          </rPr>
          <t>&lt;[[DEVDeals] - [Associated TC Deal (Seq: 1)] - [TC Property Current Stage (Seq: 1)] - [Buildings (Seq: 40)] Num TC Units - Both]&gt;</t>
        </r>
      </text>
    </comment>
    <comment ref="AB230" authorId="0" shapeId="0" xr:uid="{65E03915-D6FD-4A6E-90A6-77D9C052ED39}">
      <text>
        <r>
          <rPr>
            <b/>
            <sz val="9"/>
            <color indexed="81"/>
            <rFont val="Tahoma"/>
            <family val="2"/>
          </rPr>
          <t>&lt;[[DEVDeals] - [Associated TC Deal (Seq: 1)] - [TC Property Current Stage (Seq: 1)] - [Buildings (Seq: 40)] - [Buildings - User Defined Field Values (Seq: 1)] Building Info - Total Square Footage - Both]&gt;</t>
        </r>
      </text>
    </comment>
    <comment ref="AC230" authorId="0" shapeId="0" xr:uid="{5E935E0F-8CBA-433D-9527-21340FAB53D2}">
      <text>
        <r>
          <rPr>
            <b/>
            <sz val="9"/>
            <color indexed="81"/>
            <rFont val="Tahoma"/>
            <family val="2"/>
          </rPr>
          <t>&lt;[[DEVDeals] - [Associated TC Deal (Seq: 1)] - [TC Property Current Stage (Seq: 1)] - [Buildings (Seq: 40)] - [Buildings - User Defined Field Values (Seq: 1)] Building Info - Restricted Unit Square Footage - Both]&gt;</t>
        </r>
      </text>
    </comment>
    <comment ref="AD230" authorId="0" shapeId="0" xr:uid="{2C65AE1D-8F95-4283-B97F-A6E835712C43}">
      <text>
        <r>
          <rPr>
            <b/>
            <sz val="9"/>
            <color indexed="81"/>
            <rFont val="Tahoma"/>
            <family val="2"/>
          </rPr>
          <t>&lt;[[DEVDeals] - [Associated TC Deal (Seq: 1)] - [TC Property Current Stage (Seq: 1)] - [Buildings (Seq: 40)] Applicable Fraction - Both]&gt;</t>
        </r>
      </text>
    </comment>
    <comment ref="AE230" authorId="0" shapeId="0" xr:uid="{2E50CA51-3009-4839-B513-42BE4E767CBE}">
      <text>
        <r>
          <rPr>
            <b/>
            <sz val="9"/>
            <color indexed="81"/>
            <rFont val="Tahoma"/>
            <family val="2"/>
          </rPr>
          <t>&lt;[[DEVDeals] - [Associated TC Deal (Seq: 1)] - [TC Property Current Stage (Seq: 1)] - [Buildings (Seq: 40)] - [Buildings - User Defined Field Values (Seq: 1)] Building Info - Year Built - Both]&gt;</t>
        </r>
      </text>
    </comment>
    <comment ref="AF230" authorId="0" shapeId="0" xr:uid="{E864F09F-0941-4266-A83B-F7D0D84CFD6F}">
      <text>
        <r>
          <rPr>
            <b/>
            <sz val="9"/>
            <color indexed="81"/>
            <rFont val="Tahoma"/>
            <family val="2"/>
          </rPr>
          <t>&lt;[[DEVDeals] - [Associated TC Deal (Seq: 1)] - [TC Property Current Stage (Seq: 1)] - [Buildings (Seq: 40)] - [Buildings - User Defined Field Values (Seq: 1)] Building Info - Building Type - Both]&gt;</t>
        </r>
      </text>
    </comment>
    <comment ref="AG230" authorId="0" shapeId="0" xr:uid="{7C4FF462-2C96-448D-B32C-A4F5708F5DB1}">
      <text>
        <r>
          <rPr>
            <b/>
            <sz val="9"/>
            <color indexed="81"/>
            <rFont val="Tahoma"/>
            <family val="2"/>
          </rPr>
          <t>&lt;[[DEVDeals] - [Associated TC Deal (Seq: 1)] - [TC Property Current Stage (Seq: 1)] - [Buildings (Seq: 40)] Num Mkt Units - Both]&gt;</t>
        </r>
      </text>
    </comment>
    <comment ref="AH230" authorId="0" shapeId="0" xr:uid="{6DBDEAE9-7F09-4EDB-9DA2-3F13A69D9083}">
      <text>
        <r>
          <rPr>
            <b/>
            <sz val="9"/>
            <color indexed="81"/>
            <rFont val="Tahoma"/>
            <family val="2"/>
          </rPr>
          <t>&lt;[[DEVDeals] - [Associated TC Deal (Seq: 1)] - [TC Property Current Stage (Seq: 1)] - [Buildings (Seq: 40)] - [Buildings - User Defined Field Values (Seq: 1)] Building Info - Date Last Placed in Service - Both]&gt;</t>
        </r>
      </text>
    </comment>
    <comment ref="AI230" authorId="0" shapeId="0" xr:uid="{DE40DA16-0613-4EC1-9228-F11BC635B56C}">
      <text>
        <r>
          <rPr>
            <b/>
            <sz val="9"/>
            <color indexed="81"/>
            <rFont val="Tahoma"/>
            <family val="2"/>
          </rPr>
          <t>&lt;[[DEVDeals] - [Associated TC Deal (Seq: 1)] - [TC Property Current Stage (Seq: 1)] - [Buildings (Seq: 40)] - [Buildings - User Defined Field Values (Seq: 1)] Building Info - Sponsor's Purchase Date - Both]&gt;</t>
        </r>
      </text>
    </comment>
    <comment ref="AJ230" authorId="0" shapeId="0" xr:uid="{6FA05E9B-F9BF-4EF8-BB0B-5E48AC3B71B9}">
      <text>
        <r>
          <rPr>
            <b/>
            <sz val="9"/>
            <color indexed="81"/>
            <rFont val="Tahoma"/>
            <family val="2"/>
          </rPr>
          <t>&lt;[[DEVDeals] - [Associated TC Deal (Seq: 1)] - [TC Property Current Stage (Seq: 1)] - [Buildings (Seq: 40)] - [Buildings - User Defined Field Values (Seq: 1)] Building Info - Years Between PIS &amp; Purchase Date - Both]&gt;</t>
        </r>
      </text>
    </comment>
    <comment ref="AK230" authorId="0" shapeId="0" xr:uid="{3B79ED4A-9A4B-4DD6-8005-B658B56B0FA7}">
      <text>
        <r>
          <rPr>
            <b/>
            <sz val="9"/>
            <color indexed="81"/>
            <rFont val="Tahoma"/>
            <family val="2"/>
          </rPr>
          <t>&lt;[[DEVDeals] - [Associated TC Deal (Seq: 1)] - [TC Property Current Stage (Seq: 1)] - [Buildings (Seq: 40)] Federal Minimum Set Aside Id - Both]&gt;</t>
        </r>
      </text>
    </comment>
    <comment ref="U231" authorId="0" shapeId="0" xr:uid="{6B660ABF-771C-4307-89EC-C34BDB81810F}">
      <text>
        <r>
          <rPr>
            <b/>
            <sz val="9"/>
            <color indexed="81"/>
            <rFont val="Tahoma"/>
            <family val="2"/>
          </rPr>
          <t>&lt;[[DEVDeals] - [Associated TC Deal (Seq: 1)] - [TC Property Current Stage (Seq: 1)] - [Buildings (Seq: 41)] Address 1 - Both]&gt;</t>
        </r>
      </text>
    </comment>
    <comment ref="V231" authorId="0" shapeId="0" xr:uid="{0E09F415-60C5-4E9A-BECB-CDA2B4F5B209}">
      <text>
        <r>
          <rPr>
            <b/>
            <sz val="9"/>
            <color indexed="81"/>
            <rFont val="Tahoma"/>
            <family val="2"/>
          </rPr>
          <t>&lt;[[DEVDeals] - [Associated TC Deal (Seq: 1)] - [TC Property Current Stage (Seq: 1)] - [Buildings (Seq: 41)] City - Both]&gt;</t>
        </r>
      </text>
    </comment>
    <comment ref="W231" authorId="0" shapeId="0" xr:uid="{558E5849-C084-4698-97EB-D55CCBF2F003}">
      <text>
        <r>
          <rPr>
            <b/>
            <sz val="9"/>
            <color indexed="81"/>
            <rFont val="Tahoma"/>
            <family val="2"/>
          </rPr>
          <t>&lt;[[DEVDeals] - [Associated TC Deal (Seq: 1)] - [TC Property Current Stage (Seq: 1)] - [Buildings (Seq: 41)] State - Both]&gt;</t>
        </r>
      </text>
    </comment>
    <comment ref="X231" authorId="0" shapeId="0" xr:uid="{4114DD3B-2BC8-4187-8A37-39BB8636B581}">
      <text>
        <r>
          <rPr>
            <b/>
            <sz val="9"/>
            <color indexed="81"/>
            <rFont val="Tahoma"/>
            <family val="2"/>
          </rPr>
          <t>&lt;[[DEVDeals] - [Associated TC Deal (Seq: 1)] - [TC Property Current Stage (Seq: 1)] - [Buildings (Seq: 41)] Zip Code - Both]&gt;</t>
        </r>
      </text>
    </comment>
    <comment ref="Y231" authorId="0" shapeId="0" xr:uid="{2343B98D-DF6E-4A38-BE8D-10F43944A15A}">
      <text>
        <r>
          <rPr>
            <b/>
            <sz val="9"/>
            <color indexed="81"/>
            <rFont val="Tahoma"/>
            <family val="2"/>
          </rPr>
          <t>&lt;[[DEVDeals] - [Associated TC Deal (Seq: 1)] - [TC Property Current Stage (Seq: 1)] - [Buildings (Seq: 41)] BIN - Both]&gt;</t>
        </r>
      </text>
    </comment>
    <comment ref="AA231" authorId="0" shapeId="0" xr:uid="{F7E50992-214E-4418-A801-34B4F4C87D21}">
      <text>
        <r>
          <rPr>
            <b/>
            <sz val="9"/>
            <color indexed="81"/>
            <rFont val="Tahoma"/>
            <family val="2"/>
          </rPr>
          <t>&lt;[[DEVDeals] - [Associated TC Deal (Seq: 1)] - [TC Property Current Stage (Seq: 1)] - [Buildings (Seq: 41)] Num TC Units - Both]&gt;</t>
        </r>
      </text>
    </comment>
    <comment ref="AB231" authorId="0" shapeId="0" xr:uid="{41EB24D8-698D-4EB4-B287-9683474467D2}">
      <text>
        <r>
          <rPr>
            <b/>
            <sz val="9"/>
            <color indexed="81"/>
            <rFont val="Tahoma"/>
            <family val="2"/>
          </rPr>
          <t>&lt;[[DEVDeals] - [Associated TC Deal (Seq: 1)] - [TC Property Current Stage (Seq: 1)] - [Buildings (Seq: 41)] - [Buildings - User Defined Field Values (Seq: 1)] Building Info - Total Square Footage - Both]&gt;</t>
        </r>
      </text>
    </comment>
    <comment ref="AC231" authorId="0" shapeId="0" xr:uid="{0F6D368A-26B9-474F-B998-185D5255E983}">
      <text>
        <r>
          <rPr>
            <b/>
            <sz val="9"/>
            <color indexed="81"/>
            <rFont val="Tahoma"/>
            <family val="2"/>
          </rPr>
          <t>&lt;[[DEVDeals] - [Associated TC Deal (Seq: 1)] - [TC Property Current Stage (Seq: 1)] - [Buildings (Seq: 41)] - [Buildings - User Defined Field Values (Seq: 1)] Building Info - Restricted Unit Square Footage - Both]&gt;</t>
        </r>
      </text>
    </comment>
    <comment ref="AD231" authorId="0" shapeId="0" xr:uid="{800EC020-604C-470B-A9A3-61CF4DCAB132}">
      <text>
        <r>
          <rPr>
            <b/>
            <sz val="9"/>
            <color indexed="81"/>
            <rFont val="Tahoma"/>
            <family val="2"/>
          </rPr>
          <t>&lt;[[DEVDeals] - [Associated TC Deal (Seq: 1)] - [TC Property Current Stage (Seq: 1)] - [Buildings (Seq: 41)] Applicable Fraction - Both]&gt;</t>
        </r>
      </text>
    </comment>
    <comment ref="AE231" authorId="0" shapeId="0" xr:uid="{A9EFC946-3888-4B21-BFEE-004FEC5B54AC}">
      <text>
        <r>
          <rPr>
            <b/>
            <sz val="9"/>
            <color indexed="81"/>
            <rFont val="Tahoma"/>
            <family val="2"/>
          </rPr>
          <t>&lt;[[DEVDeals] - [Associated TC Deal (Seq: 1)] - [TC Property Current Stage (Seq: 1)] - [Buildings (Seq: 41)] - [Buildings - User Defined Field Values (Seq: 1)] Building Info - Year Built - Both]&gt;</t>
        </r>
      </text>
    </comment>
    <comment ref="AF231" authorId="0" shapeId="0" xr:uid="{9C995ACC-E922-4CDE-BDDD-706E55360C49}">
      <text>
        <r>
          <rPr>
            <b/>
            <sz val="9"/>
            <color indexed="81"/>
            <rFont val="Tahoma"/>
            <family val="2"/>
          </rPr>
          <t>&lt;[[DEVDeals] - [Associated TC Deal (Seq: 1)] - [TC Property Current Stage (Seq: 1)] - [Buildings (Seq: 41)] - [Buildings - User Defined Field Values (Seq: 1)] Building Info - Building Type - Both]&gt;</t>
        </r>
      </text>
    </comment>
    <comment ref="AG231" authorId="0" shapeId="0" xr:uid="{B9592C90-72BD-4DB8-A3E5-6D0538F99DD4}">
      <text>
        <r>
          <rPr>
            <b/>
            <sz val="9"/>
            <color indexed="81"/>
            <rFont val="Tahoma"/>
            <family val="2"/>
          </rPr>
          <t>&lt;[[DEVDeals] - [Associated TC Deal (Seq: 1)] - [TC Property Current Stage (Seq: 1)] - [Buildings (Seq: 41)] Num Mkt Units - Both]&gt;</t>
        </r>
      </text>
    </comment>
    <comment ref="AH231" authorId="0" shapeId="0" xr:uid="{EE88AEE6-4702-4486-9821-AFF1E099EE1B}">
      <text>
        <r>
          <rPr>
            <b/>
            <sz val="9"/>
            <color indexed="81"/>
            <rFont val="Tahoma"/>
            <family val="2"/>
          </rPr>
          <t>&lt;[[DEVDeals] - [Associated TC Deal (Seq: 1)] - [TC Property Current Stage (Seq: 1)] - [Buildings (Seq: 41)] - [Buildings - User Defined Field Values (Seq: 1)] Building Info - Date Last Placed in Service - Both]&gt;</t>
        </r>
      </text>
    </comment>
    <comment ref="AI231" authorId="0" shapeId="0" xr:uid="{5DF10DE3-73EC-4BCD-8A96-D027F923233F}">
      <text>
        <r>
          <rPr>
            <b/>
            <sz val="9"/>
            <color indexed="81"/>
            <rFont val="Tahoma"/>
            <family val="2"/>
          </rPr>
          <t>&lt;[[DEVDeals] - [Associated TC Deal (Seq: 1)] - [TC Property Current Stage (Seq: 1)] - [Buildings (Seq: 41)] - [Buildings - User Defined Field Values (Seq: 1)] Building Info - Sponsor's Purchase Date - Both]&gt;</t>
        </r>
      </text>
    </comment>
    <comment ref="AJ231" authorId="0" shapeId="0" xr:uid="{2312B377-F9E8-47DF-8B4E-B6CE728A5E37}">
      <text>
        <r>
          <rPr>
            <b/>
            <sz val="9"/>
            <color indexed="81"/>
            <rFont val="Tahoma"/>
            <family val="2"/>
          </rPr>
          <t>&lt;[[DEVDeals] - [Associated TC Deal (Seq: 1)] - [TC Property Current Stage (Seq: 1)] - [Buildings (Seq: 41)] - [Buildings - User Defined Field Values (Seq: 1)] Building Info - Years Between PIS &amp; Purchase Date - Both]&gt;</t>
        </r>
      </text>
    </comment>
    <comment ref="AK231" authorId="0" shapeId="0" xr:uid="{88403F0C-E055-456B-915A-BCB05E14557E}">
      <text>
        <r>
          <rPr>
            <b/>
            <sz val="9"/>
            <color indexed="81"/>
            <rFont val="Tahoma"/>
            <family val="2"/>
          </rPr>
          <t>&lt;[[DEVDeals] - [Associated TC Deal (Seq: 1)] - [TC Property Current Stage (Seq: 1)] - [Buildings (Seq: 41)] Federal Minimum Set Aside Id - Both]&gt;</t>
        </r>
      </text>
    </comment>
    <comment ref="U232" authorId="0" shapeId="0" xr:uid="{0F8FACA5-2D22-4343-9297-858AEEEAC1B6}">
      <text>
        <r>
          <rPr>
            <b/>
            <sz val="9"/>
            <color indexed="81"/>
            <rFont val="Tahoma"/>
            <family val="2"/>
          </rPr>
          <t>&lt;[[DEVDeals] - [Associated TC Deal (Seq: 1)] - [TC Property Current Stage (Seq: 1)] - [Buildings (Seq: 42)] Address 1 - Both]&gt;</t>
        </r>
      </text>
    </comment>
    <comment ref="V232" authorId="0" shapeId="0" xr:uid="{AE35D581-E3EF-480B-97F0-04F3700CD81E}">
      <text>
        <r>
          <rPr>
            <b/>
            <sz val="9"/>
            <color indexed="81"/>
            <rFont val="Tahoma"/>
            <family val="2"/>
          </rPr>
          <t>&lt;[[DEVDeals] - [Associated TC Deal (Seq: 1)] - [TC Property Current Stage (Seq: 1)] - [Buildings (Seq: 42)] City - Both]&gt;</t>
        </r>
      </text>
    </comment>
    <comment ref="W232" authorId="0" shapeId="0" xr:uid="{5E2BD478-5C98-4F81-8314-A8FC4C0ED5CB}">
      <text>
        <r>
          <rPr>
            <b/>
            <sz val="9"/>
            <color indexed="81"/>
            <rFont val="Tahoma"/>
            <family val="2"/>
          </rPr>
          <t>&lt;[[DEVDeals] - [Associated TC Deal (Seq: 1)] - [TC Property Current Stage (Seq: 1)] - [Buildings (Seq: 42)] State - Both]&gt;</t>
        </r>
      </text>
    </comment>
    <comment ref="X232" authorId="0" shapeId="0" xr:uid="{4E43E224-9B4C-4792-BF53-5E2F3FC17463}">
      <text>
        <r>
          <rPr>
            <b/>
            <sz val="9"/>
            <color indexed="81"/>
            <rFont val="Tahoma"/>
            <family val="2"/>
          </rPr>
          <t>&lt;[[DEVDeals] - [Associated TC Deal (Seq: 1)] - [TC Property Current Stage (Seq: 1)] - [Buildings (Seq: 42)] Zip Code - Both]&gt;</t>
        </r>
      </text>
    </comment>
    <comment ref="Y232" authorId="0" shapeId="0" xr:uid="{545C65BF-9756-4F12-AD6F-4CF1668A348C}">
      <text>
        <r>
          <rPr>
            <b/>
            <sz val="9"/>
            <color indexed="81"/>
            <rFont val="Tahoma"/>
            <family val="2"/>
          </rPr>
          <t>&lt;[[DEVDeals] - [Associated TC Deal (Seq: 1)] - [TC Property Current Stage (Seq: 1)] - [Buildings (Seq: 42)] BIN - Both]&gt;</t>
        </r>
      </text>
    </comment>
    <comment ref="AA232" authorId="0" shapeId="0" xr:uid="{D61344E7-5A2F-45F3-80F0-8A120A302D3F}">
      <text>
        <r>
          <rPr>
            <b/>
            <sz val="9"/>
            <color indexed="81"/>
            <rFont val="Tahoma"/>
            <family val="2"/>
          </rPr>
          <t>&lt;[[DEVDeals] - [Associated TC Deal (Seq: 1)] - [TC Property Current Stage (Seq: 1)] - [Buildings (Seq: 42)] Num TC Units - Both]&gt;</t>
        </r>
      </text>
    </comment>
    <comment ref="AB232" authorId="0" shapeId="0" xr:uid="{48CA2855-0797-41BB-B8BB-5B78AFCE090E}">
      <text>
        <r>
          <rPr>
            <b/>
            <sz val="9"/>
            <color indexed="81"/>
            <rFont val="Tahoma"/>
            <family val="2"/>
          </rPr>
          <t>&lt;[[DEVDeals] - [Associated TC Deal (Seq: 1)] - [TC Property Current Stage (Seq: 1)] - [Buildings (Seq: 42)] - [Buildings - User Defined Field Values (Seq: 1)] Building Info - Total Square Footage - Both]&gt;</t>
        </r>
      </text>
    </comment>
    <comment ref="AC232" authorId="0" shapeId="0" xr:uid="{5359EDD5-449A-4F97-BD7E-07D48BAC4ECC}">
      <text>
        <r>
          <rPr>
            <b/>
            <sz val="9"/>
            <color indexed="81"/>
            <rFont val="Tahoma"/>
            <family val="2"/>
          </rPr>
          <t>&lt;[[DEVDeals] - [Associated TC Deal (Seq: 1)] - [TC Property Current Stage (Seq: 1)] - [Buildings (Seq: 42)] - [Buildings - User Defined Field Values (Seq: 1)] Building Info - Restricted Unit Square Footage - Both]&gt;</t>
        </r>
      </text>
    </comment>
    <comment ref="AD232" authorId="0" shapeId="0" xr:uid="{58714E58-AF81-4FA9-8DF1-95DA54D8CD5E}">
      <text>
        <r>
          <rPr>
            <b/>
            <sz val="9"/>
            <color indexed="81"/>
            <rFont val="Tahoma"/>
            <family val="2"/>
          </rPr>
          <t>&lt;[[DEVDeals] - [Associated TC Deal (Seq: 1)] - [TC Property Current Stage (Seq: 1)] - [Buildings (Seq: 42)] Applicable Fraction - Both]&gt;</t>
        </r>
      </text>
    </comment>
    <comment ref="AE232" authorId="0" shapeId="0" xr:uid="{E7BC7A9C-9329-46A8-B317-36C75B125D66}">
      <text>
        <r>
          <rPr>
            <b/>
            <sz val="9"/>
            <color indexed="81"/>
            <rFont val="Tahoma"/>
            <family val="2"/>
          </rPr>
          <t>&lt;[[DEVDeals] - [Associated TC Deal (Seq: 1)] - [TC Property Current Stage (Seq: 1)] - [Buildings (Seq: 42)] - [Buildings - User Defined Field Values (Seq: 1)] Building Info - Year Built - Both]&gt;</t>
        </r>
      </text>
    </comment>
    <comment ref="AF232" authorId="0" shapeId="0" xr:uid="{2E2C11CC-F56E-4A25-A7CD-85F35520727F}">
      <text>
        <r>
          <rPr>
            <b/>
            <sz val="9"/>
            <color indexed="81"/>
            <rFont val="Tahoma"/>
            <family val="2"/>
          </rPr>
          <t>&lt;[[DEVDeals] - [Associated TC Deal (Seq: 1)] - [TC Property Current Stage (Seq: 1)] - [Buildings (Seq: 42)] - [Buildings - User Defined Field Values (Seq: 1)] Building Info - Building Type - Both]&gt;</t>
        </r>
      </text>
    </comment>
    <comment ref="AG232" authorId="0" shapeId="0" xr:uid="{F6EFEA5B-9CF5-46CE-955E-58C8CBCE6D00}">
      <text>
        <r>
          <rPr>
            <b/>
            <sz val="9"/>
            <color indexed="81"/>
            <rFont val="Tahoma"/>
            <family val="2"/>
          </rPr>
          <t>&lt;[[DEVDeals] - [Associated TC Deal (Seq: 1)] - [TC Property Current Stage (Seq: 1)] - [Buildings (Seq: 42)] Num Mkt Units - Both]&gt;</t>
        </r>
      </text>
    </comment>
    <comment ref="AH232" authorId="0" shapeId="0" xr:uid="{AE6A9DF8-4E42-4C54-A14E-D35CCB46D8BA}">
      <text>
        <r>
          <rPr>
            <b/>
            <sz val="9"/>
            <color indexed="81"/>
            <rFont val="Tahoma"/>
            <family val="2"/>
          </rPr>
          <t>&lt;[[DEVDeals] - [Associated TC Deal (Seq: 1)] - [TC Property Current Stage (Seq: 1)] - [Buildings (Seq: 42)] - [Buildings - User Defined Field Values (Seq: 1)] Building Info - Date Last Placed in Service - Both]&gt;</t>
        </r>
      </text>
    </comment>
    <comment ref="AI232" authorId="0" shapeId="0" xr:uid="{C5A643E6-0757-49C2-B96C-2FEDFBB3EEF9}">
      <text>
        <r>
          <rPr>
            <b/>
            <sz val="9"/>
            <color indexed="81"/>
            <rFont val="Tahoma"/>
            <family val="2"/>
          </rPr>
          <t>&lt;[[DEVDeals] - [Associated TC Deal (Seq: 1)] - [TC Property Current Stage (Seq: 1)] - [Buildings (Seq: 42)] - [Buildings - User Defined Field Values (Seq: 1)] Building Info - Sponsor's Purchase Date - Both]&gt;</t>
        </r>
      </text>
    </comment>
    <comment ref="AJ232" authorId="0" shapeId="0" xr:uid="{2431EB3C-38A7-4B66-B029-BDE7849CD6E3}">
      <text>
        <r>
          <rPr>
            <b/>
            <sz val="9"/>
            <color indexed="81"/>
            <rFont val="Tahoma"/>
            <family val="2"/>
          </rPr>
          <t>&lt;[[DEVDeals] - [Associated TC Deal (Seq: 1)] - [TC Property Current Stage (Seq: 1)] - [Buildings (Seq: 42)] - [Buildings - User Defined Field Values (Seq: 1)] Building Info - Years Between PIS &amp; Purchase Date - Both]&gt;</t>
        </r>
      </text>
    </comment>
    <comment ref="AK232" authorId="0" shapeId="0" xr:uid="{F31A94B6-9317-4616-8F86-E2A732E5DF95}">
      <text>
        <r>
          <rPr>
            <b/>
            <sz val="9"/>
            <color indexed="81"/>
            <rFont val="Tahoma"/>
            <family val="2"/>
          </rPr>
          <t>&lt;[[DEVDeals] - [Associated TC Deal (Seq: 1)] - [TC Property Current Stage (Seq: 1)] - [Buildings (Seq: 42)] Federal Minimum Set Aside Id - Both]&gt;</t>
        </r>
      </text>
    </comment>
    <comment ref="U233" authorId="0" shapeId="0" xr:uid="{189FF7D3-A264-401A-A612-43E215B2E478}">
      <text>
        <r>
          <rPr>
            <b/>
            <sz val="9"/>
            <color indexed="81"/>
            <rFont val="Tahoma"/>
            <family val="2"/>
          </rPr>
          <t>&lt;[[DEVDeals] - [Associated TC Deal (Seq: 1)] - [TC Property Current Stage (Seq: 1)] - [Buildings (Seq: 43)] Address 1 - Both]&gt;</t>
        </r>
      </text>
    </comment>
    <comment ref="V233" authorId="0" shapeId="0" xr:uid="{B032F1F7-671F-4B9C-94D7-8A6031FB685A}">
      <text>
        <r>
          <rPr>
            <b/>
            <sz val="9"/>
            <color indexed="81"/>
            <rFont val="Tahoma"/>
            <family val="2"/>
          </rPr>
          <t>&lt;[[DEVDeals] - [Associated TC Deal (Seq: 1)] - [TC Property Current Stage (Seq: 1)] - [Buildings (Seq: 43)] City - Both]&gt;</t>
        </r>
      </text>
    </comment>
    <comment ref="W233" authorId="0" shapeId="0" xr:uid="{7446265B-AF94-488C-8C54-1B640C770C2E}">
      <text>
        <r>
          <rPr>
            <b/>
            <sz val="9"/>
            <color indexed="81"/>
            <rFont val="Tahoma"/>
            <family val="2"/>
          </rPr>
          <t>&lt;[[DEVDeals] - [Associated TC Deal (Seq: 1)] - [TC Property Current Stage (Seq: 1)] - [Buildings (Seq: 43)] State - Both]&gt;</t>
        </r>
      </text>
    </comment>
    <comment ref="X233" authorId="0" shapeId="0" xr:uid="{E1BB9359-1732-45CE-AE36-BC5F4FB10214}">
      <text>
        <r>
          <rPr>
            <b/>
            <sz val="9"/>
            <color indexed="81"/>
            <rFont val="Tahoma"/>
            <family val="2"/>
          </rPr>
          <t>&lt;[[DEVDeals] - [Associated TC Deal (Seq: 1)] - [TC Property Current Stage (Seq: 1)] - [Buildings (Seq: 43)] Zip Code - Both]&gt;</t>
        </r>
      </text>
    </comment>
    <comment ref="Y233" authorId="0" shapeId="0" xr:uid="{672B207D-42EA-4BF9-9844-0DD21664510F}">
      <text>
        <r>
          <rPr>
            <b/>
            <sz val="9"/>
            <color indexed="81"/>
            <rFont val="Tahoma"/>
            <family val="2"/>
          </rPr>
          <t>&lt;[[DEVDeals] - [Associated TC Deal (Seq: 1)] - [TC Property Current Stage (Seq: 1)] - [Buildings (Seq: 43)] BIN - Both]&gt;</t>
        </r>
      </text>
    </comment>
    <comment ref="AA233" authorId="0" shapeId="0" xr:uid="{67835273-1AA3-40EF-901E-08D55210D8B0}">
      <text>
        <r>
          <rPr>
            <b/>
            <sz val="9"/>
            <color indexed="81"/>
            <rFont val="Tahoma"/>
            <family val="2"/>
          </rPr>
          <t>&lt;[[DEVDeals] - [Associated TC Deal (Seq: 1)] - [TC Property Current Stage (Seq: 1)] - [Buildings (Seq: 43)] Num TC Units - Both]&gt;</t>
        </r>
      </text>
    </comment>
    <comment ref="AB233" authorId="0" shapeId="0" xr:uid="{D634A95E-CF7E-4296-907C-E7B3F7A13872}">
      <text>
        <r>
          <rPr>
            <b/>
            <sz val="9"/>
            <color indexed="81"/>
            <rFont val="Tahoma"/>
            <family val="2"/>
          </rPr>
          <t>&lt;[[DEVDeals] - [Associated TC Deal (Seq: 1)] - [TC Property Current Stage (Seq: 1)] - [Buildings (Seq: 43)] - [Buildings - User Defined Field Values (Seq: 1)] Building Info - Total Square Footage - Both]&gt;</t>
        </r>
      </text>
    </comment>
    <comment ref="AC233" authorId="0" shapeId="0" xr:uid="{8495369E-46AA-43FF-A492-2D04720B1B7B}">
      <text>
        <r>
          <rPr>
            <b/>
            <sz val="9"/>
            <color indexed="81"/>
            <rFont val="Tahoma"/>
            <family val="2"/>
          </rPr>
          <t>&lt;[[DEVDeals] - [Associated TC Deal (Seq: 1)] - [TC Property Current Stage (Seq: 1)] - [Buildings (Seq: 43)] - [Buildings - User Defined Field Values (Seq: 1)] Building Info - Restricted Unit Square Footage - Both]&gt;</t>
        </r>
      </text>
    </comment>
    <comment ref="AD233" authorId="0" shapeId="0" xr:uid="{C9F577A4-50E6-491A-A398-A78AC2325A17}">
      <text>
        <r>
          <rPr>
            <b/>
            <sz val="9"/>
            <color indexed="81"/>
            <rFont val="Tahoma"/>
            <family val="2"/>
          </rPr>
          <t>&lt;[[DEVDeals] - [Associated TC Deal (Seq: 1)] - [TC Property Current Stage (Seq: 1)] - [Buildings (Seq: 43)] Applicable Fraction - Both]&gt;</t>
        </r>
      </text>
    </comment>
    <comment ref="AE233" authorId="0" shapeId="0" xr:uid="{E278859D-714B-4AFB-9D24-BDCA0BFFFDA5}">
      <text>
        <r>
          <rPr>
            <b/>
            <sz val="9"/>
            <color indexed="81"/>
            <rFont val="Tahoma"/>
            <family val="2"/>
          </rPr>
          <t>&lt;[[DEVDeals] - [Associated TC Deal (Seq: 1)] - [TC Property Current Stage (Seq: 1)] - [Buildings (Seq: 43)] - [Buildings - User Defined Field Values (Seq: 1)] Building Info - Year Built - Both]&gt;</t>
        </r>
      </text>
    </comment>
    <comment ref="AF233" authorId="0" shapeId="0" xr:uid="{59E8B724-665D-4598-9029-D283DF106DC2}">
      <text>
        <r>
          <rPr>
            <b/>
            <sz val="9"/>
            <color indexed="81"/>
            <rFont val="Tahoma"/>
            <family val="2"/>
          </rPr>
          <t>&lt;[[DEVDeals] - [Associated TC Deal (Seq: 1)] - [TC Property Current Stage (Seq: 1)] - [Buildings (Seq: 43)] - [Buildings - User Defined Field Values (Seq: 1)] Building Info - Building Type - Both]&gt;</t>
        </r>
      </text>
    </comment>
    <comment ref="AG233" authorId="0" shapeId="0" xr:uid="{5932C06E-524E-4A5E-8AD8-E803649C7554}">
      <text>
        <r>
          <rPr>
            <b/>
            <sz val="9"/>
            <color indexed="81"/>
            <rFont val="Tahoma"/>
            <family val="2"/>
          </rPr>
          <t>&lt;[[DEVDeals] - [Associated TC Deal (Seq: 1)] - [TC Property Current Stage (Seq: 1)] - [Buildings (Seq: 43)] Num Mkt Units - Both]&gt;</t>
        </r>
      </text>
    </comment>
    <comment ref="AH233" authorId="0" shapeId="0" xr:uid="{F24AD079-AEB3-425B-9C70-B441440975AD}">
      <text>
        <r>
          <rPr>
            <b/>
            <sz val="9"/>
            <color indexed="81"/>
            <rFont val="Tahoma"/>
            <family val="2"/>
          </rPr>
          <t>&lt;[[DEVDeals] - [Associated TC Deal (Seq: 1)] - [TC Property Current Stage (Seq: 1)] - [Buildings (Seq: 43)] - [Buildings - User Defined Field Values (Seq: 1)] Building Info - Date Last Placed in Service - Both]&gt;</t>
        </r>
      </text>
    </comment>
    <comment ref="AI233" authorId="0" shapeId="0" xr:uid="{D7670910-A3D2-453F-A383-55FA7FC03E04}">
      <text>
        <r>
          <rPr>
            <b/>
            <sz val="9"/>
            <color indexed="81"/>
            <rFont val="Tahoma"/>
            <family val="2"/>
          </rPr>
          <t>&lt;[[DEVDeals] - [Associated TC Deal (Seq: 1)] - [TC Property Current Stage (Seq: 1)] - [Buildings (Seq: 43)] - [Buildings - User Defined Field Values (Seq: 1)] Building Info - Sponsor's Purchase Date - Both]&gt;</t>
        </r>
      </text>
    </comment>
    <comment ref="AJ233" authorId="0" shapeId="0" xr:uid="{D6A7B78A-A2CE-4CA5-9BDD-7485952C92FC}">
      <text>
        <r>
          <rPr>
            <b/>
            <sz val="9"/>
            <color indexed="81"/>
            <rFont val="Tahoma"/>
            <family val="2"/>
          </rPr>
          <t>&lt;[[DEVDeals] - [Associated TC Deal (Seq: 1)] - [TC Property Current Stage (Seq: 1)] - [Buildings (Seq: 43)] - [Buildings - User Defined Field Values (Seq: 1)] Building Info - Years Between PIS &amp; Purchase Date - Both]&gt;</t>
        </r>
      </text>
    </comment>
    <comment ref="AK233" authorId="0" shapeId="0" xr:uid="{F206D747-2BE5-4851-97AC-9DE5E1AFEC30}">
      <text>
        <r>
          <rPr>
            <b/>
            <sz val="9"/>
            <color indexed="81"/>
            <rFont val="Tahoma"/>
            <family val="2"/>
          </rPr>
          <t>&lt;[[DEVDeals] - [Associated TC Deal (Seq: 1)] - [TC Property Current Stage (Seq: 1)] - [Buildings (Seq: 43)] Federal Minimum Set Aside Id - Both]&gt;</t>
        </r>
      </text>
    </comment>
    <comment ref="U234" authorId="0" shapeId="0" xr:uid="{2CF9B1EB-7C5B-4BAF-BCCF-EDB4C1E61343}">
      <text>
        <r>
          <rPr>
            <b/>
            <sz val="9"/>
            <color indexed="81"/>
            <rFont val="Tahoma"/>
            <family val="2"/>
          </rPr>
          <t>&lt;[[DEVDeals] - [Associated TC Deal (Seq: 1)] - [TC Property Current Stage (Seq: 1)] - [Buildings (Seq: 44)] Address 1 - Both]&gt;</t>
        </r>
      </text>
    </comment>
    <comment ref="V234" authorId="0" shapeId="0" xr:uid="{AF4F6B72-5C3F-4F2A-BB6F-CE787D0395C6}">
      <text>
        <r>
          <rPr>
            <b/>
            <sz val="9"/>
            <color indexed="81"/>
            <rFont val="Tahoma"/>
            <family val="2"/>
          </rPr>
          <t>&lt;[[DEVDeals] - [Associated TC Deal (Seq: 1)] - [TC Property Current Stage (Seq: 1)] - [Buildings (Seq: 44)] City - Both]&gt;</t>
        </r>
      </text>
    </comment>
    <comment ref="W234" authorId="0" shapeId="0" xr:uid="{D47241DA-ECA9-45F2-B2C5-BC947D9D6BEA}">
      <text>
        <r>
          <rPr>
            <b/>
            <sz val="9"/>
            <color indexed="81"/>
            <rFont val="Tahoma"/>
            <family val="2"/>
          </rPr>
          <t>&lt;[[DEVDeals] - [Associated TC Deal (Seq: 1)] - [TC Property Current Stage (Seq: 1)] - [Buildings (Seq: 44)] State - Both]&gt;</t>
        </r>
      </text>
    </comment>
    <comment ref="X234" authorId="0" shapeId="0" xr:uid="{7A3FEC9B-59F2-42E7-B90C-C419FF8C407A}">
      <text>
        <r>
          <rPr>
            <b/>
            <sz val="9"/>
            <color indexed="81"/>
            <rFont val="Tahoma"/>
            <family val="2"/>
          </rPr>
          <t>&lt;[[DEVDeals] - [Associated TC Deal (Seq: 1)] - [TC Property Current Stage (Seq: 1)] - [Buildings (Seq: 44)] Zip Code - Both]&gt;</t>
        </r>
      </text>
    </comment>
    <comment ref="Y234" authorId="0" shapeId="0" xr:uid="{44A46AD1-33B0-4A41-B1C7-C1A5340962BE}">
      <text>
        <r>
          <rPr>
            <b/>
            <sz val="9"/>
            <color indexed="81"/>
            <rFont val="Tahoma"/>
            <family val="2"/>
          </rPr>
          <t>&lt;[[DEVDeals] - [Associated TC Deal (Seq: 1)] - [TC Property Current Stage (Seq: 1)] - [Buildings (Seq: 44)] BIN - Both]&gt;</t>
        </r>
      </text>
    </comment>
    <comment ref="AA234" authorId="0" shapeId="0" xr:uid="{D1C52331-ACDB-4400-AFA9-BAA7DE97D6CF}">
      <text>
        <r>
          <rPr>
            <b/>
            <sz val="9"/>
            <color indexed="81"/>
            <rFont val="Tahoma"/>
            <family val="2"/>
          </rPr>
          <t>&lt;[[DEVDeals] - [Associated TC Deal (Seq: 1)] - [TC Property Current Stage (Seq: 1)] - [Buildings (Seq: 44)] Num TC Units - Both]&gt;</t>
        </r>
      </text>
    </comment>
    <comment ref="AB234" authorId="0" shapeId="0" xr:uid="{5C8BAB48-B727-4FCE-BC8A-6EA327684371}">
      <text>
        <r>
          <rPr>
            <b/>
            <sz val="9"/>
            <color indexed="81"/>
            <rFont val="Tahoma"/>
            <family val="2"/>
          </rPr>
          <t>&lt;[[DEVDeals] - [Associated TC Deal (Seq: 1)] - [TC Property Current Stage (Seq: 1)] - [Buildings (Seq: 44)] - [Buildings - User Defined Field Values (Seq: 1)] Building Info - Total Square Footage - Both]&gt;</t>
        </r>
      </text>
    </comment>
    <comment ref="AC234" authorId="0" shapeId="0" xr:uid="{D2AF9C63-264D-452C-8B5D-B1F58065AFEE}">
      <text>
        <r>
          <rPr>
            <b/>
            <sz val="9"/>
            <color indexed="81"/>
            <rFont val="Tahoma"/>
            <family val="2"/>
          </rPr>
          <t>&lt;[[DEVDeals] - [Associated TC Deal (Seq: 1)] - [TC Property Current Stage (Seq: 1)] - [Buildings (Seq: 44)] - [Buildings - User Defined Field Values (Seq: 1)] Building Info - Restricted Unit Square Footage - Both]&gt;</t>
        </r>
      </text>
    </comment>
    <comment ref="AD234" authorId="0" shapeId="0" xr:uid="{A710A421-4EDF-4DCA-9F84-9974FA2C1A27}">
      <text>
        <r>
          <rPr>
            <b/>
            <sz val="9"/>
            <color indexed="81"/>
            <rFont val="Tahoma"/>
            <family val="2"/>
          </rPr>
          <t>&lt;[[DEVDeals] - [Associated TC Deal (Seq: 1)] - [TC Property Current Stage (Seq: 1)] - [Buildings (Seq: 44)] Applicable Fraction - Both]&gt;</t>
        </r>
      </text>
    </comment>
    <comment ref="AE234" authorId="0" shapeId="0" xr:uid="{5D2328ED-23F2-4F6A-AEDC-282A2BB56B16}">
      <text>
        <r>
          <rPr>
            <b/>
            <sz val="9"/>
            <color indexed="81"/>
            <rFont val="Tahoma"/>
            <family val="2"/>
          </rPr>
          <t>&lt;[[DEVDeals] - [Associated TC Deal (Seq: 1)] - [TC Property Current Stage (Seq: 1)] - [Buildings (Seq: 44)] - [Buildings - User Defined Field Values (Seq: 1)] Building Info - Year Built - Both]&gt;</t>
        </r>
      </text>
    </comment>
    <comment ref="AF234" authorId="0" shapeId="0" xr:uid="{F2A4364C-61BE-44C7-A97B-E5A0F78CAC33}">
      <text>
        <r>
          <rPr>
            <b/>
            <sz val="9"/>
            <color indexed="81"/>
            <rFont val="Tahoma"/>
            <family val="2"/>
          </rPr>
          <t>&lt;[[DEVDeals] - [Associated TC Deal (Seq: 1)] - [TC Property Current Stage (Seq: 1)] - [Buildings (Seq: 44)] - [Buildings - User Defined Field Values (Seq: 1)] Building Info - Building Type - Both]&gt;</t>
        </r>
      </text>
    </comment>
    <comment ref="AG234" authorId="0" shapeId="0" xr:uid="{E41BF1A1-6765-46DA-98F4-7A4D2E6C27F5}">
      <text>
        <r>
          <rPr>
            <b/>
            <sz val="9"/>
            <color indexed="81"/>
            <rFont val="Tahoma"/>
            <family val="2"/>
          </rPr>
          <t>&lt;[[DEVDeals] - [Associated TC Deal (Seq: 1)] - [TC Property Current Stage (Seq: 1)] - [Buildings (Seq: 44)] Num Mkt Units - Both]&gt;</t>
        </r>
      </text>
    </comment>
    <comment ref="AH234" authorId="0" shapeId="0" xr:uid="{9B0138FE-3081-405C-BB04-90D703F75C60}">
      <text>
        <r>
          <rPr>
            <b/>
            <sz val="9"/>
            <color indexed="81"/>
            <rFont val="Tahoma"/>
            <family val="2"/>
          </rPr>
          <t>&lt;[[DEVDeals] - [Associated TC Deal (Seq: 1)] - [TC Property Current Stage (Seq: 1)] - [Buildings (Seq: 44)] - [Buildings - User Defined Field Values (Seq: 1)] Building Info - Date Last Placed in Service - Both]&gt;</t>
        </r>
      </text>
    </comment>
    <comment ref="AI234" authorId="0" shapeId="0" xr:uid="{54EE09D4-519E-402B-8686-7684BFC5670A}">
      <text>
        <r>
          <rPr>
            <b/>
            <sz val="9"/>
            <color indexed="81"/>
            <rFont val="Tahoma"/>
            <family val="2"/>
          </rPr>
          <t>&lt;[[DEVDeals] - [Associated TC Deal (Seq: 1)] - [TC Property Current Stage (Seq: 1)] - [Buildings (Seq: 44)] - [Buildings - User Defined Field Values (Seq: 1)] Building Info - Sponsor's Purchase Date - Both]&gt;</t>
        </r>
      </text>
    </comment>
    <comment ref="AJ234" authorId="0" shapeId="0" xr:uid="{9CB73005-28B0-4644-B347-40D04A6D2C61}">
      <text>
        <r>
          <rPr>
            <b/>
            <sz val="9"/>
            <color indexed="81"/>
            <rFont val="Tahoma"/>
            <family val="2"/>
          </rPr>
          <t>&lt;[[DEVDeals] - [Associated TC Deal (Seq: 1)] - [TC Property Current Stage (Seq: 1)] - [Buildings (Seq: 44)] - [Buildings - User Defined Field Values (Seq: 1)] Building Info - Years Between PIS &amp; Purchase Date - Both]&gt;</t>
        </r>
      </text>
    </comment>
    <comment ref="AK234" authorId="0" shapeId="0" xr:uid="{23A9A48C-1095-46A3-B9BB-F59549AFC9AD}">
      <text>
        <r>
          <rPr>
            <b/>
            <sz val="9"/>
            <color indexed="81"/>
            <rFont val="Tahoma"/>
            <family val="2"/>
          </rPr>
          <t>&lt;[[DEVDeals] - [Associated TC Deal (Seq: 1)] - [TC Property Current Stage (Seq: 1)] - [Buildings (Seq: 44)] Federal Minimum Set Aside Id - Both]&gt;</t>
        </r>
      </text>
    </comment>
    <comment ref="U235" authorId="0" shapeId="0" xr:uid="{F4D00B97-77D7-4097-8FD2-8B959BB59A17}">
      <text>
        <r>
          <rPr>
            <b/>
            <sz val="9"/>
            <color indexed="81"/>
            <rFont val="Tahoma"/>
            <family val="2"/>
          </rPr>
          <t>&lt;[[DEVDeals] - [Associated TC Deal (Seq: 1)] - [TC Property Current Stage (Seq: 1)] - [Buildings (Seq: 45)] Address 1 - Both]&gt;</t>
        </r>
      </text>
    </comment>
    <comment ref="V235" authorId="0" shapeId="0" xr:uid="{83D68C7C-E125-4373-A01A-0652754DDFB9}">
      <text>
        <r>
          <rPr>
            <b/>
            <sz val="9"/>
            <color indexed="81"/>
            <rFont val="Tahoma"/>
            <family val="2"/>
          </rPr>
          <t>&lt;[[DEVDeals] - [Associated TC Deal (Seq: 1)] - [TC Property Current Stage (Seq: 1)] - [Buildings (Seq: 45)] City - Both]&gt;</t>
        </r>
      </text>
    </comment>
    <comment ref="W235" authorId="0" shapeId="0" xr:uid="{0C327859-2FE3-4701-B82A-588FA401FC38}">
      <text>
        <r>
          <rPr>
            <b/>
            <sz val="9"/>
            <color indexed="81"/>
            <rFont val="Tahoma"/>
            <family val="2"/>
          </rPr>
          <t>&lt;[[DEVDeals] - [Associated TC Deal (Seq: 1)] - [TC Property Current Stage (Seq: 1)] - [Buildings (Seq: 45)] State - Both]&gt;</t>
        </r>
      </text>
    </comment>
    <comment ref="X235" authorId="0" shapeId="0" xr:uid="{03710BA6-DE83-46F1-AED2-0543D4F3DC38}">
      <text>
        <r>
          <rPr>
            <b/>
            <sz val="9"/>
            <color indexed="81"/>
            <rFont val="Tahoma"/>
            <family val="2"/>
          </rPr>
          <t>&lt;[[DEVDeals] - [Associated TC Deal (Seq: 1)] - [TC Property Current Stage (Seq: 1)] - [Buildings (Seq: 45)] Zip Code - Both]&gt;</t>
        </r>
      </text>
    </comment>
    <comment ref="Y235" authorId="0" shapeId="0" xr:uid="{FA7ADC3D-BD56-4D53-8478-DFAC23A9D542}">
      <text>
        <r>
          <rPr>
            <b/>
            <sz val="9"/>
            <color indexed="81"/>
            <rFont val="Tahoma"/>
            <family val="2"/>
          </rPr>
          <t>&lt;[[DEVDeals] - [Associated TC Deal (Seq: 1)] - [TC Property Current Stage (Seq: 1)] - [Buildings (Seq: 45)] BIN - Both]&gt;</t>
        </r>
      </text>
    </comment>
    <comment ref="AA235" authorId="0" shapeId="0" xr:uid="{70A49469-3327-4EE6-A249-2340CB210D78}">
      <text>
        <r>
          <rPr>
            <b/>
            <sz val="9"/>
            <color indexed="81"/>
            <rFont val="Tahoma"/>
            <family val="2"/>
          </rPr>
          <t>&lt;[[DEVDeals] - [Associated TC Deal (Seq: 1)] - [TC Property Current Stage (Seq: 1)] - [Buildings (Seq: 45)] Num TC Units - Both]&gt;</t>
        </r>
      </text>
    </comment>
    <comment ref="AB235" authorId="0" shapeId="0" xr:uid="{A28254D6-792F-40B4-B9A7-9F24DC6FE23C}">
      <text>
        <r>
          <rPr>
            <b/>
            <sz val="9"/>
            <color indexed="81"/>
            <rFont val="Tahoma"/>
            <family val="2"/>
          </rPr>
          <t>&lt;[[DEVDeals] - [Associated TC Deal (Seq: 1)] - [TC Property Current Stage (Seq: 1)] - [Buildings (Seq: 45)] - [Buildings - User Defined Field Values (Seq: 1)] Building Info - Total Square Footage - Both]&gt;</t>
        </r>
      </text>
    </comment>
    <comment ref="AC235" authorId="0" shapeId="0" xr:uid="{1BBD5316-8DAD-4D1E-9A5A-BE19181EC5AC}">
      <text>
        <r>
          <rPr>
            <b/>
            <sz val="9"/>
            <color indexed="81"/>
            <rFont val="Tahoma"/>
            <family val="2"/>
          </rPr>
          <t>&lt;[[DEVDeals] - [Associated TC Deal (Seq: 1)] - [TC Property Current Stage (Seq: 1)] - [Buildings (Seq: 45)] - [Buildings - User Defined Field Values (Seq: 1)] Building Info - Restricted Unit Square Footage - Both]&gt;</t>
        </r>
      </text>
    </comment>
    <comment ref="AD235" authorId="0" shapeId="0" xr:uid="{BF954AFC-5909-434E-9777-655ADD1164AB}">
      <text>
        <r>
          <rPr>
            <b/>
            <sz val="9"/>
            <color indexed="81"/>
            <rFont val="Tahoma"/>
            <family val="2"/>
          </rPr>
          <t>&lt;[[DEVDeals] - [Associated TC Deal (Seq: 1)] - [TC Property Current Stage (Seq: 1)] - [Buildings (Seq: 45)] Applicable Fraction - Both]&gt;</t>
        </r>
      </text>
    </comment>
    <comment ref="AE235" authorId="0" shapeId="0" xr:uid="{850A3591-8911-4AAB-ADB0-32C9318D078F}">
      <text>
        <r>
          <rPr>
            <b/>
            <sz val="9"/>
            <color indexed="81"/>
            <rFont val="Tahoma"/>
            <family val="2"/>
          </rPr>
          <t>&lt;[[DEVDeals] - [Associated TC Deal (Seq: 1)] - [TC Property Current Stage (Seq: 1)] - [Buildings (Seq: 45)] - [Buildings - User Defined Field Values (Seq: 1)] Building Info - Year Built - Both]&gt;</t>
        </r>
      </text>
    </comment>
    <comment ref="AF235" authorId="0" shapeId="0" xr:uid="{2B844BE2-0BB1-45AE-9284-D617B1AC46E2}">
      <text>
        <r>
          <rPr>
            <b/>
            <sz val="9"/>
            <color indexed="81"/>
            <rFont val="Tahoma"/>
            <family val="2"/>
          </rPr>
          <t>&lt;[[DEVDeals] - [Associated TC Deal (Seq: 1)] - [TC Property Current Stage (Seq: 1)] - [Buildings (Seq: 45)] - [Buildings - User Defined Field Values (Seq: 1)] Building Info - Building Type - Both]&gt;</t>
        </r>
      </text>
    </comment>
    <comment ref="AG235" authorId="0" shapeId="0" xr:uid="{0229B1CE-3957-4D1B-828C-94EE89E2E6AD}">
      <text>
        <r>
          <rPr>
            <b/>
            <sz val="9"/>
            <color indexed="81"/>
            <rFont val="Tahoma"/>
            <family val="2"/>
          </rPr>
          <t>&lt;[[DEVDeals] - [Associated TC Deal (Seq: 1)] - [TC Property Current Stage (Seq: 1)] - [Buildings (Seq: 45)] Num Mkt Units - Both]&gt;</t>
        </r>
      </text>
    </comment>
    <comment ref="AH235" authorId="0" shapeId="0" xr:uid="{6B70D65C-CE83-4CA0-8605-5063B34296FC}">
      <text>
        <r>
          <rPr>
            <b/>
            <sz val="9"/>
            <color indexed="81"/>
            <rFont val="Tahoma"/>
            <family val="2"/>
          </rPr>
          <t>&lt;[[DEVDeals] - [Associated TC Deal (Seq: 1)] - [TC Property Current Stage (Seq: 1)] - [Buildings (Seq: 45)] - [Buildings - User Defined Field Values (Seq: 1)] Building Info - Date Last Placed in Service - Both]&gt;</t>
        </r>
      </text>
    </comment>
    <comment ref="AI235" authorId="0" shapeId="0" xr:uid="{AD15EB12-9B57-4123-A8A5-EA6A4D7B55A0}">
      <text>
        <r>
          <rPr>
            <b/>
            <sz val="9"/>
            <color indexed="81"/>
            <rFont val="Tahoma"/>
            <family val="2"/>
          </rPr>
          <t>&lt;[[DEVDeals] - [Associated TC Deal (Seq: 1)] - [TC Property Current Stage (Seq: 1)] - [Buildings (Seq: 45)] - [Buildings - User Defined Field Values (Seq: 1)] Building Info - Sponsor's Purchase Date - Both]&gt;</t>
        </r>
      </text>
    </comment>
    <comment ref="AJ235" authorId="0" shapeId="0" xr:uid="{27C02766-300D-4765-A936-CB7D4AF84C7A}">
      <text>
        <r>
          <rPr>
            <b/>
            <sz val="9"/>
            <color indexed="81"/>
            <rFont val="Tahoma"/>
            <family val="2"/>
          </rPr>
          <t>&lt;[[DEVDeals] - [Associated TC Deal (Seq: 1)] - [TC Property Current Stage (Seq: 1)] - [Buildings (Seq: 45)] - [Buildings - User Defined Field Values (Seq: 1)] Building Info - Years Between PIS &amp; Purchase Date - Both]&gt;</t>
        </r>
      </text>
    </comment>
    <comment ref="AK235" authorId="0" shapeId="0" xr:uid="{D3A995D6-FAEC-4E56-BC5F-5917D1312EE8}">
      <text>
        <r>
          <rPr>
            <b/>
            <sz val="9"/>
            <color indexed="81"/>
            <rFont val="Tahoma"/>
            <family val="2"/>
          </rPr>
          <t>&lt;[[DEVDeals] - [Associated TC Deal (Seq: 1)] - [TC Property Current Stage (Seq: 1)] - [Buildings (Seq: 45)] Federal Minimum Set Aside Id - Both]&gt;</t>
        </r>
      </text>
    </comment>
    <comment ref="U236" authorId="0" shapeId="0" xr:uid="{9AFE80F6-4D51-42EC-939D-998477FDECEC}">
      <text>
        <r>
          <rPr>
            <b/>
            <sz val="9"/>
            <color indexed="81"/>
            <rFont val="Tahoma"/>
            <family val="2"/>
          </rPr>
          <t>&lt;[[DEVDeals] - [Associated TC Deal (Seq: 1)] - [TC Property Current Stage (Seq: 1)] - [Buildings (Seq: 46)] Address 1 - Both]&gt;</t>
        </r>
      </text>
    </comment>
    <comment ref="V236" authorId="0" shapeId="0" xr:uid="{E61F98C5-F6C1-4406-9D44-F4E5B1F4FD6E}">
      <text>
        <r>
          <rPr>
            <b/>
            <sz val="9"/>
            <color indexed="81"/>
            <rFont val="Tahoma"/>
            <family val="2"/>
          </rPr>
          <t>&lt;[[DEVDeals] - [Associated TC Deal (Seq: 1)] - [TC Property Current Stage (Seq: 1)] - [Buildings (Seq: 46)] City - Both]&gt;</t>
        </r>
      </text>
    </comment>
    <comment ref="W236" authorId="0" shapeId="0" xr:uid="{BED7AEEF-639F-4917-8EAA-1CFCBEA48A61}">
      <text>
        <r>
          <rPr>
            <b/>
            <sz val="9"/>
            <color indexed="81"/>
            <rFont val="Tahoma"/>
            <family val="2"/>
          </rPr>
          <t>&lt;[[DEVDeals] - [Associated TC Deal (Seq: 1)] - [TC Property Current Stage (Seq: 1)] - [Buildings (Seq: 46)] State - Both]&gt;</t>
        </r>
      </text>
    </comment>
    <comment ref="X236" authorId="0" shapeId="0" xr:uid="{595B279E-5DD2-41C6-8737-8968D956B07A}">
      <text>
        <r>
          <rPr>
            <b/>
            <sz val="9"/>
            <color indexed="81"/>
            <rFont val="Tahoma"/>
            <family val="2"/>
          </rPr>
          <t>&lt;[[DEVDeals] - [Associated TC Deal (Seq: 1)] - [TC Property Current Stage (Seq: 1)] - [Buildings (Seq: 46)] Zip Code - Both]&gt;</t>
        </r>
      </text>
    </comment>
    <comment ref="Y236" authorId="0" shapeId="0" xr:uid="{DAA8B0E8-201B-47DA-8AA5-D3AAC09DFC91}">
      <text>
        <r>
          <rPr>
            <b/>
            <sz val="9"/>
            <color indexed="81"/>
            <rFont val="Tahoma"/>
            <family val="2"/>
          </rPr>
          <t>&lt;[[DEVDeals] - [Associated TC Deal (Seq: 1)] - [TC Property Current Stage (Seq: 1)] - [Buildings (Seq: 46)] BIN - Both]&gt;</t>
        </r>
      </text>
    </comment>
    <comment ref="AA236" authorId="0" shapeId="0" xr:uid="{1BEBEF75-ACDB-4B26-8B20-16AEE88942D2}">
      <text>
        <r>
          <rPr>
            <b/>
            <sz val="9"/>
            <color indexed="81"/>
            <rFont val="Tahoma"/>
            <family val="2"/>
          </rPr>
          <t>&lt;[[DEVDeals] - [Associated TC Deal (Seq: 1)] - [TC Property Current Stage (Seq: 1)] - [Buildings (Seq: 46)] Num TC Units - Both]&gt;</t>
        </r>
      </text>
    </comment>
    <comment ref="AB236" authorId="0" shapeId="0" xr:uid="{F294AD0F-5830-4BA8-A5C6-92B50040D34A}">
      <text>
        <r>
          <rPr>
            <b/>
            <sz val="9"/>
            <color indexed="81"/>
            <rFont val="Tahoma"/>
            <family val="2"/>
          </rPr>
          <t>&lt;[[DEVDeals] - [Associated TC Deal (Seq: 1)] - [TC Property Current Stage (Seq: 1)] - [Buildings (Seq: 46)] - [Buildings - User Defined Field Values (Seq: 1)] Building Info - Total Square Footage - Both]&gt;</t>
        </r>
      </text>
    </comment>
    <comment ref="AC236" authorId="0" shapeId="0" xr:uid="{0D2969A6-463F-4EF3-AFE4-B15CD48AC812}">
      <text>
        <r>
          <rPr>
            <b/>
            <sz val="9"/>
            <color indexed="81"/>
            <rFont val="Tahoma"/>
            <family val="2"/>
          </rPr>
          <t>&lt;[[DEVDeals] - [Associated TC Deal (Seq: 1)] - [TC Property Current Stage (Seq: 1)] - [Buildings (Seq: 46)] - [Buildings - User Defined Field Values (Seq: 1)] Building Info - Restricted Unit Square Footage - Both]&gt;</t>
        </r>
      </text>
    </comment>
    <comment ref="AD236" authorId="0" shapeId="0" xr:uid="{D9C525BB-233B-4BD2-8264-72BA1C6DBF30}">
      <text>
        <r>
          <rPr>
            <b/>
            <sz val="9"/>
            <color indexed="81"/>
            <rFont val="Tahoma"/>
            <family val="2"/>
          </rPr>
          <t>&lt;[[DEVDeals] - [Associated TC Deal (Seq: 1)] - [TC Property Current Stage (Seq: 1)] - [Buildings (Seq: 46)] Applicable Fraction - Both]&gt;</t>
        </r>
      </text>
    </comment>
    <comment ref="AE236" authorId="0" shapeId="0" xr:uid="{4FA4C4A3-42EB-49F5-B1AE-5F14C623A1B8}">
      <text>
        <r>
          <rPr>
            <b/>
            <sz val="9"/>
            <color indexed="81"/>
            <rFont val="Tahoma"/>
            <family val="2"/>
          </rPr>
          <t>&lt;[[DEVDeals] - [Associated TC Deal (Seq: 1)] - [TC Property Current Stage (Seq: 1)] - [Buildings (Seq: 46)] - [Buildings - User Defined Field Values (Seq: 1)] Building Info - Year Built - Both]&gt;</t>
        </r>
      </text>
    </comment>
    <comment ref="AF236" authorId="0" shapeId="0" xr:uid="{ACA1BD8E-7C12-44D2-89FF-3AC9FCFB9002}">
      <text>
        <r>
          <rPr>
            <b/>
            <sz val="9"/>
            <color indexed="81"/>
            <rFont val="Tahoma"/>
            <family val="2"/>
          </rPr>
          <t>&lt;[[DEVDeals] - [Associated TC Deal (Seq: 1)] - [TC Property Current Stage (Seq: 1)] - [Buildings (Seq: 46)] - [Buildings - User Defined Field Values (Seq: 1)] Building Info - Building Type - Both]&gt;</t>
        </r>
      </text>
    </comment>
    <comment ref="AG236" authorId="0" shapeId="0" xr:uid="{CEF562FE-4DC7-4A34-8B3D-5B45E1F523A7}">
      <text>
        <r>
          <rPr>
            <b/>
            <sz val="9"/>
            <color indexed="81"/>
            <rFont val="Tahoma"/>
            <family val="2"/>
          </rPr>
          <t>&lt;[[DEVDeals] - [Associated TC Deal (Seq: 1)] - [TC Property Current Stage (Seq: 1)] - [Buildings (Seq: 46)] Num Mkt Units - Both]&gt;</t>
        </r>
      </text>
    </comment>
    <comment ref="AH236" authorId="0" shapeId="0" xr:uid="{12544243-6FFD-4EE6-8F90-3894E5029F98}">
      <text>
        <r>
          <rPr>
            <b/>
            <sz val="9"/>
            <color indexed="81"/>
            <rFont val="Tahoma"/>
            <family val="2"/>
          </rPr>
          <t>&lt;[[DEVDeals] - [Associated TC Deal (Seq: 1)] - [TC Property Current Stage (Seq: 1)] - [Buildings (Seq: 46)] - [Buildings - User Defined Field Values (Seq: 1)] Building Info - Date Last Placed in Service - Both]&gt;</t>
        </r>
      </text>
    </comment>
    <comment ref="AI236" authorId="0" shapeId="0" xr:uid="{0F9A2C77-FD13-4A50-B71E-BB5D0E1EEDB0}">
      <text>
        <r>
          <rPr>
            <b/>
            <sz val="9"/>
            <color indexed="81"/>
            <rFont val="Tahoma"/>
            <family val="2"/>
          </rPr>
          <t>&lt;[[DEVDeals] - [Associated TC Deal (Seq: 1)] - [TC Property Current Stage (Seq: 1)] - [Buildings (Seq: 46)] - [Buildings - User Defined Field Values (Seq: 1)] Building Info - Sponsor's Purchase Date - Both]&gt;</t>
        </r>
      </text>
    </comment>
    <comment ref="AJ236" authorId="0" shapeId="0" xr:uid="{A52E1D18-4DF4-4F04-ADA0-9809CA0D77DB}">
      <text>
        <r>
          <rPr>
            <b/>
            <sz val="9"/>
            <color indexed="81"/>
            <rFont val="Tahoma"/>
            <family val="2"/>
          </rPr>
          <t>&lt;[[DEVDeals] - [Associated TC Deal (Seq: 1)] - [TC Property Current Stage (Seq: 1)] - [Buildings (Seq: 46)] - [Buildings - User Defined Field Values (Seq: 1)] Building Info - Years Between PIS &amp; Purchase Date - Both]&gt;</t>
        </r>
      </text>
    </comment>
    <comment ref="AK236" authorId="0" shapeId="0" xr:uid="{7B1131BE-51F1-48C9-A8B9-4D2A851E819C}">
      <text>
        <r>
          <rPr>
            <b/>
            <sz val="9"/>
            <color indexed="81"/>
            <rFont val="Tahoma"/>
            <family val="2"/>
          </rPr>
          <t>&lt;[[DEVDeals] - [Associated TC Deal (Seq: 1)] - [TC Property Current Stage (Seq: 1)] - [Buildings (Seq: 46)] Federal Minimum Set Aside Id - Both]&gt;</t>
        </r>
      </text>
    </comment>
    <comment ref="U237" authorId="0" shapeId="0" xr:uid="{D0398E57-13C1-4C24-812C-9EEE2487C938}">
      <text>
        <r>
          <rPr>
            <b/>
            <sz val="9"/>
            <color indexed="81"/>
            <rFont val="Tahoma"/>
            <family val="2"/>
          </rPr>
          <t>&lt;[[DEVDeals] - [Associated TC Deal (Seq: 1)] - [TC Property Current Stage (Seq: 1)] - [Buildings (Seq: 47)] Address 1 - Both]&gt;</t>
        </r>
      </text>
    </comment>
    <comment ref="V237" authorId="0" shapeId="0" xr:uid="{054F2093-700E-4019-BFB4-99FF1E7334B0}">
      <text>
        <r>
          <rPr>
            <b/>
            <sz val="9"/>
            <color indexed="81"/>
            <rFont val="Tahoma"/>
            <family val="2"/>
          </rPr>
          <t>&lt;[[DEVDeals] - [Associated TC Deal (Seq: 1)] - [TC Property Current Stage (Seq: 1)] - [Buildings (Seq: 47)] City - Both]&gt;</t>
        </r>
      </text>
    </comment>
    <comment ref="W237" authorId="0" shapeId="0" xr:uid="{B5B5CD40-FD09-4989-846F-780B7ED7F89D}">
      <text>
        <r>
          <rPr>
            <b/>
            <sz val="9"/>
            <color indexed="81"/>
            <rFont val="Tahoma"/>
            <family val="2"/>
          </rPr>
          <t>&lt;[[DEVDeals] - [Associated TC Deal (Seq: 1)] - [TC Property Current Stage (Seq: 1)] - [Buildings (Seq: 47)] State - Both]&gt;</t>
        </r>
      </text>
    </comment>
    <comment ref="X237" authorId="0" shapeId="0" xr:uid="{56A82DA0-BC2A-46D3-B693-016588AE92DE}">
      <text>
        <r>
          <rPr>
            <b/>
            <sz val="9"/>
            <color indexed="81"/>
            <rFont val="Tahoma"/>
            <family val="2"/>
          </rPr>
          <t>&lt;[[DEVDeals] - [Associated TC Deal (Seq: 1)] - [TC Property Current Stage (Seq: 1)] - [Buildings (Seq: 47)] Zip Code - Both]&gt;</t>
        </r>
      </text>
    </comment>
    <comment ref="Y237" authorId="0" shapeId="0" xr:uid="{3D581433-8752-4D85-BE0F-814E1C5A7265}">
      <text>
        <r>
          <rPr>
            <b/>
            <sz val="9"/>
            <color indexed="81"/>
            <rFont val="Tahoma"/>
            <family val="2"/>
          </rPr>
          <t>&lt;[[DEVDeals] - [Associated TC Deal (Seq: 1)] - [TC Property Current Stage (Seq: 1)] - [Buildings (Seq: 47)] BIN - Both]&gt;</t>
        </r>
      </text>
    </comment>
    <comment ref="AA237" authorId="0" shapeId="0" xr:uid="{A1AFA2F4-9879-4292-8B38-1B633A2AF9F7}">
      <text>
        <r>
          <rPr>
            <b/>
            <sz val="9"/>
            <color indexed="81"/>
            <rFont val="Tahoma"/>
            <family val="2"/>
          </rPr>
          <t>&lt;[[DEVDeals] - [Associated TC Deal (Seq: 1)] - [TC Property Current Stage (Seq: 1)] - [Buildings (Seq: 47)] Num TC Units - Both]&gt;</t>
        </r>
      </text>
    </comment>
    <comment ref="AB237" authorId="0" shapeId="0" xr:uid="{9C49A4AB-059D-4869-AE07-3EA1099138E4}">
      <text>
        <r>
          <rPr>
            <b/>
            <sz val="9"/>
            <color indexed="81"/>
            <rFont val="Tahoma"/>
            <family val="2"/>
          </rPr>
          <t>&lt;[[DEVDeals] - [Associated TC Deal (Seq: 1)] - [TC Property Current Stage (Seq: 1)] - [Buildings (Seq: 47)] - [Buildings - User Defined Field Values (Seq: 1)] Building Info - Total Square Footage - Both]&gt;</t>
        </r>
      </text>
    </comment>
    <comment ref="AC237" authorId="0" shapeId="0" xr:uid="{2CE5AA85-B5DA-492C-92B9-7A22F843126C}">
      <text>
        <r>
          <rPr>
            <b/>
            <sz val="9"/>
            <color indexed="81"/>
            <rFont val="Tahoma"/>
            <family val="2"/>
          </rPr>
          <t>&lt;[[DEVDeals] - [Associated TC Deal (Seq: 1)] - [TC Property Current Stage (Seq: 1)] - [Buildings (Seq: 47)] - [Buildings - User Defined Field Values (Seq: 1)] Building Info - Restricted Unit Square Footage - Both]&gt;</t>
        </r>
      </text>
    </comment>
    <comment ref="AD237" authorId="0" shapeId="0" xr:uid="{A18FD271-6895-4CDE-833B-DE9C8EF670B3}">
      <text>
        <r>
          <rPr>
            <b/>
            <sz val="9"/>
            <color indexed="81"/>
            <rFont val="Tahoma"/>
            <family val="2"/>
          </rPr>
          <t>&lt;[[DEVDeals] - [Associated TC Deal (Seq: 1)] - [TC Property Current Stage (Seq: 1)] - [Buildings (Seq: 47)] Applicable Fraction - Both]&gt;</t>
        </r>
      </text>
    </comment>
    <comment ref="AE237" authorId="0" shapeId="0" xr:uid="{D9B4A233-5D32-4FBC-A969-805145D27D11}">
      <text>
        <r>
          <rPr>
            <b/>
            <sz val="9"/>
            <color indexed="81"/>
            <rFont val="Tahoma"/>
            <family val="2"/>
          </rPr>
          <t>&lt;[[DEVDeals] - [Associated TC Deal (Seq: 1)] - [TC Property Current Stage (Seq: 1)] - [Buildings (Seq: 47)] - [Buildings - User Defined Field Values (Seq: 1)] Building Info - Year Built - Both]&gt;</t>
        </r>
      </text>
    </comment>
    <comment ref="AF237" authorId="0" shapeId="0" xr:uid="{C5346503-9A2B-4B9D-9CBD-A3E5101A2D18}">
      <text>
        <r>
          <rPr>
            <b/>
            <sz val="9"/>
            <color indexed="81"/>
            <rFont val="Tahoma"/>
            <family val="2"/>
          </rPr>
          <t>&lt;[[DEVDeals] - [Associated TC Deal (Seq: 1)] - [TC Property Current Stage (Seq: 1)] - [Buildings (Seq: 47)] - [Buildings - User Defined Field Values (Seq: 1)] Building Info - Building Type - Both]&gt;</t>
        </r>
      </text>
    </comment>
    <comment ref="AG237" authorId="0" shapeId="0" xr:uid="{640BD26B-4C96-4F37-B39D-BB895F96829B}">
      <text>
        <r>
          <rPr>
            <b/>
            <sz val="9"/>
            <color indexed="81"/>
            <rFont val="Tahoma"/>
            <family val="2"/>
          </rPr>
          <t>&lt;[[DEVDeals] - [Associated TC Deal (Seq: 1)] - [TC Property Current Stage (Seq: 1)] - [Buildings (Seq: 47)] Num Mkt Units - Both]&gt;</t>
        </r>
      </text>
    </comment>
    <comment ref="AH237" authorId="0" shapeId="0" xr:uid="{36295B19-7277-4DAB-ADA4-D396A4A2B248}">
      <text>
        <r>
          <rPr>
            <b/>
            <sz val="9"/>
            <color indexed="81"/>
            <rFont val="Tahoma"/>
            <family val="2"/>
          </rPr>
          <t>&lt;[[DEVDeals] - [Associated TC Deal (Seq: 1)] - [TC Property Current Stage (Seq: 1)] - [Buildings (Seq: 47)] - [Buildings - User Defined Field Values (Seq: 1)] Building Info - Date Last Placed in Service - Both]&gt;</t>
        </r>
      </text>
    </comment>
    <comment ref="AI237" authorId="0" shapeId="0" xr:uid="{A7022C7C-0DE2-494A-A91E-26C517CBDEF4}">
      <text>
        <r>
          <rPr>
            <b/>
            <sz val="9"/>
            <color indexed="81"/>
            <rFont val="Tahoma"/>
            <family val="2"/>
          </rPr>
          <t>&lt;[[DEVDeals] - [Associated TC Deal (Seq: 1)] - [TC Property Current Stage (Seq: 1)] - [Buildings (Seq: 47)] - [Buildings - User Defined Field Values (Seq: 1)] Building Info - Sponsor's Purchase Date - Both]&gt;</t>
        </r>
      </text>
    </comment>
    <comment ref="AJ237" authorId="0" shapeId="0" xr:uid="{63DF26E5-3142-4DD7-9CC6-FA3F00471B5A}">
      <text>
        <r>
          <rPr>
            <b/>
            <sz val="9"/>
            <color indexed="81"/>
            <rFont val="Tahoma"/>
            <family val="2"/>
          </rPr>
          <t>&lt;[[DEVDeals] - [Associated TC Deal (Seq: 1)] - [TC Property Current Stage (Seq: 1)] - [Buildings (Seq: 47)] - [Buildings - User Defined Field Values (Seq: 1)] Building Info - Years Between PIS &amp; Purchase Date - Both]&gt;</t>
        </r>
      </text>
    </comment>
    <comment ref="AK237" authorId="0" shapeId="0" xr:uid="{51726696-376D-4842-B8C7-ED3586EAB08A}">
      <text>
        <r>
          <rPr>
            <b/>
            <sz val="9"/>
            <color indexed="81"/>
            <rFont val="Tahoma"/>
            <family val="2"/>
          </rPr>
          <t>&lt;[[DEVDeals] - [Associated TC Deal (Seq: 1)] - [TC Property Current Stage (Seq: 1)] - [Buildings (Seq: 47)] Federal Minimum Set Aside Id - Both]&gt;</t>
        </r>
      </text>
    </comment>
    <comment ref="U238" authorId="0" shapeId="0" xr:uid="{E23ED9BE-AB2C-4005-9B04-5552A6B73CFA}">
      <text>
        <r>
          <rPr>
            <b/>
            <sz val="9"/>
            <color indexed="81"/>
            <rFont val="Tahoma"/>
            <family val="2"/>
          </rPr>
          <t>&lt;[[DEVDeals] - [Associated TC Deal (Seq: 1)] - [TC Property Current Stage (Seq: 1)] - [Buildings (Seq: 48)] Address 1 - Both]&gt;</t>
        </r>
      </text>
    </comment>
    <comment ref="V238" authorId="0" shapeId="0" xr:uid="{DEAB601C-63DF-4FCD-801A-C82AA07D6629}">
      <text>
        <r>
          <rPr>
            <b/>
            <sz val="9"/>
            <color indexed="81"/>
            <rFont val="Tahoma"/>
            <family val="2"/>
          </rPr>
          <t>&lt;[[DEVDeals] - [Associated TC Deal (Seq: 1)] - [TC Property Current Stage (Seq: 1)] - [Buildings (Seq: 48)] City - Both]&gt;</t>
        </r>
      </text>
    </comment>
    <comment ref="W238" authorId="0" shapeId="0" xr:uid="{FE986DAA-80FF-4802-B146-B972BEC1190A}">
      <text>
        <r>
          <rPr>
            <b/>
            <sz val="9"/>
            <color indexed="81"/>
            <rFont val="Tahoma"/>
            <family val="2"/>
          </rPr>
          <t>&lt;[[DEVDeals] - [Associated TC Deal (Seq: 1)] - [TC Property Current Stage (Seq: 1)] - [Buildings (Seq: 48)] State - Both]&gt;</t>
        </r>
      </text>
    </comment>
    <comment ref="X238" authorId="0" shapeId="0" xr:uid="{CC3C50A4-1749-4756-86B8-EAA8885B0B3E}">
      <text>
        <r>
          <rPr>
            <b/>
            <sz val="9"/>
            <color indexed="81"/>
            <rFont val="Tahoma"/>
            <family val="2"/>
          </rPr>
          <t>&lt;[[DEVDeals] - [Associated TC Deal (Seq: 1)] - [TC Property Current Stage (Seq: 1)] - [Buildings (Seq: 48)] Zip Code - Both]&gt;</t>
        </r>
      </text>
    </comment>
    <comment ref="Y238" authorId="0" shapeId="0" xr:uid="{EE5EB2E4-2CA6-419F-AFC6-B19192D85AA1}">
      <text>
        <r>
          <rPr>
            <b/>
            <sz val="9"/>
            <color indexed="81"/>
            <rFont val="Tahoma"/>
            <family val="2"/>
          </rPr>
          <t>&lt;[[DEVDeals] - [Associated TC Deal (Seq: 1)] - [TC Property Current Stage (Seq: 1)] - [Buildings (Seq: 48)] BIN - Both]&gt;</t>
        </r>
      </text>
    </comment>
    <comment ref="AA238" authorId="0" shapeId="0" xr:uid="{77C55867-57E9-4173-8935-433845EE52D4}">
      <text>
        <r>
          <rPr>
            <b/>
            <sz val="9"/>
            <color indexed="81"/>
            <rFont val="Tahoma"/>
            <family val="2"/>
          </rPr>
          <t>&lt;[[DEVDeals] - [Associated TC Deal (Seq: 1)] - [TC Property Current Stage (Seq: 1)] - [Buildings (Seq: 48)] Num TC Units - Both]&gt;</t>
        </r>
      </text>
    </comment>
    <comment ref="AB238" authorId="0" shapeId="0" xr:uid="{E47AE1F4-0CA5-49D9-BDDE-B9852B20E3F3}">
      <text>
        <r>
          <rPr>
            <b/>
            <sz val="9"/>
            <color indexed="81"/>
            <rFont val="Tahoma"/>
            <family val="2"/>
          </rPr>
          <t>&lt;[[DEVDeals] - [Associated TC Deal (Seq: 1)] - [TC Property Current Stage (Seq: 1)] - [Buildings (Seq: 48)] - [Buildings - User Defined Field Values (Seq: 1)] Building Info - Total Square Footage - Both]&gt;</t>
        </r>
      </text>
    </comment>
    <comment ref="AC238" authorId="0" shapeId="0" xr:uid="{09B59B67-951E-47BB-8DA6-C0D6A23FAA47}">
      <text>
        <r>
          <rPr>
            <b/>
            <sz val="9"/>
            <color indexed="81"/>
            <rFont val="Tahoma"/>
            <family val="2"/>
          </rPr>
          <t>&lt;[[DEVDeals] - [Associated TC Deal (Seq: 1)] - [TC Property Current Stage (Seq: 1)] - [Buildings (Seq: 48)] - [Buildings - User Defined Field Values (Seq: 1)] Building Info - Restricted Unit Square Footage - Both]&gt;</t>
        </r>
      </text>
    </comment>
    <comment ref="AD238" authorId="0" shapeId="0" xr:uid="{409792F8-761F-402D-8098-C5F6C385B4C2}">
      <text>
        <r>
          <rPr>
            <b/>
            <sz val="9"/>
            <color indexed="81"/>
            <rFont val="Tahoma"/>
            <family val="2"/>
          </rPr>
          <t>&lt;[[DEVDeals] - [Associated TC Deal (Seq: 1)] - [TC Property Current Stage (Seq: 1)] - [Buildings (Seq: 48)] Applicable Fraction - Both]&gt;</t>
        </r>
      </text>
    </comment>
    <comment ref="AE238" authorId="0" shapeId="0" xr:uid="{C1722E3B-2197-403A-B37E-0345B116B2E4}">
      <text>
        <r>
          <rPr>
            <b/>
            <sz val="9"/>
            <color indexed="81"/>
            <rFont val="Tahoma"/>
            <family val="2"/>
          </rPr>
          <t>&lt;[[DEVDeals] - [Associated TC Deal (Seq: 1)] - [TC Property Current Stage (Seq: 1)] - [Buildings (Seq: 48)] - [Buildings - User Defined Field Values (Seq: 1)] Building Info - Year Built - Both]&gt;</t>
        </r>
      </text>
    </comment>
    <comment ref="AF238" authorId="0" shapeId="0" xr:uid="{44BAF436-907E-4F5C-91B5-BB1B415C6143}">
      <text>
        <r>
          <rPr>
            <b/>
            <sz val="9"/>
            <color indexed="81"/>
            <rFont val="Tahoma"/>
            <family val="2"/>
          </rPr>
          <t>&lt;[[DEVDeals] - [Associated TC Deal (Seq: 1)] - [TC Property Current Stage (Seq: 1)] - [Buildings (Seq: 48)] - [Buildings - User Defined Field Values (Seq: 1)] Building Info - Building Type - Both]&gt;</t>
        </r>
      </text>
    </comment>
    <comment ref="AG238" authorId="0" shapeId="0" xr:uid="{87712943-841D-439B-8602-04A33E820415}">
      <text>
        <r>
          <rPr>
            <b/>
            <sz val="9"/>
            <color indexed="81"/>
            <rFont val="Tahoma"/>
            <family val="2"/>
          </rPr>
          <t>&lt;[[DEVDeals] - [Associated TC Deal (Seq: 1)] - [TC Property Current Stage (Seq: 1)] - [Buildings (Seq: 48)] Num Mkt Units - Both]&gt;</t>
        </r>
      </text>
    </comment>
    <comment ref="AH238" authorId="0" shapeId="0" xr:uid="{37E295A3-BD0D-4E34-9313-6A484EF7E0AD}">
      <text>
        <r>
          <rPr>
            <b/>
            <sz val="9"/>
            <color indexed="81"/>
            <rFont val="Tahoma"/>
            <family val="2"/>
          </rPr>
          <t>&lt;[[DEVDeals] - [Associated TC Deal (Seq: 1)] - [TC Property Current Stage (Seq: 1)] - [Buildings (Seq: 48)] - [Buildings - User Defined Field Values (Seq: 1)] Building Info - Date Last Placed in Service - Both]&gt;</t>
        </r>
      </text>
    </comment>
    <comment ref="AI238" authorId="0" shapeId="0" xr:uid="{A5BEC416-A199-41F0-8CEE-472B8F12F2B1}">
      <text>
        <r>
          <rPr>
            <b/>
            <sz val="9"/>
            <color indexed="81"/>
            <rFont val="Tahoma"/>
            <family val="2"/>
          </rPr>
          <t>&lt;[[DEVDeals] - [Associated TC Deal (Seq: 1)] - [TC Property Current Stage (Seq: 1)] - [Buildings (Seq: 48)] - [Buildings - User Defined Field Values (Seq: 1)] Building Info - Sponsor's Purchase Date - Both]&gt;</t>
        </r>
      </text>
    </comment>
    <comment ref="AJ238" authorId="0" shapeId="0" xr:uid="{5EA4D30A-5ACF-4C88-829F-3F771E2233EA}">
      <text>
        <r>
          <rPr>
            <b/>
            <sz val="9"/>
            <color indexed="81"/>
            <rFont val="Tahoma"/>
            <family val="2"/>
          </rPr>
          <t>&lt;[[DEVDeals] - [Associated TC Deal (Seq: 1)] - [TC Property Current Stage (Seq: 1)] - [Buildings (Seq: 48)] - [Buildings - User Defined Field Values (Seq: 1)] Building Info - Years Between PIS &amp; Purchase Date - Both]&gt;</t>
        </r>
      </text>
    </comment>
    <comment ref="AK238" authorId="0" shapeId="0" xr:uid="{619AC8A1-A5C6-4FFB-ACC5-EBE858909961}">
      <text>
        <r>
          <rPr>
            <b/>
            <sz val="9"/>
            <color indexed="81"/>
            <rFont val="Tahoma"/>
            <family val="2"/>
          </rPr>
          <t>&lt;[[DEVDeals] - [Associated TC Deal (Seq: 1)] - [TC Property Current Stage (Seq: 1)] - [Buildings (Seq: 48)] Federal Minimum Set Aside Id - Both]&gt;</t>
        </r>
      </text>
    </comment>
    <comment ref="U239" authorId="0" shapeId="0" xr:uid="{7AD93F0C-10B7-45A0-BBC7-93A4F05B1F69}">
      <text>
        <r>
          <rPr>
            <b/>
            <sz val="9"/>
            <color indexed="81"/>
            <rFont val="Tahoma"/>
            <family val="2"/>
          </rPr>
          <t>&lt;[[DEVDeals] - [Associated TC Deal (Seq: 1)] - [TC Property Current Stage (Seq: 1)] - [Buildings (Seq: 49)] Address 1 - Both]&gt;</t>
        </r>
      </text>
    </comment>
    <comment ref="V239" authorId="0" shapeId="0" xr:uid="{888C8194-849A-463F-9D8D-927E0F3AD36A}">
      <text>
        <r>
          <rPr>
            <b/>
            <sz val="9"/>
            <color indexed="81"/>
            <rFont val="Tahoma"/>
            <family val="2"/>
          </rPr>
          <t>&lt;[[DEVDeals] - [Associated TC Deal (Seq: 1)] - [TC Property Current Stage (Seq: 1)] - [Buildings (Seq: 49)] City - Both]&gt;</t>
        </r>
      </text>
    </comment>
    <comment ref="W239" authorId="0" shapeId="0" xr:uid="{11E8F574-CF80-44FC-A172-65CFAFEC5E81}">
      <text>
        <r>
          <rPr>
            <b/>
            <sz val="9"/>
            <color indexed="81"/>
            <rFont val="Tahoma"/>
            <family val="2"/>
          </rPr>
          <t>&lt;[[DEVDeals] - [Associated TC Deal (Seq: 1)] - [TC Property Current Stage (Seq: 1)] - [Buildings (Seq: 49)] State - Both]&gt;</t>
        </r>
      </text>
    </comment>
    <comment ref="X239" authorId="0" shapeId="0" xr:uid="{82221471-F3A6-44F8-A199-F65CD5BE49C2}">
      <text>
        <r>
          <rPr>
            <b/>
            <sz val="9"/>
            <color indexed="81"/>
            <rFont val="Tahoma"/>
            <family val="2"/>
          </rPr>
          <t>&lt;[[DEVDeals] - [Associated TC Deal (Seq: 1)] - [TC Property Current Stage (Seq: 1)] - [Buildings (Seq: 49)] Zip Code - Both]&gt;</t>
        </r>
      </text>
    </comment>
    <comment ref="Y239" authorId="0" shapeId="0" xr:uid="{12D2C478-E7C8-40B2-BE99-551D69F57D1C}">
      <text>
        <r>
          <rPr>
            <b/>
            <sz val="9"/>
            <color indexed="81"/>
            <rFont val="Tahoma"/>
            <family val="2"/>
          </rPr>
          <t>&lt;[[DEVDeals] - [Associated TC Deal (Seq: 1)] - [TC Property Current Stage (Seq: 1)] - [Buildings (Seq: 49)] BIN - Both]&gt;</t>
        </r>
      </text>
    </comment>
    <comment ref="AA239" authorId="0" shapeId="0" xr:uid="{9B100A4F-57EE-4B8A-A9BB-7393BA2E034B}">
      <text>
        <r>
          <rPr>
            <b/>
            <sz val="9"/>
            <color indexed="81"/>
            <rFont val="Tahoma"/>
            <family val="2"/>
          </rPr>
          <t>&lt;[[DEVDeals] - [Associated TC Deal (Seq: 1)] - [TC Property Current Stage (Seq: 1)] - [Buildings (Seq: 49)] Num TC Units - Both]&gt;</t>
        </r>
      </text>
    </comment>
    <comment ref="AB239" authorId="0" shapeId="0" xr:uid="{492072AA-A0E9-4AFB-8A70-8F3B8EF1B018}">
      <text>
        <r>
          <rPr>
            <b/>
            <sz val="9"/>
            <color indexed="81"/>
            <rFont val="Tahoma"/>
            <family val="2"/>
          </rPr>
          <t>&lt;[[DEVDeals] - [Associated TC Deal (Seq: 1)] - [TC Property Current Stage (Seq: 1)] - [Buildings (Seq: 49)] - [Buildings - User Defined Field Values (Seq: 1)] Building Info - Total Square Footage - Both]&gt;</t>
        </r>
      </text>
    </comment>
    <comment ref="AC239" authorId="0" shapeId="0" xr:uid="{51CD260A-EAE7-4C1C-B5FD-8E18D3E14D3B}">
      <text>
        <r>
          <rPr>
            <b/>
            <sz val="9"/>
            <color indexed="81"/>
            <rFont val="Tahoma"/>
            <family val="2"/>
          </rPr>
          <t>&lt;[[DEVDeals] - [Associated TC Deal (Seq: 1)] - [TC Property Current Stage (Seq: 1)] - [Buildings (Seq: 49)] - [Buildings - User Defined Field Values (Seq: 1)] Building Info - Restricted Unit Square Footage - Both]&gt;</t>
        </r>
      </text>
    </comment>
    <comment ref="AD239" authorId="0" shapeId="0" xr:uid="{740AD9AE-7B07-47AA-8C8D-946BA81448DF}">
      <text>
        <r>
          <rPr>
            <b/>
            <sz val="9"/>
            <color indexed="81"/>
            <rFont val="Tahoma"/>
            <family val="2"/>
          </rPr>
          <t>&lt;[[DEVDeals] - [Associated TC Deal (Seq: 1)] - [TC Property Current Stage (Seq: 1)] - [Buildings (Seq: 49)] Applicable Fraction - Both]&gt;</t>
        </r>
      </text>
    </comment>
    <comment ref="AE239" authorId="0" shapeId="0" xr:uid="{385A41DD-3DEA-4577-994E-5F8EA46CA389}">
      <text>
        <r>
          <rPr>
            <b/>
            <sz val="9"/>
            <color indexed="81"/>
            <rFont val="Tahoma"/>
            <family val="2"/>
          </rPr>
          <t>&lt;[[DEVDeals] - [Associated TC Deal (Seq: 1)] - [TC Property Current Stage (Seq: 1)] - [Buildings (Seq: 49)] - [Buildings - User Defined Field Values (Seq: 1)] Building Info - Year Built - Both]&gt;</t>
        </r>
      </text>
    </comment>
    <comment ref="AF239" authorId="0" shapeId="0" xr:uid="{5A4372AC-70B2-47F3-8C4C-BA29381A19BD}">
      <text>
        <r>
          <rPr>
            <b/>
            <sz val="9"/>
            <color indexed="81"/>
            <rFont val="Tahoma"/>
            <family val="2"/>
          </rPr>
          <t>&lt;[[DEVDeals] - [Associated TC Deal (Seq: 1)] - [TC Property Current Stage (Seq: 1)] - [Buildings (Seq: 49)] - [Buildings - User Defined Field Values (Seq: 1)] Building Info - Building Type - Both]&gt;</t>
        </r>
      </text>
    </comment>
    <comment ref="AG239" authorId="0" shapeId="0" xr:uid="{0B91B05E-876E-4D1A-9755-B21EC97A2759}">
      <text>
        <r>
          <rPr>
            <b/>
            <sz val="9"/>
            <color indexed="81"/>
            <rFont val="Tahoma"/>
            <family val="2"/>
          </rPr>
          <t>&lt;[[DEVDeals] - [Associated TC Deal (Seq: 1)] - [TC Property Current Stage (Seq: 1)] - [Buildings (Seq: 49)] Num Mkt Units - Both]&gt;</t>
        </r>
      </text>
    </comment>
    <comment ref="AH239" authorId="0" shapeId="0" xr:uid="{47C42F61-FA75-489D-8CF7-DF2EE4ADA8A9}">
      <text>
        <r>
          <rPr>
            <b/>
            <sz val="9"/>
            <color indexed="81"/>
            <rFont val="Tahoma"/>
            <family val="2"/>
          </rPr>
          <t>&lt;[[DEVDeals] - [Associated TC Deal (Seq: 1)] - [TC Property Current Stage (Seq: 1)] - [Buildings (Seq: 49)] - [Buildings - User Defined Field Values (Seq: 1)] Building Info - Date Last Placed in Service - Both]&gt;</t>
        </r>
      </text>
    </comment>
    <comment ref="AI239" authorId="0" shapeId="0" xr:uid="{557F3D72-D439-44F5-91F3-EBEA6EF12904}">
      <text>
        <r>
          <rPr>
            <b/>
            <sz val="9"/>
            <color indexed="81"/>
            <rFont val="Tahoma"/>
            <family val="2"/>
          </rPr>
          <t>&lt;[[DEVDeals] - [Associated TC Deal (Seq: 1)] - [TC Property Current Stage (Seq: 1)] - [Buildings (Seq: 49)] - [Buildings - User Defined Field Values (Seq: 1)] Building Info - Sponsor's Purchase Date - Both]&gt;</t>
        </r>
      </text>
    </comment>
    <comment ref="AJ239" authorId="0" shapeId="0" xr:uid="{054BCACC-D64A-4B37-922E-707ACB0C02C7}">
      <text>
        <r>
          <rPr>
            <b/>
            <sz val="9"/>
            <color indexed="81"/>
            <rFont val="Tahoma"/>
            <family val="2"/>
          </rPr>
          <t>&lt;[[DEVDeals] - [Associated TC Deal (Seq: 1)] - [TC Property Current Stage (Seq: 1)] - [Buildings (Seq: 49)] - [Buildings - User Defined Field Values (Seq: 1)] Building Info - Years Between PIS &amp; Purchase Date - Both]&gt;</t>
        </r>
      </text>
    </comment>
    <comment ref="AK239" authorId="0" shapeId="0" xr:uid="{512409E4-3773-4B44-89F9-15F109D49C8E}">
      <text>
        <r>
          <rPr>
            <b/>
            <sz val="9"/>
            <color indexed="81"/>
            <rFont val="Tahoma"/>
            <family val="2"/>
          </rPr>
          <t>&lt;[[DEVDeals] - [Associated TC Deal (Seq: 1)] - [TC Property Current Stage (Seq: 1)] - [Buildings (Seq: 49)] Federal Minimum Set Aside Id - Both]&gt;</t>
        </r>
      </text>
    </comment>
    <comment ref="U240" authorId="0" shapeId="0" xr:uid="{05C46F15-FC0F-440A-B45E-2269C5DB3103}">
      <text>
        <r>
          <rPr>
            <b/>
            <sz val="9"/>
            <color indexed="81"/>
            <rFont val="Tahoma"/>
            <family val="2"/>
          </rPr>
          <t>&lt;[[DEVDeals] - [Associated TC Deal (Seq: 1)] - [TC Property Current Stage (Seq: 1)] - [Buildings (Seq: 50)] Address 1 - Both]&gt;</t>
        </r>
      </text>
    </comment>
    <comment ref="V240" authorId="0" shapeId="0" xr:uid="{37412399-C230-484D-A435-AAE577A9153F}">
      <text>
        <r>
          <rPr>
            <b/>
            <sz val="9"/>
            <color indexed="81"/>
            <rFont val="Tahoma"/>
            <family val="2"/>
          </rPr>
          <t>&lt;[[DEVDeals] - [Associated TC Deal (Seq: 1)] - [TC Property Current Stage (Seq: 1)] - [Buildings (Seq: 50)] City - Both]&gt;</t>
        </r>
      </text>
    </comment>
    <comment ref="W240" authorId="0" shapeId="0" xr:uid="{DC17B3E5-3906-406C-BE5E-0AC923F7DBCA}">
      <text>
        <r>
          <rPr>
            <b/>
            <sz val="9"/>
            <color indexed="81"/>
            <rFont val="Tahoma"/>
            <family val="2"/>
          </rPr>
          <t>&lt;[[DEVDeals] - [Associated TC Deal (Seq: 1)] - [TC Property Current Stage (Seq: 1)] - [Buildings (Seq: 50)] State - Both]&gt;</t>
        </r>
      </text>
    </comment>
    <comment ref="X240" authorId="0" shapeId="0" xr:uid="{8E118955-4901-4FE5-93B0-0087FEA2C3E9}">
      <text>
        <r>
          <rPr>
            <b/>
            <sz val="9"/>
            <color indexed="81"/>
            <rFont val="Tahoma"/>
            <family val="2"/>
          </rPr>
          <t>&lt;[[DEVDeals] - [Associated TC Deal (Seq: 1)] - [TC Property Current Stage (Seq: 1)] - [Buildings (Seq: 50)] Zip Code - Both]&gt;</t>
        </r>
      </text>
    </comment>
    <comment ref="Y240" authorId="0" shapeId="0" xr:uid="{FE89AC5D-8A89-4A47-95B6-B86B0DDA4F90}">
      <text>
        <r>
          <rPr>
            <b/>
            <sz val="9"/>
            <color indexed="81"/>
            <rFont val="Tahoma"/>
            <family val="2"/>
          </rPr>
          <t>&lt;[[DEVDeals] - [Associated TC Deal (Seq: 1)] - [TC Property Current Stage (Seq: 1)] - [Buildings (Seq: 50)] BIN - Both]&gt;</t>
        </r>
      </text>
    </comment>
    <comment ref="AA240" authorId="0" shapeId="0" xr:uid="{EB235574-790E-4A65-8C1A-B9479545899E}">
      <text>
        <r>
          <rPr>
            <b/>
            <sz val="9"/>
            <color indexed="81"/>
            <rFont val="Tahoma"/>
            <family val="2"/>
          </rPr>
          <t>&lt;[[DEVDeals] - [Associated TC Deal (Seq: 1)] - [TC Property Current Stage (Seq: 1)] - [Buildings (Seq: 50)] Num TC Units - Both]&gt;</t>
        </r>
      </text>
    </comment>
    <comment ref="AB240" authorId="0" shapeId="0" xr:uid="{1F7ACAB4-4D0F-47BB-B5BD-F7C7E1B15559}">
      <text>
        <r>
          <rPr>
            <b/>
            <sz val="9"/>
            <color indexed="81"/>
            <rFont val="Tahoma"/>
            <family val="2"/>
          </rPr>
          <t>&lt;[[DEVDeals] - [Associated TC Deal (Seq: 1)] - [TC Property Current Stage (Seq: 1)] - [Buildings (Seq: 50)] - [Buildings - User Defined Field Values (Seq: 1)] Building Info - Total Square Footage - Both]&gt;</t>
        </r>
      </text>
    </comment>
    <comment ref="AC240" authorId="0" shapeId="0" xr:uid="{9ED11D3E-318F-46CE-BEC3-2AEC26FB81FD}">
      <text>
        <r>
          <rPr>
            <b/>
            <sz val="9"/>
            <color indexed="81"/>
            <rFont val="Tahoma"/>
            <family val="2"/>
          </rPr>
          <t>&lt;[[DEVDeals] - [Associated TC Deal (Seq: 1)] - [TC Property Current Stage (Seq: 1)] - [Buildings (Seq: 50)] - [Buildings - User Defined Field Values (Seq: 1)] Building Info - Restricted Unit Square Footage - Both]&gt;</t>
        </r>
      </text>
    </comment>
    <comment ref="AD240" authorId="0" shapeId="0" xr:uid="{151160C6-A149-4296-9D13-7DD3138C3FB5}">
      <text>
        <r>
          <rPr>
            <b/>
            <sz val="9"/>
            <color indexed="81"/>
            <rFont val="Tahoma"/>
            <family val="2"/>
          </rPr>
          <t>&lt;[[DEVDeals] - [Associated TC Deal (Seq: 1)] - [TC Property Current Stage (Seq: 1)] - [Buildings (Seq: 50)] Applicable Fraction - Both]&gt;</t>
        </r>
      </text>
    </comment>
    <comment ref="AE240" authorId="0" shapeId="0" xr:uid="{70AAE50E-098F-4A07-A5EB-6394B6D6FA30}">
      <text>
        <r>
          <rPr>
            <b/>
            <sz val="9"/>
            <color indexed="81"/>
            <rFont val="Tahoma"/>
            <family val="2"/>
          </rPr>
          <t>&lt;[[DEVDeals] - [Associated TC Deal (Seq: 1)] - [TC Property Current Stage (Seq: 1)] - [Buildings (Seq: 50)] - [Buildings - User Defined Field Values (Seq: 1)] Building Info - Year Built - Both]&gt;</t>
        </r>
      </text>
    </comment>
    <comment ref="AF240" authorId="0" shapeId="0" xr:uid="{7B07C1A1-3101-46E2-BE37-4612CA36ED63}">
      <text>
        <r>
          <rPr>
            <b/>
            <sz val="9"/>
            <color indexed="81"/>
            <rFont val="Tahoma"/>
            <family val="2"/>
          </rPr>
          <t>&lt;[[DEVDeals] - [Associated TC Deal (Seq: 1)] - [TC Property Current Stage (Seq: 1)] - [Buildings (Seq: 50)] - [Buildings - User Defined Field Values (Seq: 1)] Building Info - Building Type - Both]&gt;</t>
        </r>
      </text>
    </comment>
    <comment ref="AG240" authorId="0" shapeId="0" xr:uid="{D0E61C91-BAC6-4BE7-AF08-25A7F510D8DF}">
      <text>
        <r>
          <rPr>
            <b/>
            <sz val="9"/>
            <color indexed="81"/>
            <rFont val="Tahoma"/>
            <family val="2"/>
          </rPr>
          <t>&lt;[[DEVDeals] - [Associated TC Deal (Seq: 1)] - [TC Property Current Stage (Seq: 1)] - [Buildings (Seq: 50)] Num Mkt Units - Both]&gt;</t>
        </r>
      </text>
    </comment>
    <comment ref="AH240" authorId="0" shapeId="0" xr:uid="{841312A3-897D-4194-8D82-16F540ED840B}">
      <text>
        <r>
          <rPr>
            <b/>
            <sz val="9"/>
            <color indexed="81"/>
            <rFont val="Tahoma"/>
            <family val="2"/>
          </rPr>
          <t>&lt;[[DEVDeals] - [Associated TC Deal (Seq: 1)] - [TC Property Current Stage (Seq: 1)] - [Buildings (Seq: 50)] - [Buildings - User Defined Field Values (Seq: 1)] Building Info - Date Last Placed in Service - Both]&gt;</t>
        </r>
      </text>
    </comment>
    <comment ref="AI240" authorId="0" shapeId="0" xr:uid="{E36F5B59-18D6-49A1-ACE8-7502129CE242}">
      <text>
        <r>
          <rPr>
            <b/>
            <sz val="9"/>
            <color indexed="81"/>
            <rFont val="Tahoma"/>
            <family val="2"/>
          </rPr>
          <t>&lt;[[DEVDeals] - [Associated TC Deal (Seq: 1)] - [TC Property Current Stage (Seq: 1)] - [Buildings (Seq: 50)] - [Buildings - User Defined Field Values (Seq: 1)] Building Info - Sponsor's Purchase Date - Both]&gt;</t>
        </r>
      </text>
    </comment>
    <comment ref="AJ240" authorId="0" shapeId="0" xr:uid="{92EAC637-9CC2-4946-BA4D-1961CE0F45F0}">
      <text>
        <r>
          <rPr>
            <b/>
            <sz val="9"/>
            <color indexed="81"/>
            <rFont val="Tahoma"/>
            <family val="2"/>
          </rPr>
          <t>&lt;[[DEVDeals] - [Associated TC Deal (Seq: 1)] - [TC Property Current Stage (Seq: 1)] - [Buildings (Seq: 50)] - [Buildings - User Defined Field Values (Seq: 1)] Building Info - Years Between PIS &amp; Purchase Date - Both]&gt;</t>
        </r>
      </text>
    </comment>
    <comment ref="AK240" authorId="0" shapeId="0" xr:uid="{366B9E8D-44F1-44EB-ABBE-2663AA735601}">
      <text>
        <r>
          <rPr>
            <b/>
            <sz val="9"/>
            <color indexed="81"/>
            <rFont val="Tahoma"/>
            <family val="2"/>
          </rPr>
          <t>&lt;[[DEVDeals] - [Associated TC Deal (Seq: 1)] - [TC Property Current Stage (Seq: 1)] - [Buildings (Seq: 50)] Federal Minimum Set Aside Id - Both]&gt;</t>
        </r>
      </text>
    </comment>
    <comment ref="U241" authorId="0" shapeId="0" xr:uid="{01E3D5FA-C69F-442D-86DA-2392E166A661}">
      <text>
        <r>
          <rPr>
            <b/>
            <sz val="9"/>
            <color indexed="81"/>
            <rFont val="Tahoma"/>
            <family val="2"/>
          </rPr>
          <t>&lt;[[DEVDeals] - [Associated TC Deal (Seq: 1)] - [TC Property Current Stage (Seq: 1)] - [Buildings (Seq: 51)] Address 1 - Both]&gt;</t>
        </r>
      </text>
    </comment>
    <comment ref="V241" authorId="0" shapeId="0" xr:uid="{87046F32-C89D-4032-A1A8-64CE605EC22C}">
      <text>
        <r>
          <rPr>
            <b/>
            <sz val="9"/>
            <color indexed="81"/>
            <rFont val="Tahoma"/>
            <family val="2"/>
          </rPr>
          <t>&lt;[[DEVDeals] - [Associated TC Deal (Seq: 1)] - [TC Property Current Stage (Seq: 1)] - [Buildings (Seq: 51)] City - Both]&gt;</t>
        </r>
      </text>
    </comment>
    <comment ref="W241" authorId="0" shapeId="0" xr:uid="{F94A207A-88B3-496F-AF48-EA8D4E43FAC7}">
      <text>
        <r>
          <rPr>
            <b/>
            <sz val="9"/>
            <color indexed="81"/>
            <rFont val="Tahoma"/>
            <family val="2"/>
          </rPr>
          <t>&lt;[[DEVDeals] - [Associated TC Deal (Seq: 1)] - [TC Property Current Stage (Seq: 1)] - [Buildings (Seq: 51)] State - Both]&gt;</t>
        </r>
      </text>
    </comment>
    <comment ref="X241" authorId="0" shapeId="0" xr:uid="{77CDAB0C-A28B-42A2-A33D-FF359078F0F1}">
      <text>
        <r>
          <rPr>
            <b/>
            <sz val="9"/>
            <color indexed="81"/>
            <rFont val="Tahoma"/>
            <family val="2"/>
          </rPr>
          <t>&lt;[[DEVDeals] - [Associated TC Deal (Seq: 1)] - [TC Property Current Stage (Seq: 1)] - [Buildings (Seq: 51)] Zip Code - Both]&gt;</t>
        </r>
      </text>
    </comment>
    <comment ref="Y241" authorId="0" shapeId="0" xr:uid="{B1C37718-12E5-4784-86B0-C74EC36B7A09}">
      <text>
        <r>
          <rPr>
            <b/>
            <sz val="9"/>
            <color indexed="81"/>
            <rFont val="Tahoma"/>
            <family val="2"/>
          </rPr>
          <t>&lt;[[DEVDeals] - [Associated TC Deal (Seq: 1)] - [TC Property Current Stage (Seq: 1)] - [Buildings (Seq: 51)] BIN - Both]&gt;</t>
        </r>
      </text>
    </comment>
    <comment ref="AA241" authorId="0" shapeId="0" xr:uid="{B885047F-65A0-47D2-9C33-07D635F22ECC}">
      <text>
        <r>
          <rPr>
            <b/>
            <sz val="9"/>
            <color indexed="81"/>
            <rFont val="Tahoma"/>
            <family val="2"/>
          </rPr>
          <t>&lt;[[DEVDeals] - [Associated TC Deal (Seq: 1)] - [TC Property Current Stage (Seq: 1)] - [Buildings (Seq: 51)] Num TC Units - Both]&gt;</t>
        </r>
      </text>
    </comment>
    <comment ref="AB241" authorId="0" shapeId="0" xr:uid="{B47709B9-ADF5-4AD6-9F0D-1FC64D24E6CB}">
      <text>
        <r>
          <rPr>
            <b/>
            <sz val="9"/>
            <color indexed="81"/>
            <rFont val="Tahoma"/>
            <family val="2"/>
          </rPr>
          <t>&lt;[[DEVDeals] - [Associated TC Deal (Seq: 1)] - [TC Property Current Stage (Seq: 1)] - [Buildings (Seq: 51)] - [Buildings - User Defined Field Values (Seq: 1)] Building Info - Total Square Footage - Both]&gt;</t>
        </r>
      </text>
    </comment>
    <comment ref="AC241" authorId="0" shapeId="0" xr:uid="{0D725437-E4E6-466E-8396-14A953DF33B1}">
      <text>
        <r>
          <rPr>
            <b/>
            <sz val="9"/>
            <color indexed="81"/>
            <rFont val="Tahoma"/>
            <family val="2"/>
          </rPr>
          <t>&lt;[[DEVDeals] - [Associated TC Deal (Seq: 1)] - [TC Property Current Stage (Seq: 1)] - [Buildings (Seq: 51)] - [Buildings - User Defined Field Values (Seq: 1)] Building Info - Restricted Unit Square Footage - Both]&gt;</t>
        </r>
      </text>
    </comment>
    <comment ref="AD241" authorId="0" shapeId="0" xr:uid="{164ADFE7-00EA-4E32-899D-D3547DB8EF27}">
      <text>
        <r>
          <rPr>
            <b/>
            <sz val="9"/>
            <color indexed="81"/>
            <rFont val="Tahoma"/>
            <family val="2"/>
          </rPr>
          <t>&lt;[[DEVDeals] - [Associated TC Deal (Seq: 1)] - [TC Property Current Stage (Seq: 1)] - [Buildings (Seq: 51)] Applicable Fraction - Both]&gt;</t>
        </r>
      </text>
    </comment>
    <comment ref="AE241" authorId="0" shapeId="0" xr:uid="{502452B2-0EA1-46E0-8CBB-4BA80EB36A5A}">
      <text>
        <r>
          <rPr>
            <b/>
            <sz val="9"/>
            <color indexed="81"/>
            <rFont val="Tahoma"/>
            <family val="2"/>
          </rPr>
          <t>&lt;[[DEVDeals] - [Associated TC Deal (Seq: 1)] - [TC Property Current Stage (Seq: 1)] - [Buildings (Seq: 51)] - [Buildings - User Defined Field Values (Seq: 1)] Building Info - Year Built - Both]&gt;</t>
        </r>
      </text>
    </comment>
    <comment ref="AF241" authorId="0" shapeId="0" xr:uid="{F15841B7-2C36-4492-B473-852802EEF9EE}">
      <text>
        <r>
          <rPr>
            <b/>
            <sz val="9"/>
            <color indexed="81"/>
            <rFont val="Tahoma"/>
            <family val="2"/>
          </rPr>
          <t>&lt;[[DEVDeals] - [Associated TC Deal (Seq: 1)] - [TC Property Current Stage (Seq: 1)] - [Buildings (Seq: 51)] - [Buildings - User Defined Field Values (Seq: 1)] Building Info - Building Type - Both]&gt;</t>
        </r>
      </text>
    </comment>
    <comment ref="AG241" authorId="0" shapeId="0" xr:uid="{C24825CF-7B1B-452D-B09D-1D8B3D59D9C2}">
      <text>
        <r>
          <rPr>
            <b/>
            <sz val="9"/>
            <color indexed="81"/>
            <rFont val="Tahoma"/>
            <family val="2"/>
          </rPr>
          <t>&lt;[[DEVDeals] - [Associated TC Deal (Seq: 1)] - [TC Property Current Stage (Seq: 1)] - [Buildings (Seq: 51)] Num Mkt Units - Both]&gt;</t>
        </r>
      </text>
    </comment>
    <comment ref="AH241" authorId="0" shapeId="0" xr:uid="{CD4FF0C8-ADD5-47B3-A383-38A612D1C10B}">
      <text>
        <r>
          <rPr>
            <b/>
            <sz val="9"/>
            <color indexed="81"/>
            <rFont val="Tahoma"/>
            <family val="2"/>
          </rPr>
          <t>&lt;[[DEVDeals] - [Associated TC Deal (Seq: 1)] - [TC Property Current Stage (Seq: 1)] - [Buildings (Seq: 51)] - [Buildings - User Defined Field Values (Seq: 1)] Building Info - Date Last Placed in Service - Both]&gt;</t>
        </r>
      </text>
    </comment>
    <comment ref="AI241" authorId="0" shapeId="0" xr:uid="{157CC709-F3BC-43A2-BBDE-E7CECF3AC3E1}">
      <text>
        <r>
          <rPr>
            <b/>
            <sz val="9"/>
            <color indexed="81"/>
            <rFont val="Tahoma"/>
            <family val="2"/>
          </rPr>
          <t>&lt;[[DEVDeals] - [Associated TC Deal (Seq: 1)] - [TC Property Current Stage (Seq: 1)] - [Buildings (Seq: 51)] - [Buildings - User Defined Field Values (Seq: 1)] Building Info - Sponsor's Purchase Date - Both]&gt;</t>
        </r>
      </text>
    </comment>
    <comment ref="AJ241" authorId="0" shapeId="0" xr:uid="{77542929-72C5-412D-BA68-9143CEA2E5BC}">
      <text>
        <r>
          <rPr>
            <b/>
            <sz val="9"/>
            <color indexed="81"/>
            <rFont val="Tahoma"/>
            <family val="2"/>
          </rPr>
          <t>&lt;[[DEVDeals] - [Associated TC Deal (Seq: 1)] - [TC Property Current Stage (Seq: 1)] - [Buildings (Seq: 51)] - [Buildings - User Defined Field Values (Seq: 1)] Building Info - Years Between PIS &amp; Purchase Date - Both]&gt;</t>
        </r>
      </text>
    </comment>
    <comment ref="AK241" authorId="0" shapeId="0" xr:uid="{32C49451-FA1D-4C92-858D-369D5CD83273}">
      <text>
        <r>
          <rPr>
            <b/>
            <sz val="9"/>
            <color indexed="81"/>
            <rFont val="Tahoma"/>
            <family val="2"/>
          </rPr>
          <t>&lt;[[DEVDeals] - [Associated TC Deal (Seq: 1)] - [TC Property Current Stage (Seq: 1)] - [Buildings (Seq: 51)] Federal Minimum Set Aside Id - Both]&gt;</t>
        </r>
      </text>
    </comment>
    <comment ref="U242" authorId="0" shapeId="0" xr:uid="{F54BF73C-3939-4DB2-949A-8495BA5E37BF}">
      <text>
        <r>
          <rPr>
            <b/>
            <sz val="9"/>
            <color indexed="81"/>
            <rFont val="Tahoma"/>
            <family val="2"/>
          </rPr>
          <t>&lt;[[DEVDeals] - [Associated TC Deal (Seq: 1)] - [TC Property Current Stage (Seq: 1)] - [Buildings (Seq: 52)] Address 1 - Both]&gt;</t>
        </r>
      </text>
    </comment>
    <comment ref="V242" authorId="0" shapeId="0" xr:uid="{CC92D348-83C5-4F03-BE07-1FA9A5C4B647}">
      <text>
        <r>
          <rPr>
            <b/>
            <sz val="9"/>
            <color indexed="81"/>
            <rFont val="Tahoma"/>
            <family val="2"/>
          </rPr>
          <t>&lt;[[DEVDeals] - [Associated TC Deal (Seq: 1)] - [TC Property Current Stage (Seq: 1)] - [Buildings (Seq: 52)] City - Both]&gt;</t>
        </r>
      </text>
    </comment>
    <comment ref="W242" authorId="0" shapeId="0" xr:uid="{E3DBC5FB-2612-4AA5-9898-A37CC4015730}">
      <text>
        <r>
          <rPr>
            <b/>
            <sz val="9"/>
            <color indexed="81"/>
            <rFont val="Tahoma"/>
            <family val="2"/>
          </rPr>
          <t>&lt;[[DEVDeals] - [Associated TC Deal (Seq: 1)] - [TC Property Current Stage (Seq: 1)] - [Buildings (Seq: 52)] State - Both]&gt;</t>
        </r>
      </text>
    </comment>
    <comment ref="X242" authorId="0" shapeId="0" xr:uid="{F838691C-BA3F-4B55-ACE4-2F8F22FE4979}">
      <text>
        <r>
          <rPr>
            <b/>
            <sz val="9"/>
            <color indexed="81"/>
            <rFont val="Tahoma"/>
            <family val="2"/>
          </rPr>
          <t>&lt;[[DEVDeals] - [Associated TC Deal (Seq: 1)] - [TC Property Current Stage (Seq: 1)] - [Buildings (Seq: 52)] Zip Code - Both]&gt;</t>
        </r>
      </text>
    </comment>
    <comment ref="Y242" authorId="0" shapeId="0" xr:uid="{D4798DEF-45A9-4A20-9377-CAB55A3405D9}">
      <text>
        <r>
          <rPr>
            <b/>
            <sz val="9"/>
            <color indexed="81"/>
            <rFont val="Tahoma"/>
            <family val="2"/>
          </rPr>
          <t>&lt;[[DEVDeals] - [Associated TC Deal (Seq: 1)] - [TC Property Current Stage (Seq: 1)] - [Buildings (Seq: 52)] BIN - Both]&gt;</t>
        </r>
      </text>
    </comment>
    <comment ref="AA242" authorId="0" shapeId="0" xr:uid="{1A88B997-B3EB-40A1-B3C2-0F38383CEA9A}">
      <text>
        <r>
          <rPr>
            <b/>
            <sz val="9"/>
            <color indexed="81"/>
            <rFont val="Tahoma"/>
            <family val="2"/>
          </rPr>
          <t>&lt;[[DEVDeals] - [Associated TC Deal (Seq: 1)] - [TC Property Current Stage (Seq: 1)] - [Buildings (Seq: 52)] Num TC Units - Both]&gt;</t>
        </r>
      </text>
    </comment>
    <comment ref="AB242" authorId="0" shapeId="0" xr:uid="{86CC939E-A8D6-48D5-BEDD-BBD8BC0FD91D}">
      <text>
        <r>
          <rPr>
            <b/>
            <sz val="9"/>
            <color indexed="81"/>
            <rFont val="Tahoma"/>
            <family val="2"/>
          </rPr>
          <t>&lt;[[DEVDeals] - [Associated TC Deal (Seq: 1)] - [TC Property Current Stage (Seq: 1)] - [Buildings (Seq: 52)] - [Buildings - User Defined Field Values (Seq: 1)] Building Info - Total Square Footage - Both]&gt;</t>
        </r>
      </text>
    </comment>
    <comment ref="AC242" authorId="0" shapeId="0" xr:uid="{14BD64D1-6860-4FCC-BC12-2C6BB6A11AFE}">
      <text>
        <r>
          <rPr>
            <b/>
            <sz val="9"/>
            <color indexed="81"/>
            <rFont val="Tahoma"/>
            <family val="2"/>
          </rPr>
          <t>&lt;[[DEVDeals] - [Associated TC Deal (Seq: 1)] - [TC Property Current Stage (Seq: 1)] - [Buildings (Seq: 52)] - [Buildings - User Defined Field Values (Seq: 1)] Building Info - Restricted Unit Square Footage - Both]&gt;</t>
        </r>
      </text>
    </comment>
    <comment ref="AD242" authorId="0" shapeId="0" xr:uid="{C8A4420C-E739-400F-B733-120F28033166}">
      <text>
        <r>
          <rPr>
            <b/>
            <sz val="9"/>
            <color indexed="81"/>
            <rFont val="Tahoma"/>
            <family val="2"/>
          </rPr>
          <t>&lt;[[DEVDeals] - [Associated TC Deal (Seq: 1)] - [TC Property Current Stage (Seq: 1)] - [Buildings (Seq: 52)] Applicable Fraction - Both]&gt;</t>
        </r>
      </text>
    </comment>
    <comment ref="AE242" authorId="0" shapeId="0" xr:uid="{06699745-4A76-4C91-9C70-938623E97494}">
      <text>
        <r>
          <rPr>
            <b/>
            <sz val="9"/>
            <color indexed="81"/>
            <rFont val="Tahoma"/>
            <family val="2"/>
          </rPr>
          <t>&lt;[[DEVDeals] - [Associated TC Deal (Seq: 1)] - [TC Property Current Stage (Seq: 1)] - [Buildings (Seq: 52)] - [Buildings - User Defined Field Values (Seq: 1)] Building Info - Year Built - Both]&gt;</t>
        </r>
      </text>
    </comment>
    <comment ref="AF242" authorId="0" shapeId="0" xr:uid="{58F9CA54-62B8-482D-9BD2-93397F72D3B6}">
      <text>
        <r>
          <rPr>
            <b/>
            <sz val="9"/>
            <color indexed="81"/>
            <rFont val="Tahoma"/>
            <family val="2"/>
          </rPr>
          <t>&lt;[[DEVDeals] - [Associated TC Deal (Seq: 1)] - [TC Property Current Stage (Seq: 1)] - [Buildings (Seq: 52)] - [Buildings - User Defined Field Values (Seq: 1)] Building Info - Building Type - Both]&gt;</t>
        </r>
      </text>
    </comment>
    <comment ref="AG242" authorId="0" shapeId="0" xr:uid="{078E64B9-85FB-4A22-9FA8-C4FA0971A1EE}">
      <text>
        <r>
          <rPr>
            <b/>
            <sz val="9"/>
            <color indexed="81"/>
            <rFont val="Tahoma"/>
            <family val="2"/>
          </rPr>
          <t>&lt;[[DEVDeals] - [Associated TC Deal (Seq: 1)] - [TC Property Current Stage (Seq: 1)] - [Buildings (Seq: 52)] Num Mkt Units - Both]&gt;</t>
        </r>
      </text>
    </comment>
    <comment ref="AH242" authorId="0" shapeId="0" xr:uid="{0ACE6F82-76B1-43D1-AEE6-9B0A52694BF6}">
      <text>
        <r>
          <rPr>
            <b/>
            <sz val="9"/>
            <color indexed="81"/>
            <rFont val="Tahoma"/>
            <family val="2"/>
          </rPr>
          <t>&lt;[[DEVDeals] - [Associated TC Deal (Seq: 1)] - [TC Property Current Stage (Seq: 1)] - [Buildings (Seq: 52)] - [Buildings - User Defined Field Values (Seq: 1)] Building Info - Date Last Placed in Service - Both]&gt;</t>
        </r>
      </text>
    </comment>
    <comment ref="AI242" authorId="0" shapeId="0" xr:uid="{DC50729A-8CEF-4271-9D70-5E076371A060}">
      <text>
        <r>
          <rPr>
            <b/>
            <sz val="9"/>
            <color indexed="81"/>
            <rFont val="Tahoma"/>
            <family val="2"/>
          </rPr>
          <t>&lt;[[DEVDeals] - [Associated TC Deal (Seq: 1)] - [TC Property Current Stage (Seq: 1)] - [Buildings (Seq: 52)] - [Buildings - User Defined Field Values (Seq: 1)] Building Info - Sponsor's Purchase Date - Both]&gt;</t>
        </r>
      </text>
    </comment>
    <comment ref="AJ242" authorId="0" shapeId="0" xr:uid="{7133537D-139E-4C20-BD68-6F27EED8AA22}">
      <text>
        <r>
          <rPr>
            <b/>
            <sz val="9"/>
            <color indexed="81"/>
            <rFont val="Tahoma"/>
            <family val="2"/>
          </rPr>
          <t>&lt;[[DEVDeals] - [Associated TC Deal (Seq: 1)] - [TC Property Current Stage (Seq: 1)] - [Buildings (Seq: 52)] - [Buildings - User Defined Field Values (Seq: 1)] Building Info - Years Between PIS &amp; Purchase Date - Both]&gt;</t>
        </r>
      </text>
    </comment>
    <comment ref="AK242" authorId="0" shapeId="0" xr:uid="{85EF19C0-05D9-4752-9863-DC144FC0CA3A}">
      <text>
        <r>
          <rPr>
            <b/>
            <sz val="9"/>
            <color indexed="81"/>
            <rFont val="Tahoma"/>
            <family val="2"/>
          </rPr>
          <t>&lt;[[DEVDeals] - [Associated TC Deal (Seq: 1)] - [TC Property Current Stage (Seq: 1)] - [Buildings (Seq: 52)] Federal Minimum Set Aside Id - Both]&gt;</t>
        </r>
      </text>
    </comment>
    <comment ref="U243" authorId="0" shapeId="0" xr:uid="{9719499F-9FB4-425F-A0B8-6EDFCC7CB01F}">
      <text>
        <r>
          <rPr>
            <b/>
            <sz val="9"/>
            <color indexed="81"/>
            <rFont val="Tahoma"/>
            <family val="2"/>
          </rPr>
          <t>&lt;[[DEVDeals] - [Associated TC Deal (Seq: 1)] - [TC Property Current Stage (Seq: 1)] - [Buildings (Seq: 53)] Address 1 - Both]&gt;</t>
        </r>
      </text>
    </comment>
    <comment ref="V243" authorId="0" shapeId="0" xr:uid="{7C640449-9279-481D-BFC4-0A0D4F649442}">
      <text>
        <r>
          <rPr>
            <b/>
            <sz val="9"/>
            <color indexed="81"/>
            <rFont val="Tahoma"/>
            <family val="2"/>
          </rPr>
          <t>&lt;[[DEVDeals] - [Associated TC Deal (Seq: 1)] - [TC Property Current Stage (Seq: 1)] - [Buildings (Seq: 53)] City - Both]&gt;</t>
        </r>
      </text>
    </comment>
    <comment ref="W243" authorId="0" shapeId="0" xr:uid="{78245EEE-5F36-467D-BD13-2E98A6522DA3}">
      <text>
        <r>
          <rPr>
            <b/>
            <sz val="9"/>
            <color indexed="81"/>
            <rFont val="Tahoma"/>
            <family val="2"/>
          </rPr>
          <t>&lt;[[DEVDeals] - [Associated TC Deal (Seq: 1)] - [TC Property Current Stage (Seq: 1)] - [Buildings (Seq: 53)] State - Both]&gt;</t>
        </r>
      </text>
    </comment>
    <comment ref="X243" authorId="0" shapeId="0" xr:uid="{D45C5ED7-48FF-44AB-A978-57F7ABE4652C}">
      <text>
        <r>
          <rPr>
            <b/>
            <sz val="9"/>
            <color indexed="81"/>
            <rFont val="Tahoma"/>
            <family val="2"/>
          </rPr>
          <t>&lt;[[DEVDeals] - [Associated TC Deal (Seq: 1)] - [TC Property Current Stage (Seq: 1)] - [Buildings (Seq: 53)] Zip Code - Both]&gt;</t>
        </r>
      </text>
    </comment>
    <comment ref="Y243" authorId="0" shapeId="0" xr:uid="{A3C79BC3-DE44-48CB-A1B9-A55BD25377AB}">
      <text>
        <r>
          <rPr>
            <b/>
            <sz val="9"/>
            <color indexed="81"/>
            <rFont val="Tahoma"/>
            <family val="2"/>
          </rPr>
          <t>&lt;[[DEVDeals] - [Associated TC Deal (Seq: 1)] - [TC Property Current Stage (Seq: 1)] - [Buildings (Seq: 53)] BIN - Both]&gt;</t>
        </r>
      </text>
    </comment>
    <comment ref="AA243" authorId="0" shapeId="0" xr:uid="{4D722F7F-A122-4373-B570-1A6EB9650C43}">
      <text>
        <r>
          <rPr>
            <b/>
            <sz val="9"/>
            <color indexed="81"/>
            <rFont val="Tahoma"/>
            <family val="2"/>
          </rPr>
          <t>&lt;[[DEVDeals] - [Associated TC Deal (Seq: 1)] - [TC Property Current Stage (Seq: 1)] - [Buildings (Seq: 53)] Num TC Units - Both]&gt;</t>
        </r>
      </text>
    </comment>
    <comment ref="AB243" authorId="0" shapeId="0" xr:uid="{C664B178-7862-4DB9-B7CB-A85F374916FC}">
      <text>
        <r>
          <rPr>
            <b/>
            <sz val="9"/>
            <color indexed="81"/>
            <rFont val="Tahoma"/>
            <family val="2"/>
          </rPr>
          <t>&lt;[[DEVDeals] - [Associated TC Deal (Seq: 1)] - [TC Property Current Stage (Seq: 1)] - [Buildings (Seq: 53)] - [Buildings - User Defined Field Values (Seq: 1)] Building Info - Total Square Footage - Both]&gt;</t>
        </r>
      </text>
    </comment>
    <comment ref="AC243" authorId="0" shapeId="0" xr:uid="{D52A5C7A-3B99-425B-A21C-0526DB194722}">
      <text>
        <r>
          <rPr>
            <b/>
            <sz val="9"/>
            <color indexed="81"/>
            <rFont val="Tahoma"/>
            <family val="2"/>
          </rPr>
          <t>&lt;[[DEVDeals] - [Associated TC Deal (Seq: 1)] - [TC Property Current Stage (Seq: 1)] - [Buildings (Seq: 53)] - [Buildings - User Defined Field Values (Seq: 1)] Building Info - Restricted Unit Square Footage - Both]&gt;</t>
        </r>
      </text>
    </comment>
    <comment ref="AD243" authorId="0" shapeId="0" xr:uid="{83914A3F-D8EF-4604-95E9-B2B472DF5EF6}">
      <text>
        <r>
          <rPr>
            <b/>
            <sz val="9"/>
            <color indexed="81"/>
            <rFont val="Tahoma"/>
            <family val="2"/>
          </rPr>
          <t>&lt;[[DEVDeals] - [Associated TC Deal (Seq: 1)] - [TC Property Current Stage (Seq: 1)] - [Buildings (Seq: 53)] Applicable Fraction - Both]&gt;</t>
        </r>
      </text>
    </comment>
    <comment ref="AE243" authorId="0" shapeId="0" xr:uid="{84FA89BF-D87B-4BE6-9A85-FE17D3CED347}">
      <text>
        <r>
          <rPr>
            <b/>
            <sz val="9"/>
            <color indexed="81"/>
            <rFont val="Tahoma"/>
            <family val="2"/>
          </rPr>
          <t>&lt;[[DEVDeals] - [Associated TC Deal (Seq: 1)] - [TC Property Current Stage (Seq: 1)] - [Buildings (Seq: 53)] - [Buildings - User Defined Field Values (Seq: 1)] Building Info - Year Built - Both]&gt;</t>
        </r>
      </text>
    </comment>
    <comment ref="AF243" authorId="0" shapeId="0" xr:uid="{04A1F4E4-417F-4C01-91AB-AE54163113F6}">
      <text>
        <r>
          <rPr>
            <b/>
            <sz val="9"/>
            <color indexed="81"/>
            <rFont val="Tahoma"/>
            <family val="2"/>
          </rPr>
          <t>&lt;[[DEVDeals] - [Associated TC Deal (Seq: 1)] - [TC Property Current Stage (Seq: 1)] - [Buildings (Seq: 53)] - [Buildings - User Defined Field Values (Seq: 1)] Building Info - Building Type - Both]&gt;</t>
        </r>
      </text>
    </comment>
    <comment ref="AG243" authorId="0" shapeId="0" xr:uid="{0F0B13EB-C90A-49D0-99DB-3CECF4F85E91}">
      <text>
        <r>
          <rPr>
            <b/>
            <sz val="9"/>
            <color indexed="81"/>
            <rFont val="Tahoma"/>
            <family val="2"/>
          </rPr>
          <t>&lt;[[DEVDeals] - [Associated TC Deal (Seq: 1)] - [TC Property Current Stage (Seq: 1)] - [Buildings (Seq: 53)] Num Mkt Units - Both]&gt;</t>
        </r>
      </text>
    </comment>
    <comment ref="AH243" authorId="0" shapeId="0" xr:uid="{368E50BC-EF7E-4BBB-BF4C-18D4E56C8F8C}">
      <text>
        <r>
          <rPr>
            <b/>
            <sz val="9"/>
            <color indexed="81"/>
            <rFont val="Tahoma"/>
            <family val="2"/>
          </rPr>
          <t>&lt;[[DEVDeals] - [Associated TC Deal (Seq: 1)] - [TC Property Current Stage (Seq: 1)] - [Buildings (Seq: 53)] - [Buildings - User Defined Field Values (Seq: 1)] Building Info - Date Last Placed in Service - Both]&gt;</t>
        </r>
      </text>
    </comment>
    <comment ref="AI243" authorId="0" shapeId="0" xr:uid="{57DD2A18-FE81-4953-A106-D5554B4324CF}">
      <text>
        <r>
          <rPr>
            <b/>
            <sz val="9"/>
            <color indexed="81"/>
            <rFont val="Tahoma"/>
            <family val="2"/>
          </rPr>
          <t>&lt;[[DEVDeals] - [Associated TC Deal (Seq: 1)] - [TC Property Current Stage (Seq: 1)] - [Buildings (Seq: 53)] - [Buildings - User Defined Field Values (Seq: 1)] Building Info - Sponsor's Purchase Date - Both]&gt;</t>
        </r>
      </text>
    </comment>
    <comment ref="AJ243" authorId="0" shapeId="0" xr:uid="{CC3E85AF-E740-4B4A-A3BD-4674D27BC229}">
      <text>
        <r>
          <rPr>
            <b/>
            <sz val="9"/>
            <color indexed="81"/>
            <rFont val="Tahoma"/>
            <family val="2"/>
          </rPr>
          <t>&lt;[[DEVDeals] - [Associated TC Deal (Seq: 1)] - [TC Property Current Stage (Seq: 1)] - [Buildings (Seq: 53)] - [Buildings - User Defined Field Values (Seq: 1)] Building Info - Years Between PIS &amp; Purchase Date - Both]&gt;</t>
        </r>
      </text>
    </comment>
    <comment ref="AK243" authorId="0" shapeId="0" xr:uid="{4F9C98CB-8E53-4F59-91C5-E7CCE816EE9D}">
      <text>
        <r>
          <rPr>
            <b/>
            <sz val="9"/>
            <color indexed="81"/>
            <rFont val="Tahoma"/>
            <family val="2"/>
          </rPr>
          <t>&lt;[[DEVDeals] - [Associated TC Deal (Seq: 1)] - [TC Property Current Stage (Seq: 1)] - [Buildings (Seq: 53)] Federal Minimum Set Aside Id - Both]&gt;</t>
        </r>
      </text>
    </comment>
    <comment ref="U244" authorId="0" shapeId="0" xr:uid="{F4A62CDC-F208-4DA2-B211-47BFF630C5B7}">
      <text>
        <r>
          <rPr>
            <b/>
            <sz val="9"/>
            <color indexed="81"/>
            <rFont val="Tahoma"/>
            <family val="2"/>
          </rPr>
          <t>&lt;[[DEVDeals] - [Associated TC Deal (Seq: 1)] - [TC Property Current Stage (Seq: 1)] - [Buildings (Seq: 54)] Address 1 - Both]&gt;</t>
        </r>
      </text>
    </comment>
    <comment ref="V244" authorId="0" shapeId="0" xr:uid="{CE23C772-F123-4CA3-BD39-C6D8C3C5CD67}">
      <text>
        <r>
          <rPr>
            <b/>
            <sz val="9"/>
            <color indexed="81"/>
            <rFont val="Tahoma"/>
            <family val="2"/>
          </rPr>
          <t>&lt;[[DEVDeals] - [Associated TC Deal (Seq: 1)] - [TC Property Current Stage (Seq: 1)] - [Buildings (Seq: 54)] City - Both]&gt;</t>
        </r>
      </text>
    </comment>
    <comment ref="W244" authorId="0" shapeId="0" xr:uid="{B37FB682-39F8-4837-8315-412BDA4DB338}">
      <text>
        <r>
          <rPr>
            <b/>
            <sz val="9"/>
            <color indexed="81"/>
            <rFont val="Tahoma"/>
            <family val="2"/>
          </rPr>
          <t>&lt;[[DEVDeals] - [Associated TC Deal (Seq: 1)] - [TC Property Current Stage (Seq: 1)] - [Buildings (Seq: 54)] State - Both]&gt;</t>
        </r>
      </text>
    </comment>
    <comment ref="X244" authorId="0" shapeId="0" xr:uid="{DE221C9F-FCD1-45FE-98E6-047366D9D3A3}">
      <text>
        <r>
          <rPr>
            <b/>
            <sz val="9"/>
            <color indexed="81"/>
            <rFont val="Tahoma"/>
            <family val="2"/>
          </rPr>
          <t>&lt;[[DEVDeals] - [Associated TC Deal (Seq: 1)] - [TC Property Current Stage (Seq: 1)] - [Buildings (Seq: 54)] Zip Code - Both]&gt;</t>
        </r>
      </text>
    </comment>
    <comment ref="Y244" authorId="0" shapeId="0" xr:uid="{2261EDFF-8783-43FC-82F3-3F4F32C5B264}">
      <text>
        <r>
          <rPr>
            <b/>
            <sz val="9"/>
            <color indexed="81"/>
            <rFont val="Tahoma"/>
            <family val="2"/>
          </rPr>
          <t>&lt;[[DEVDeals] - [Associated TC Deal (Seq: 1)] - [TC Property Current Stage (Seq: 1)] - [Buildings (Seq: 54)] BIN - Both]&gt;</t>
        </r>
      </text>
    </comment>
    <comment ref="AA244" authorId="0" shapeId="0" xr:uid="{6EEA1205-FC26-4C69-B124-1E54F95D0EC2}">
      <text>
        <r>
          <rPr>
            <b/>
            <sz val="9"/>
            <color indexed="81"/>
            <rFont val="Tahoma"/>
            <family val="2"/>
          </rPr>
          <t>&lt;[[DEVDeals] - [Associated TC Deal (Seq: 1)] - [TC Property Current Stage (Seq: 1)] - [Buildings (Seq: 54)] Num TC Units - Both]&gt;</t>
        </r>
      </text>
    </comment>
    <comment ref="AB244" authorId="0" shapeId="0" xr:uid="{2B5F4495-02BE-4D93-A224-002B8D87CC25}">
      <text>
        <r>
          <rPr>
            <b/>
            <sz val="9"/>
            <color indexed="81"/>
            <rFont val="Tahoma"/>
            <family val="2"/>
          </rPr>
          <t>&lt;[[DEVDeals] - [Associated TC Deal (Seq: 1)] - [TC Property Current Stage (Seq: 1)] - [Buildings (Seq: 54)] - [Buildings - User Defined Field Values (Seq: 1)] Building Info - Total Square Footage - Both]&gt;</t>
        </r>
      </text>
    </comment>
    <comment ref="AC244" authorId="0" shapeId="0" xr:uid="{BB727A08-B210-49CD-8514-65587B981795}">
      <text>
        <r>
          <rPr>
            <b/>
            <sz val="9"/>
            <color indexed="81"/>
            <rFont val="Tahoma"/>
            <family val="2"/>
          </rPr>
          <t>&lt;[[DEVDeals] - [Associated TC Deal (Seq: 1)] - [TC Property Current Stage (Seq: 1)] - [Buildings (Seq: 54)] - [Buildings - User Defined Field Values (Seq: 1)] Building Info - Restricted Unit Square Footage - Both]&gt;</t>
        </r>
      </text>
    </comment>
    <comment ref="AD244" authorId="0" shapeId="0" xr:uid="{4DD49C40-DB02-448C-9A96-D643855837F8}">
      <text>
        <r>
          <rPr>
            <b/>
            <sz val="9"/>
            <color indexed="81"/>
            <rFont val="Tahoma"/>
            <family val="2"/>
          </rPr>
          <t>&lt;[[DEVDeals] - [Associated TC Deal (Seq: 1)] - [TC Property Current Stage (Seq: 1)] - [Buildings (Seq: 54)] Applicable Fraction - Both]&gt;</t>
        </r>
      </text>
    </comment>
    <comment ref="AE244" authorId="0" shapeId="0" xr:uid="{7B1D32B8-7996-49AC-A6FB-75E9A18546B9}">
      <text>
        <r>
          <rPr>
            <b/>
            <sz val="9"/>
            <color indexed="81"/>
            <rFont val="Tahoma"/>
            <family val="2"/>
          </rPr>
          <t>&lt;[[DEVDeals] - [Associated TC Deal (Seq: 1)] - [TC Property Current Stage (Seq: 1)] - [Buildings (Seq: 54)] - [Buildings - User Defined Field Values (Seq: 1)] Building Info - Year Built - Both]&gt;</t>
        </r>
      </text>
    </comment>
    <comment ref="AF244" authorId="0" shapeId="0" xr:uid="{CD1B10DA-A31D-47D0-80E2-88004E2596DD}">
      <text>
        <r>
          <rPr>
            <b/>
            <sz val="9"/>
            <color indexed="81"/>
            <rFont val="Tahoma"/>
            <family val="2"/>
          </rPr>
          <t>&lt;[[DEVDeals] - [Associated TC Deal (Seq: 1)] - [TC Property Current Stage (Seq: 1)] - [Buildings (Seq: 54)] - [Buildings - User Defined Field Values (Seq: 1)] Building Info - Building Type - Both]&gt;</t>
        </r>
      </text>
    </comment>
    <comment ref="AG244" authorId="0" shapeId="0" xr:uid="{1E2DA0C5-7F04-477D-A7EF-583DA9C45241}">
      <text>
        <r>
          <rPr>
            <b/>
            <sz val="9"/>
            <color indexed="81"/>
            <rFont val="Tahoma"/>
            <family val="2"/>
          </rPr>
          <t>&lt;[[DEVDeals] - [Associated TC Deal (Seq: 1)] - [TC Property Current Stage (Seq: 1)] - [Buildings (Seq: 54)] Num Mkt Units - Both]&gt;</t>
        </r>
      </text>
    </comment>
    <comment ref="AH244" authorId="0" shapeId="0" xr:uid="{A6CF41A6-E878-4951-A02D-CF8EDC716E52}">
      <text>
        <r>
          <rPr>
            <b/>
            <sz val="9"/>
            <color indexed="81"/>
            <rFont val="Tahoma"/>
            <family val="2"/>
          </rPr>
          <t>&lt;[[DEVDeals] - [Associated TC Deal (Seq: 1)] - [TC Property Current Stage (Seq: 1)] - [Buildings (Seq: 54)] - [Buildings - User Defined Field Values (Seq: 1)] Building Info - Date Last Placed in Service - Both]&gt;</t>
        </r>
      </text>
    </comment>
    <comment ref="AI244" authorId="0" shapeId="0" xr:uid="{F0D3A4ED-02E4-4675-B017-AB12B1BAA433}">
      <text>
        <r>
          <rPr>
            <b/>
            <sz val="9"/>
            <color indexed="81"/>
            <rFont val="Tahoma"/>
            <family val="2"/>
          </rPr>
          <t>&lt;[[DEVDeals] - [Associated TC Deal (Seq: 1)] - [TC Property Current Stage (Seq: 1)] - [Buildings (Seq: 54)] - [Buildings - User Defined Field Values (Seq: 1)] Building Info - Sponsor's Purchase Date - Both]&gt;</t>
        </r>
      </text>
    </comment>
    <comment ref="AJ244" authorId="0" shapeId="0" xr:uid="{DE354E77-8656-4421-912B-6FB7B7007596}">
      <text>
        <r>
          <rPr>
            <b/>
            <sz val="9"/>
            <color indexed="81"/>
            <rFont val="Tahoma"/>
            <family val="2"/>
          </rPr>
          <t>&lt;[[DEVDeals] - [Associated TC Deal (Seq: 1)] - [TC Property Current Stage (Seq: 1)] - [Buildings (Seq: 54)] - [Buildings - User Defined Field Values (Seq: 1)] Building Info - Years Between PIS &amp; Purchase Date - Both]&gt;</t>
        </r>
      </text>
    </comment>
    <comment ref="AK244" authorId="0" shapeId="0" xr:uid="{9D2E04B8-CB5D-472D-A00E-276BD7FC1B6C}">
      <text>
        <r>
          <rPr>
            <b/>
            <sz val="9"/>
            <color indexed="81"/>
            <rFont val="Tahoma"/>
            <family val="2"/>
          </rPr>
          <t>&lt;[[DEVDeals] - [Associated TC Deal (Seq: 1)] - [TC Property Current Stage (Seq: 1)] - [Buildings (Seq: 54)] Federal Minimum Set Aside Id - Both]&gt;</t>
        </r>
      </text>
    </comment>
    <comment ref="U245" authorId="0" shapeId="0" xr:uid="{81F7DA2B-19BD-4AD9-8317-3394E37F673E}">
      <text>
        <r>
          <rPr>
            <b/>
            <sz val="9"/>
            <color indexed="81"/>
            <rFont val="Tahoma"/>
            <family val="2"/>
          </rPr>
          <t>&lt;[[DEVDeals] - [Associated TC Deal (Seq: 1)] - [TC Property Current Stage (Seq: 1)] - [Buildings (Seq: 55)] Address 1 - Both]&gt;</t>
        </r>
      </text>
    </comment>
    <comment ref="V245" authorId="0" shapeId="0" xr:uid="{CBC0693C-E27B-410A-A177-CED75CCAD666}">
      <text>
        <r>
          <rPr>
            <b/>
            <sz val="9"/>
            <color indexed="81"/>
            <rFont val="Tahoma"/>
            <family val="2"/>
          </rPr>
          <t>&lt;[[DEVDeals] - [Associated TC Deal (Seq: 1)] - [TC Property Current Stage (Seq: 1)] - [Buildings (Seq: 55)] City - Both]&gt;</t>
        </r>
      </text>
    </comment>
    <comment ref="W245" authorId="0" shapeId="0" xr:uid="{C2512441-E9A8-492A-85BF-CB88B26FE911}">
      <text>
        <r>
          <rPr>
            <b/>
            <sz val="9"/>
            <color indexed="81"/>
            <rFont val="Tahoma"/>
            <family val="2"/>
          </rPr>
          <t>&lt;[[DEVDeals] - [Associated TC Deal (Seq: 1)] - [TC Property Current Stage (Seq: 1)] - [Buildings (Seq: 55)] State - Both]&gt;</t>
        </r>
      </text>
    </comment>
    <comment ref="X245" authorId="0" shapeId="0" xr:uid="{F0F141E6-515B-4994-9E55-F24E5AE2294A}">
      <text>
        <r>
          <rPr>
            <b/>
            <sz val="9"/>
            <color indexed="81"/>
            <rFont val="Tahoma"/>
            <family val="2"/>
          </rPr>
          <t>&lt;[[DEVDeals] - [Associated TC Deal (Seq: 1)] - [TC Property Current Stage (Seq: 1)] - [Buildings (Seq: 55)] Zip Code - Both]&gt;</t>
        </r>
      </text>
    </comment>
    <comment ref="Y245" authorId="0" shapeId="0" xr:uid="{72535BCE-3479-4F8B-99D1-302B51CF2A46}">
      <text>
        <r>
          <rPr>
            <b/>
            <sz val="9"/>
            <color indexed="81"/>
            <rFont val="Tahoma"/>
            <family val="2"/>
          </rPr>
          <t>&lt;[[DEVDeals] - [Associated TC Deal (Seq: 1)] - [TC Property Current Stage (Seq: 1)] - [Buildings (Seq: 55)] BIN - Both]&gt;</t>
        </r>
      </text>
    </comment>
    <comment ref="AA245" authorId="0" shapeId="0" xr:uid="{56D421D2-4A89-4F96-A640-7C5058498A67}">
      <text>
        <r>
          <rPr>
            <b/>
            <sz val="9"/>
            <color indexed="81"/>
            <rFont val="Tahoma"/>
            <family val="2"/>
          </rPr>
          <t>&lt;[[DEVDeals] - [Associated TC Deal (Seq: 1)] - [TC Property Current Stage (Seq: 1)] - [Buildings (Seq: 55)] Num TC Units - Both]&gt;</t>
        </r>
      </text>
    </comment>
    <comment ref="AB245" authorId="0" shapeId="0" xr:uid="{0267965A-7E6C-4B36-8FAE-11902D430EA3}">
      <text>
        <r>
          <rPr>
            <b/>
            <sz val="9"/>
            <color indexed="81"/>
            <rFont val="Tahoma"/>
            <family val="2"/>
          </rPr>
          <t>&lt;[[DEVDeals] - [Associated TC Deal (Seq: 1)] - [TC Property Current Stage (Seq: 1)] - [Buildings (Seq: 55)] - [Buildings - User Defined Field Values (Seq: 1)] Building Info - Total Square Footage - Both]&gt;</t>
        </r>
      </text>
    </comment>
    <comment ref="AC245" authorId="0" shapeId="0" xr:uid="{AF556FBD-1B39-4788-9745-E9768307FB37}">
      <text>
        <r>
          <rPr>
            <b/>
            <sz val="9"/>
            <color indexed="81"/>
            <rFont val="Tahoma"/>
            <family val="2"/>
          </rPr>
          <t>&lt;[[DEVDeals] - [Associated TC Deal (Seq: 1)] - [TC Property Current Stage (Seq: 1)] - [Buildings (Seq: 55)] - [Buildings - User Defined Field Values (Seq: 1)] Building Info - Restricted Unit Square Footage - Both]&gt;</t>
        </r>
      </text>
    </comment>
    <comment ref="AD245" authorId="0" shapeId="0" xr:uid="{DEE2C298-11D0-4F87-A4FF-CB46BC632C0B}">
      <text>
        <r>
          <rPr>
            <b/>
            <sz val="9"/>
            <color indexed="81"/>
            <rFont val="Tahoma"/>
            <family val="2"/>
          </rPr>
          <t>&lt;[[DEVDeals] - [Associated TC Deal (Seq: 1)] - [TC Property Current Stage (Seq: 1)] - [Buildings (Seq: 55)] Applicable Fraction - Both]&gt;</t>
        </r>
      </text>
    </comment>
    <comment ref="AE245" authorId="0" shapeId="0" xr:uid="{59A750A8-D5F3-487F-8A43-EFCCBE030FBD}">
      <text>
        <r>
          <rPr>
            <b/>
            <sz val="9"/>
            <color indexed="81"/>
            <rFont val="Tahoma"/>
            <family val="2"/>
          </rPr>
          <t>&lt;[[DEVDeals] - [Associated TC Deal (Seq: 1)] - [TC Property Current Stage (Seq: 1)] - [Buildings (Seq: 55)] - [Buildings - User Defined Field Values (Seq: 1)] Building Info - Year Built - Both]&gt;</t>
        </r>
      </text>
    </comment>
    <comment ref="AF245" authorId="0" shapeId="0" xr:uid="{63D060DF-190D-492C-8F7B-DB4DBE79AB0D}">
      <text>
        <r>
          <rPr>
            <b/>
            <sz val="9"/>
            <color indexed="81"/>
            <rFont val="Tahoma"/>
            <family val="2"/>
          </rPr>
          <t>&lt;[[DEVDeals] - [Associated TC Deal (Seq: 1)] - [TC Property Current Stage (Seq: 1)] - [Buildings (Seq: 55)] - [Buildings - User Defined Field Values (Seq: 1)] Building Info - Building Type - Both]&gt;</t>
        </r>
      </text>
    </comment>
    <comment ref="AG245" authorId="0" shapeId="0" xr:uid="{4ABD25F1-A148-4AC9-97F0-3863B39D0535}">
      <text>
        <r>
          <rPr>
            <b/>
            <sz val="9"/>
            <color indexed="81"/>
            <rFont val="Tahoma"/>
            <family val="2"/>
          </rPr>
          <t>&lt;[[DEVDeals] - [Associated TC Deal (Seq: 1)] - [TC Property Current Stage (Seq: 1)] - [Buildings (Seq: 55)] Num Mkt Units - Both]&gt;</t>
        </r>
      </text>
    </comment>
    <comment ref="AH245" authorId="0" shapeId="0" xr:uid="{B25A7FE6-7E07-4C71-A26A-66A268F856CD}">
      <text>
        <r>
          <rPr>
            <b/>
            <sz val="9"/>
            <color indexed="81"/>
            <rFont val="Tahoma"/>
            <family val="2"/>
          </rPr>
          <t>&lt;[[DEVDeals] - [Associated TC Deal (Seq: 1)] - [TC Property Current Stage (Seq: 1)] - [Buildings (Seq: 55)] - [Buildings - User Defined Field Values (Seq: 1)] Building Info - Date Last Placed in Service - Both]&gt;</t>
        </r>
      </text>
    </comment>
    <comment ref="AI245" authorId="0" shapeId="0" xr:uid="{D89888D9-7967-4862-B35A-5E4DFB878C5F}">
      <text>
        <r>
          <rPr>
            <b/>
            <sz val="9"/>
            <color indexed="81"/>
            <rFont val="Tahoma"/>
            <family val="2"/>
          </rPr>
          <t>&lt;[[DEVDeals] - [Associated TC Deal (Seq: 1)] - [TC Property Current Stage (Seq: 1)] - [Buildings (Seq: 55)] - [Buildings - User Defined Field Values (Seq: 1)] Building Info - Sponsor's Purchase Date - Both]&gt;</t>
        </r>
      </text>
    </comment>
    <comment ref="AJ245" authorId="0" shapeId="0" xr:uid="{BE162815-350C-4751-B16F-10DE6A9089CE}">
      <text>
        <r>
          <rPr>
            <b/>
            <sz val="9"/>
            <color indexed="81"/>
            <rFont val="Tahoma"/>
            <family val="2"/>
          </rPr>
          <t>&lt;[[DEVDeals] - [Associated TC Deal (Seq: 1)] - [TC Property Current Stage (Seq: 1)] - [Buildings (Seq: 55)] - [Buildings - User Defined Field Values (Seq: 1)] Building Info - Years Between PIS &amp; Purchase Date - Both]&gt;</t>
        </r>
      </text>
    </comment>
    <comment ref="AK245" authorId="0" shapeId="0" xr:uid="{C45928B4-844F-401E-9A6B-7F1C377739F2}">
      <text>
        <r>
          <rPr>
            <b/>
            <sz val="9"/>
            <color indexed="81"/>
            <rFont val="Tahoma"/>
            <family val="2"/>
          </rPr>
          <t>&lt;[[DEVDeals] - [Associated TC Deal (Seq: 1)] - [TC Property Current Stage (Seq: 1)] - [Buildings (Seq: 55)] Federal Minimum Set Aside Id - Both]&gt;</t>
        </r>
      </text>
    </comment>
    <comment ref="U246" authorId="0" shapeId="0" xr:uid="{167BBC7C-016C-4EB6-84B7-1B2F7BA1B6A4}">
      <text>
        <r>
          <rPr>
            <b/>
            <sz val="9"/>
            <color indexed="81"/>
            <rFont val="Tahoma"/>
            <family val="2"/>
          </rPr>
          <t>&lt;[[DEVDeals] - [Associated TC Deal (Seq: 1)] - [TC Property Current Stage (Seq: 1)] - [Buildings (Seq: 56)] Address 1 - Both]&gt;</t>
        </r>
      </text>
    </comment>
    <comment ref="V246" authorId="0" shapeId="0" xr:uid="{5058CE3B-68BE-4FFC-AE5F-B11AB9386FF1}">
      <text>
        <r>
          <rPr>
            <b/>
            <sz val="9"/>
            <color indexed="81"/>
            <rFont val="Tahoma"/>
            <family val="2"/>
          </rPr>
          <t>&lt;[[DEVDeals] - [Associated TC Deal (Seq: 1)] - [TC Property Current Stage (Seq: 1)] - [Buildings (Seq: 56)] City - Both]&gt;</t>
        </r>
      </text>
    </comment>
    <comment ref="W246" authorId="0" shapeId="0" xr:uid="{0C51CD74-D067-48CD-984B-ACA390717708}">
      <text>
        <r>
          <rPr>
            <b/>
            <sz val="9"/>
            <color indexed="81"/>
            <rFont val="Tahoma"/>
            <family val="2"/>
          </rPr>
          <t>&lt;[[DEVDeals] - [Associated TC Deal (Seq: 1)] - [TC Property Current Stage (Seq: 1)] - [Buildings (Seq: 56)] State - Both]&gt;</t>
        </r>
      </text>
    </comment>
    <comment ref="X246" authorId="0" shapeId="0" xr:uid="{3D0D5C2C-CF0C-4355-9F19-BDE1F74ADD4C}">
      <text>
        <r>
          <rPr>
            <b/>
            <sz val="9"/>
            <color indexed="81"/>
            <rFont val="Tahoma"/>
            <family val="2"/>
          </rPr>
          <t>&lt;[[DEVDeals] - [Associated TC Deal (Seq: 1)] - [TC Property Current Stage (Seq: 1)] - [Buildings (Seq: 56)] Zip Code - Both]&gt;</t>
        </r>
      </text>
    </comment>
    <comment ref="Y246" authorId="0" shapeId="0" xr:uid="{155DD772-4F75-4138-8341-FFFE0D9F2691}">
      <text>
        <r>
          <rPr>
            <b/>
            <sz val="9"/>
            <color indexed="81"/>
            <rFont val="Tahoma"/>
            <family val="2"/>
          </rPr>
          <t>&lt;[[DEVDeals] - [Associated TC Deal (Seq: 1)] - [TC Property Current Stage (Seq: 1)] - [Buildings (Seq: 56)] BIN - Both]&gt;</t>
        </r>
      </text>
    </comment>
    <comment ref="AA246" authorId="0" shapeId="0" xr:uid="{F79E999A-6046-4F71-8964-D2EA9CC40812}">
      <text>
        <r>
          <rPr>
            <b/>
            <sz val="9"/>
            <color indexed="81"/>
            <rFont val="Tahoma"/>
            <family val="2"/>
          </rPr>
          <t>&lt;[[DEVDeals] - [Associated TC Deal (Seq: 1)] - [TC Property Current Stage (Seq: 1)] - [Buildings (Seq: 56)] Num TC Units - Both]&gt;</t>
        </r>
      </text>
    </comment>
    <comment ref="AB246" authorId="0" shapeId="0" xr:uid="{C43447B4-63A6-4BB8-869D-CFEFDD06D0CE}">
      <text>
        <r>
          <rPr>
            <b/>
            <sz val="9"/>
            <color indexed="81"/>
            <rFont val="Tahoma"/>
            <family val="2"/>
          </rPr>
          <t>&lt;[[DEVDeals] - [Associated TC Deal (Seq: 1)] - [TC Property Current Stage (Seq: 1)] - [Buildings (Seq: 56)] - [Buildings - User Defined Field Values (Seq: 1)] Building Info - Total Square Footage - Both]&gt;</t>
        </r>
      </text>
    </comment>
    <comment ref="AC246" authorId="0" shapeId="0" xr:uid="{AAD9FD62-A439-467D-AA97-C172CE83FCBB}">
      <text>
        <r>
          <rPr>
            <b/>
            <sz val="9"/>
            <color indexed="81"/>
            <rFont val="Tahoma"/>
            <family val="2"/>
          </rPr>
          <t>&lt;[[DEVDeals] - [Associated TC Deal (Seq: 1)] - [TC Property Current Stage (Seq: 1)] - [Buildings (Seq: 56)] - [Buildings - User Defined Field Values (Seq: 1)] Building Info - Restricted Unit Square Footage - Both]&gt;</t>
        </r>
      </text>
    </comment>
    <comment ref="AD246" authorId="0" shapeId="0" xr:uid="{C65B15EC-BAA3-4AE6-B918-56A4CE977F3A}">
      <text>
        <r>
          <rPr>
            <b/>
            <sz val="9"/>
            <color indexed="81"/>
            <rFont val="Tahoma"/>
            <family val="2"/>
          </rPr>
          <t>&lt;[[DEVDeals] - [Associated TC Deal (Seq: 1)] - [TC Property Current Stage (Seq: 1)] - [Buildings (Seq: 56)] Applicable Fraction - Both]&gt;</t>
        </r>
      </text>
    </comment>
    <comment ref="AE246" authorId="0" shapeId="0" xr:uid="{F5A6090A-90EF-4E09-B205-D63968431075}">
      <text>
        <r>
          <rPr>
            <b/>
            <sz val="9"/>
            <color indexed="81"/>
            <rFont val="Tahoma"/>
            <family val="2"/>
          </rPr>
          <t>&lt;[[DEVDeals] - [Associated TC Deal (Seq: 1)] - [TC Property Current Stage (Seq: 1)] - [Buildings (Seq: 56)] - [Buildings - User Defined Field Values (Seq: 1)] Building Info - Year Built - Both]&gt;</t>
        </r>
      </text>
    </comment>
    <comment ref="AF246" authorId="0" shapeId="0" xr:uid="{E47780ED-584B-4A09-9A2E-6CD77F49FDCB}">
      <text>
        <r>
          <rPr>
            <b/>
            <sz val="9"/>
            <color indexed="81"/>
            <rFont val="Tahoma"/>
            <family val="2"/>
          </rPr>
          <t>&lt;[[DEVDeals] - [Associated TC Deal (Seq: 1)] - [TC Property Current Stage (Seq: 1)] - [Buildings (Seq: 56)] - [Buildings - User Defined Field Values (Seq: 1)] Building Info - Building Type - Both]&gt;</t>
        </r>
      </text>
    </comment>
    <comment ref="AG246" authorId="0" shapeId="0" xr:uid="{BF344702-ECF5-4730-B90B-AD9B63AB35BF}">
      <text>
        <r>
          <rPr>
            <b/>
            <sz val="9"/>
            <color indexed="81"/>
            <rFont val="Tahoma"/>
            <family val="2"/>
          </rPr>
          <t>&lt;[[DEVDeals] - [Associated TC Deal (Seq: 1)] - [TC Property Current Stage (Seq: 1)] - [Buildings (Seq: 56)] Num Mkt Units - Both]&gt;</t>
        </r>
      </text>
    </comment>
    <comment ref="AH246" authorId="0" shapeId="0" xr:uid="{68181DFF-E5A3-4A3E-9290-2AF6F272A57D}">
      <text>
        <r>
          <rPr>
            <b/>
            <sz val="9"/>
            <color indexed="81"/>
            <rFont val="Tahoma"/>
            <family val="2"/>
          </rPr>
          <t>&lt;[[DEVDeals] - [Associated TC Deal (Seq: 1)] - [TC Property Current Stage (Seq: 1)] - [Buildings (Seq: 56)] - [Buildings - User Defined Field Values (Seq: 1)] Building Info - Date Last Placed in Service - Both]&gt;</t>
        </r>
      </text>
    </comment>
    <comment ref="AI246" authorId="0" shapeId="0" xr:uid="{12ACF817-D7CA-4F50-A68C-41DC1D73201C}">
      <text>
        <r>
          <rPr>
            <b/>
            <sz val="9"/>
            <color indexed="81"/>
            <rFont val="Tahoma"/>
            <family val="2"/>
          </rPr>
          <t>&lt;[[DEVDeals] - [Associated TC Deal (Seq: 1)] - [TC Property Current Stage (Seq: 1)] - [Buildings (Seq: 56)] - [Buildings - User Defined Field Values (Seq: 1)] Building Info - Sponsor's Purchase Date - Both]&gt;</t>
        </r>
      </text>
    </comment>
    <comment ref="AJ246" authorId="0" shapeId="0" xr:uid="{97E8144E-9367-4914-813D-2240B6F42304}">
      <text>
        <r>
          <rPr>
            <b/>
            <sz val="9"/>
            <color indexed="81"/>
            <rFont val="Tahoma"/>
            <family val="2"/>
          </rPr>
          <t>&lt;[[DEVDeals] - [Associated TC Deal (Seq: 1)] - [TC Property Current Stage (Seq: 1)] - [Buildings (Seq: 56)] - [Buildings - User Defined Field Values (Seq: 1)] Building Info - Years Between PIS &amp; Purchase Date - Both]&gt;</t>
        </r>
      </text>
    </comment>
    <comment ref="AK246" authorId="0" shapeId="0" xr:uid="{E03E5725-A913-4E37-A359-16C69A724253}">
      <text>
        <r>
          <rPr>
            <b/>
            <sz val="9"/>
            <color indexed="81"/>
            <rFont val="Tahoma"/>
            <family val="2"/>
          </rPr>
          <t>&lt;[[DEVDeals] - [Associated TC Deal (Seq: 1)] - [TC Property Current Stage (Seq: 1)] - [Buildings (Seq: 56)] Federal Minimum Set Aside Id - Both]&gt;</t>
        </r>
      </text>
    </comment>
    <comment ref="U247" authorId="0" shapeId="0" xr:uid="{AECE5BA1-A0BD-46D8-8AC0-FC094A8B8689}">
      <text>
        <r>
          <rPr>
            <b/>
            <sz val="9"/>
            <color indexed="81"/>
            <rFont val="Tahoma"/>
            <family val="2"/>
          </rPr>
          <t>&lt;[[DEVDeals] - [Associated TC Deal (Seq: 1)] - [TC Property Current Stage (Seq: 1)] - [Buildings (Seq: 57)] Address 1 - Both]&gt;</t>
        </r>
      </text>
    </comment>
    <comment ref="V247" authorId="0" shapeId="0" xr:uid="{DF49F24B-7D92-4FFA-AECA-146F1844CE77}">
      <text>
        <r>
          <rPr>
            <b/>
            <sz val="9"/>
            <color indexed="81"/>
            <rFont val="Tahoma"/>
            <family val="2"/>
          </rPr>
          <t>&lt;[[DEVDeals] - [Associated TC Deal (Seq: 1)] - [TC Property Current Stage (Seq: 1)] - [Buildings (Seq: 57)] City - Both]&gt;</t>
        </r>
      </text>
    </comment>
    <comment ref="W247" authorId="0" shapeId="0" xr:uid="{978D555A-1090-48D3-BAED-A60BC76464B0}">
      <text>
        <r>
          <rPr>
            <b/>
            <sz val="9"/>
            <color indexed="81"/>
            <rFont val="Tahoma"/>
            <family val="2"/>
          </rPr>
          <t>&lt;[[DEVDeals] - [Associated TC Deal (Seq: 1)] - [TC Property Current Stage (Seq: 1)] - [Buildings (Seq: 57)] State - Both]&gt;</t>
        </r>
      </text>
    </comment>
    <comment ref="X247" authorId="0" shapeId="0" xr:uid="{81B0300E-ACE8-43EF-98B7-CC85CC052BC2}">
      <text>
        <r>
          <rPr>
            <b/>
            <sz val="9"/>
            <color indexed="81"/>
            <rFont val="Tahoma"/>
            <family val="2"/>
          </rPr>
          <t>&lt;[[DEVDeals] - [Associated TC Deal (Seq: 1)] - [TC Property Current Stage (Seq: 1)] - [Buildings (Seq: 57)] Zip Code - Both]&gt;</t>
        </r>
      </text>
    </comment>
    <comment ref="Y247" authorId="0" shapeId="0" xr:uid="{2950514C-6225-46E2-8BF1-974BBE5E75B7}">
      <text>
        <r>
          <rPr>
            <b/>
            <sz val="9"/>
            <color indexed="81"/>
            <rFont val="Tahoma"/>
            <family val="2"/>
          </rPr>
          <t>&lt;[[DEVDeals] - [Associated TC Deal (Seq: 1)] - [TC Property Current Stage (Seq: 1)] - [Buildings (Seq: 57)] BIN - Both]&gt;</t>
        </r>
      </text>
    </comment>
    <comment ref="AA247" authorId="0" shapeId="0" xr:uid="{27DFD366-9B3A-4EA8-8A05-CB47D0D0E6C6}">
      <text>
        <r>
          <rPr>
            <b/>
            <sz val="9"/>
            <color indexed="81"/>
            <rFont val="Tahoma"/>
            <family val="2"/>
          </rPr>
          <t>&lt;[[DEVDeals] - [Associated TC Deal (Seq: 1)] - [TC Property Current Stage (Seq: 1)] - [Buildings (Seq: 57)] Num TC Units - Both]&gt;</t>
        </r>
      </text>
    </comment>
    <comment ref="AB247" authorId="0" shapeId="0" xr:uid="{A9545065-90FF-4ECB-AE63-96E0B03B0B16}">
      <text>
        <r>
          <rPr>
            <b/>
            <sz val="9"/>
            <color indexed="81"/>
            <rFont val="Tahoma"/>
            <family val="2"/>
          </rPr>
          <t>&lt;[[DEVDeals] - [Associated TC Deal (Seq: 1)] - [TC Property Current Stage (Seq: 1)] - [Buildings (Seq: 57)] - [Buildings - User Defined Field Values (Seq: 1)] Building Info - Total Square Footage - Both]&gt;</t>
        </r>
      </text>
    </comment>
    <comment ref="AC247" authorId="0" shapeId="0" xr:uid="{B77A34FD-34A8-4C45-BBCD-5914B9405EA0}">
      <text>
        <r>
          <rPr>
            <b/>
            <sz val="9"/>
            <color indexed="81"/>
            <rFont val="Tahoma"/>
            <family val="2"/>
          </rPr>
          <t>&lt;[[DEVDeals] - [Associated TC Deal (Seq: 1)] - [TC Property Current Stage (Seq: 1)] - [Buildings (Seq: 57)] - [Buildings - User Defined Field Values (Seq: 1)] Building Info - Restricted Unit Square Footage - Both]&gt;</t>
        </r>
      </text>
    </comment>
    <comment ref="AD247" authorId="0" shapeId="0" xr:uid="{F0BC84E5-D4D4-4D5D-9AB2-397C95FAD48E}">
      <text>
        <r>
          <rPr>
            <b/>
            <sz val="9"/>
            <color indexed="81"/>
            <rFont val="Tahoma"/>
            <family val="2"/>
          </rPr>
          <t>&lt;[[DEVDeals] - [Associated TC Deal (Seq: 1)] - [TC Property Current Stage (Seq: 1)] - [Buildings (Seq: 57)] Applicable Fraction - Both]&gt;</t>
        </r>
      </text>
    </comment>
    <comment ref="AE247" authorId="0" shapeId="0" xr:uid="{A0234026-8DD2-4966-9BD1-DBCE219C53D0}">
      <text>
        <r>
          <rPr>
            <b/>
            <sz val="9"/>
            <color indexed="81"/>
            <rFont val="Tahoma"/>
            <family val="2"/>
          </rPr>
          <t>&lt;[[DEVDeals] - [Associated TC Deal (Seq: 1)] - [TC Property Current Stage (Seq: 1)] - [Buildings (Seq: 57)] - [Buildings - User Defined Field Values (Seq: 1)] Building Info - Year Built - Both]&gt;</t>
        </r>
      </text>
    </comment>
    <comment ref="AF247" authorId="0" shapeId="0" xr:uid="{9230309C-8851-487F-9623-A4E38A37E9FF}">
      <text>
        <r>
          <rPr>
            <b/>
            <sz val="9"/>
            <color indexed="81"/>
            <rFont val="Tahoma"/>
            <family val="2"/>
          </rPr>
          <t>&lt;[[DEVDeals] - [Associated TC Deal (Seq: 1)] - [TC Property Current Stage (Seq: 1)] - [Buildings (Seq: 57)] - [Buildings - User Defined Field Values (Seq: 1)] Building Info - Building Type - Both]&gt;</t>
        </r>
      </text>
    </comment>
    <comment ref="AG247" authorId="0" shapeId="0" xr:uid="{1B7231D3-CDF3-4BCE-93E1-C55497F48215}">
      <text>
        <r>
          <rPr>
            <b/>
            <sz val="9"/>
            <color indexed="81"/>
            <rFont val="Tahoma"/>
            <family val="2"/>
          </rPr>
          <t>&lt;[[DEVDeals] - [Associated TC Deal (Seq: 1)] - [TC Property Current Stage (Seq: 1)] - [Buildings (Seq: 57)] Num Mkt Units - Both]&gt;</t>
        </r>
      </text>
    </comment>
    <comment ref="AH247" authorId="0" shapeId="0" xr:uid="{0BB40737-C4AB-41B0-B1C4-1E3A4635BF89}">
      <text>
        <r>
          <rPr>
            <b/>
            <sz val="9"/>
            <color indexed="81"/>
            <rFont val="Tahoma"/>
            <family val="2"/>
          </rPr>
          <t>&lt;[[DEVDeals] - [Associated TC Deal (Seq: 1)] - [TC Property Current Stage (Seq: 1)] - [Buildings (Seq: 57)] - [Buildings - User Defined Field Values (Seq: 1)] Building Info - Date Last Placed in Service - Both]&gt;</t>
        </r>
      </text>
    </comment>
    <comment ref="AI247" authorId="0" shapeId="0" xr:uid="{515D3310-20F8-4190-BA6C-FDA160A09355}">
      <text>
        <r>
          <rPr>
            <b/>
            <sz val="9"/>
            <color indexed="81"/>
            <rFont val="Tahoma"/>
            <family val="2"/>
          </rPr>
          <t>&lt;[[DEVDeals] - [Associated TC Deal (Seq: 1)] - [TC Property Current Stage (Seq: 1)] - [Buildings (Seq: 57)] - [Buildings - User Defined Field Values (Seq: 1)] Building Info - Sponsor's Purchase Date - Both]&gt;</t>
        </r>
      </text>
    </comment>
    <comment ref="AJ247" authorId="0" shapeId="0" xr:uid="{7A351C06-D6AD-4008-8D01-375DFEE845FE}">
      <text>
        <r>
          <rPr>
            <b/>
            <sz val="9"/>
            <color indexed="81"/>
            <rFont val="Tahoma"/>
            <family val="2"/>
          </rPr>
          <t>&lt;[[DEVDeals] - [Associated TC Deal (Seq: 1)] - [TC Property Current Stage (Seq: 1)] - [Buildings (Seq: 57)] - [Buildings - User Defined Field Values (Seq: 1)] Building Info - Years Between PIS &amp; Purchase Date - Both]&gt;</t>
        </r>
      </text>
    </comment>
    <comment ref="AK247" authorId="0" shapeId="0" xr:uid="{7A565785-8503-42EB-A605-0C167FEC7811}">
      <text>
        <r>
          <rPr>
            <b/>
            <sz val="9"/>
            <color indexed="81"/>
            <rFont val="Tahoma"/>
            <family val="2"/>
          </rPr>
          <t>&lt;[[DEVDeals] - [Associated TC Deal (Seq: 1)] - [TC Property Current Stage (Seq: 1)] - [Buildings (Seq: 57)] Federal Minimum Set Aside Id - Both]&gt;</t>
        </r>
      </text>
    </comment>
    <comment ref="U248" authorId="0" shapeId="0" xr:uid="{3BD85256-2D5D-4C59-9D9F-D1EC01C49DDD}">
      <text>
        <r>
          <rPr>
            <b/>
            <sz val="9"/>
            <color indexed="81"/>
            <rFont val="Tahoma"/>
            <family val="2"/>
          </rPr>
          <t>&lt;[[DEVDeals] - [Associated TC Deal (Seq: 1)] - [TC Property Current Stage (Seq: 1)] - [Buildings (Seq: 58)] Address 1 - Both]&gt;</t>
        </r>
      </text>
    </comment>
    <comment ref="V248" authorId="0" shapeId="0" xr:uid="{D58F8355-361E-4D81-A314-C819FE6C1A56}">
      <text>
        <r>
          <rPr>
            <b/>
            <sz val="9"/>
            <color indexed="81"/>
            <rFont val="Tahoma"/>
            <family val="2"/>
          </rPr>
          <t>&lt;[[DEVDeals] - [Associated TC Deal (Seq: 1)] - [TC Property Current Stage (Seq: 1)] - [Buildings (Seq: 58)] City - Both]&gt;</t>
        </r>
      </text>
    </comment>
    <comment ref="W248" authorId="0" shapeId="0" xr:uid="{5CAB29CE-C99D-4B9F-92FE-8C7F1422ABAB}">
      <text>
        <r>
          <rPr>
            <b/>
            <sz val="9"/>
            <color indexed="81"/>
            <rFont val="Tahoma"/>
            <family val="2"/>
          </rPr>
          <t>&lt;[[DEVDeals] - [Associated TC Deal (Seq: 1)] - [TC Property Current Stage (Seq: 1)] - [Buildings (Seq: 58)] State - Both]&gt;</t>
        </r>
      </text>
    </comment>
    <comment ref="X248" authorId="0" shapeId="0" xr:uid="{72F3BD37-5F73-461B-B6CF-E419AFAA0693}">
      <text>
        <r>
          <rPr>
            <b/>
            <sz val="9"/>
            <color indexed="81"/>
            <rFont val="Tahoma"/>
            <family val="2"/>
          </rPr>
          <t>&lt;[[DEVDeals] - [Associated TC Deal (Seq: 1)] - [TC Property Current Stage (Seq: 1)] - [Buildings (Seq: 58)] Zip Code - Both]&gt;</t>
        </r>
      </text>
    </comment>
    <comment ref="Y248" authorId="0" shapeId="0" xr:uid="{D2EDE97A-D349-4F41-9807-A69DCFB210D7}">
      <text>
        <r>
          <rPr>
            <b/>
            <sz val="9"/>
            <color indexed="81"/>
            <rFont val="Tahoma"/>
            <family val="2"/>
          </rPr>
          <t>&lt;[[DEVDeals] - [Associated TC Deal (Seq: 1)] - [TC Property Current Stage (Seq: 1)] - [Buildings (Seq: 58)] BIN - Both]&gt;</t>
        </r>
      </text>
    </comment>
    <comment ref="AA248" authorId="0" shapeId="0" xr:uid="{F5494DCE-1CBC-4911-8453-0353E4FDB86B}">
      <text>
        <r>
          <rPr>
            <b/>
            <sz val="9"/>
            <color indexed="81"/>
            <rFont val="Tahoma"/>
            <family val="2"/>
          </rPr>
          <t>&lt;[[DEVDeals] - [Associated TC Deal (Seq: 1)] - [TC Property Current Stage (Seq: 1)] - [Buildings (Seq: 58)] Num TC Units - Both]&gt;</t>
        </r>
      </text>
    </comment>
    <comment ref="AB248" authorId="0" shapeId="0" xr:uid="{322CA985-DE7B-4613-9F75-D428ED8C5E47}">
      <text>
        <r>
          <rPr>
            <b/>
            <sz val="9"/>
            <color indexed="81"/>
            <rFont val="Tahoma"/>
            <family val="2"/>
          </rPr>
          <t>&lt;[[DEVDeals] - [Associated TC Deal (Seq: 1)] - [TC Property Current Stage (Seq: 1)] - [Buildings (Seq: 58)] - [Buildings - User Defined Field Values (Seq: 1)] Building Info - Total Square Footage - Both]&gt;</t>
        </r>
      </text>
    </comment>
    <comment ref="AC248" authorId="0" shapeId="0" xr:uid="{311247C4-4DE1-4AF1-B97F-2C200F7DEC16}">
      <text>
        <r>
          <rPr>
            <b/>
            <sz val="9"/>
            <color indexed="81"/>
            <rFont val="Tahoma"/>
            <family val="2"/>
          </rPr>
          <t>&lt;[[DEVDeals] - [Associated TC Deal (Seq: 1)] - [TC Property Current Stage (Seq: 1)] - [Buildings (Seq: 58)] - [Buildings - User Defined Field Values (Seq: 1)] Building Info - Restricted Unit Square Footage - Both]&gt;</t>
        </r>
      </text>
    </comment>
    <comment ref="AD248" authorId="0" shapeId="0" xr:uid="{C307FC6E-11D2-4A66-BD35-EFA5A93129B4}">
      <text>
        <r>
          <rPr>
            <b/>
            <sz val="9"/>
            <color indexed="81"/>
            <rFont val="Tahoma"/>
            <family val="2"/>
          </rPr>
          <t>&lt;[[DEVDeals] - [Associated TC Deal (Seq: 1)] - [TC Property Current Stage (Seq: 1)] - [Buildings (Seq: 58)] Applicable Fraction - Both]&gt;</t>
        </r>
      </text>
    </comment>
    <comment ref="AE248" authorId="0" shapeId="0" xr:uid="{C0E9A854-90D5-4D44-BDFA-B07925028535}">
      <text>
        <r>
          <rPr>
            <b/>
            <sz val="9"/>
            <color indexed="81"/>
            <rFont val="Tahoma"/>
            <family val="2"/>
          </rPr>
          <t>&lt;[[DEVDeals] - [Associated TC Deal (Seq: 1)] - [TC Property Current Stage (Seq: 1)] - [Buildings (Seq: 58)] - [Buildings - User Defined Field Values (Seq: 1)] Building Info - Year Built - Both]&gt;</t>
        </r>
      </text>
    </comment>
    <comment ref="AF248" authorId="0" shapeId="0" xr:uid="{8FBEC03E-60E4-46B2-9717-797A6C4D9B0A}">
      <text>
        <r>
          <rPr>
            <b/>
            <sz val="9"/>
            <color indexed="81"/>
            <rFont val="Tahoma"/>
            <family val="2"/>
          </rPr>
          <t>&lt;[[DEVDeals] - [Associated TC Deal (Seq: 1)] - [TC Property Current Stage (Seq: 1)] - [Buildings (Seq: 58)] - [Buildings - User Defined Field Values (Seq: 1)] Building Info - Building Type - Both]&gt;</t>
        </r>
      </text>
    </comment>
    <comment ref="AG248" authorId="0" shapeId="0" xr:uid="{2777D6E0-349E-4325-BB98-62209FA2ED16}">
      <text>
        <r>
          <rPr>
            <b/>
            <sz val="9"/>
            <color indexed="81"/>
            <rFont val="Tahoma"/>
            <family val="2"/>
          </rPr>
          <t>&lt;[[DEVDeals] - [Associated TC Deal (Seq: 1)] - [TC Property Current Stage (Seq: 1)] - [Buildings (Seq: 58)] Num Mkt Units - Both]&gt;</t>
        </r>
      </text>
    </comment>
    <comment ref="AH248" authorId="0" shapeId="0" xr:uid="{912D1FAD-0C14-4027-9D2E-1135D7DD9B20}">
      <text>
        <r>
          <rPr>
            <b/>
            <sz val="9"/>
            <color indexed="81"/>
            <rFont val="Tahoma"/>
            <family val="2"/>
          </rPr>
          <t>&lt;[[DEVDeals] - [Associated TC Deal (Seq: 1)] - [TC Property Current Stage (Seq: 1)] - [Buildings (Seq: 58)] - [Buildings - User Defined Field Values (Seq: 1)] Building Info - Date Last Placed in Service - Both]&gt;</t>
        </r>
      </text>
    </comment>
    <comment ref="AI248" authorId="0" shapeId="0" xr:uid="{1CF8D052-F1C6-44A9-A61C-DC63C2993E80}">
      <text>
        <r>
          <rPr>
            <b/>
            <sz val="9"/>
            <color indexed="81"/>
            <rFont val="Tahoma"/>
            <family val="2"/>
          </rPr>
          <t>&lt;[[DEVDeals] - [Associated TC Deal (Seq: 1)] - [TC Property Current Stage (Seq: 1)] - [Buildings (Seq: 58)] - [Buildings - User Defined Field Values (Seq: 1)] Building Info - Sponsor's Purchase Date - Both]&gt;</t>
        </r>
      </text>
    </comment>
    <comment ref="AJ248" authorId="0" shapeId="0" xr:uid="{C5EA312E-B749-42A1-8E84-A85707CBD247}">
      <text>
        <r>
          <rPr>
            <b/>
            <sz val="9"/>
            <color indexed="81"/>
            <rFont val="Tahoma"/>
            <family val="2"/>
          </rPr>
          <t>&lt;[[DEVDeals] - [Associated TC Deal (Seq: 1)] - [TC Property Current Stage (Seq: 1)] - [Buildings (Seq: 58)] - [Buildings - User Defined Field Values (Seq: 1)] Building Info - Years Between PIS &amp; Purchase Date - Both]&gt;</t>
        </r>
      </text>
    </comment>
    <comment ref="AK248" authorId="0" shapeId="0" xr:uid="{FEEC4612-EABB-4584-875C-294F7AABF371}">
      <text>
        <r>
          <rPr>
            <b/>
            <sz val="9"/>
            <color indexed="81"/>
            <rFont val="Tahoma"/>
            <family val="2"/>
          </rPr>
          <t>&lt;[[DEVDeals] - [Associated TC Deal (Seq: 1)] - [TC Property Current Stage (Seq: 1)] - [Buildings (Seq: 58)] Federal Minimum Set Aside Id - Both]&gt;</t>
        </r>
      </text>
    </comment>
    <comment ref="U249" authorId="0" shapeId="0" xr:uid="{E664894A-C137-48D6-91A1-54EE0DFE5F38}">
      <text>
        <r>
          <rPr>
            <b/>
            <sz val="9"/>
            <color indexed="81"/>
            <rFont val="Tahoma"/>
            <family val="2"/>
          </rPr>
          <t>&lt;[[DEVDeals] - [Associated TC Deal (Seq: 1)] - [TC Property Current Stage (Seq: 1)] - [Buildings (Seq: 59)] Address 1 - Both]&gt;</t>
        </r>
      </text>
    </comment>
    <comment ref="V249" authorId="0" shapeId="0" xr:uid="{E82894C2-3C2C-4819-8AC7-90D56554BA6D}">
      <text>
        <r>
          <rPr>
            <b/>
            <sz val="9"/>
            <color indexed="81"/>
            <rFont val="Tahoma"/>
            <family val="2"/>
          </rPr>
          <t>&lt;[[DEVDeals] - [Associated TC Deal (Seq: 1)] - [TC Property Current Stage (Seq: 1)] - [Buildings (Seq: 59)] City - Both]&gt;</t>
        </r>
      </text>
    </comment>
    <comment ref="W249" authorId="0" shapeId="0" xr:uid="{4288D118-13E3-40DD-9586-A4D35A78599B}">
      <text>
        <r>
          <rPr>
            <b/>
            <sz val="9"/>
            <color indexed="81"/>
            <rFont val="Tahoma"/>
            <family val="2"/>
          </rPr>
          <t>&lt;[[DEVDeals] - [Associated TC Deal (Seq: 1)] - [TC Property Current Stage (Seq: 1)] - [Buildings (Seq: 59)] State - Both]&gt;</t>
        </r>
      </text>
    </comment>
    <comment ref="X249" authorId="0" shapeId="0" xr:uid="{BB9AE1F7-83FA-4139-B739-B7D972179838}">
      <text>
        <r>
          <rPr>
            <b/>
            <sz val="9"/>
            <color indexed="81"/>
            <rFont val="Tahoma"/>
            <family val="2"/>
          </rPr>
          <t>&lt;[[DEVDeals] - [Associated TC Deal (Seq: 1)] - [TC Property Current Stage (Seq: 1)] - [Buildings (Seq: 59)] Zip Code - Both]&gt;</t>
        </r>
      </text>
    </comment>
    <comment ref="Y249" authorId="0" shapeId="0" xr:uid="{47A7CE25-AC2D-4586-830A-5581AE99CF1C}">
      <text>
        <r>
          <rPr>
            <b/>
            <sz val="9"/>
            <color indexed="81"/>
            <rFont val="Tahoma"/>
            <family val="2"/>
          </rPr>
          <t>&lt;[[DEVDeals] - [Associated TC Deal (Seq: 1)] - [TC Property Current Stage (Seq: 1)] - [Buildings (Seq: 59)] BIN - Both]&gt;</t>
        </r>
      </text>
    </comment>
    <comment ref="AA249" authorId="0" shapeId="0" xr:uid="{60C4C242-17D2-441E-AC2D-4F7F0EC86FFE}">
      <text>
        <r>
          <rPr>
            <b/>
            <sz val="9"/>
            <color indexed="81"/>
            <rFont val="Tahoma"/>
            <family val="2"/>
          </rPr>
          <t>&lt;[[DEVDeals] - [Associated TC Deal (Seq: 1)] - [TC Property Current Stage (Seq: 1)] - [Buildings (Seq: 59)] Num TC Units - Both]&gt;</t>
        </r>
      </text>
    </comment>
    <comment ref="AB249" authorId="0" shapeId="0" xr:uid="{1E40FDAA-00AB-4581-9B24-8FC19202D956}">
      <text>
        <r>
          <rPr>
            <b/>
            <sz val="9"/>
            <color indexed="81"/>
            <rFont val="Tahoma"/>
            <family val="2"/>
          </rPr>
          <t>&lt;[[DEVDeals] - [Associated TC Deal (Seq: 1)] - [TC Property Current Stage (Seq: 1)] - [Buildings (Seq: 59)] - [Buildings - User Defined Field Values (Seq: 1)] Building Info - Total Square Footage - Both]&gt;</t>
        </r>
      </text>
    </comment>
    <comment ref="AC249" authorId="0" shapeId="0" xr:uid="{355A4B22-B0CC-4C01-89E6-3ADDBD75266D}">
      <text>
        <r>
          <rPr>
            <b/>
            <sz val="9"/>
            <color indexed="81"/>
            <rFont val="Tahoma"/>
            <family val="2"/>
          </rPr>
          <t>&lt;[[DEVDeals] - [Associated TC Deal (Seq: 1)] - [TC Property Current Stage (Seq: 1)] - [Buildings (Seq: 59)] - [Buildings - User Defined Field Values (Seq: 1)] Building Info - Restricted Unit Square Footage - Both]&gt;</t>
        </r>
      </text>
    </comment>
    <comment ref="AD249" authorId="0" shapeId="0" xr:uid="{46303163-68FB-4095-8FC9-D67D63381D11}">
      <text>
        <r>
          <rPr>
            <b/>
            <sz val="9"/>
            <color indexed="81"/>
            <rFont val="Tahoma"/>
            <family val="2"/>
          </rPr>
          <t>&lt;[[DEVDeals] - [Associated TC Deal (Seq: 1)] - [TC Property Current Stage (Seq: 1)] - [Buildings (Seq: 59)] Applicable Fraction - Both]&gt;</t>
        </r>
      </text>
    </comment>
    <comment ref="AE249" authorId="0" shapeId="0" xr:uid="{54D5C40A-05DC-4192-9703-D753707898DE}">
      <text>
        <r>
          <rPr>
            <b/>
            <sz val="9"/>
            <color indexed="81"/>
            <rFont val="Tahoma"/>
            <family val="2"/>
          </rPr>
          <t>&lt;[[DEVDeals] - [Associated TC Deal (Seq: 1)] - [TC Property Current Stage (Seq: 1)] - [Buildings (Seq: 59)] - [Buildings - User Defined Field Values (Seq: 1)] Building Info - Year Built - Both]&gt;</t>
        </r>
      </text>
    </comment>
    <comment ref="AF249" authorId="0" shapeId="0" xr:uid="{44754335-F7F4-4EF4-9ED0-3FB5237AD165}">
      <text>
        <r>
          <rPr>
            <b/>
            <sz val="9"/>
            <color indexed="81"/>
            <rFont val="Tahoma"/>
            <family val="2"/>
          </rPr>
          <t>&lt;[[DEVDeals] - [Associated TC Deal (Seq: 1)] - [TC Property Current Stage (Seq: 1)] - [Buildings (Seq: 59)] - [Buildings - User Defined Field Values (Seq: 1)] Building Info - Building Type - Both]&gt;</t>
        </r>
      </text>
    </comment>
    <comment ref="AG249" authorId="0" shapeId="0" xr:uid="{BBFB907C-F333-458C-B760-BF6A6D657319}">
      <text>
        <r>
          <rPr>
            <b/>
            <sz val="9"/>
            <color indexed="81"/>
            <rFont val="Tahoma"/>
            <family val="2"/>
          </rPr>
          <t>&lt;[[DEVDeals] - [Associated TC Deal (Seq: 1)] - [TC Property Current Stage (Seq: 1)] - [Buildings (Seq: 59)] Num Mkt Units - Both]&gt;</t>
        </r>
      </text>
    </comment>
    <comment ref="AH249" authorId="0" shapeId="0" xr:uid="{200D6978-E17B-46A3-BD86-5E3C12D2C94D}">
      <text>
        <r>
          <rPr>
            <b/>
            <sz val="9"/>
            <color indexed="81"/>
            <rFont val="Tahoma"/>
            <family val="2"/>
          </rPr>
          <t>&lt;[[DEVDeals] - [Associated TC Deal (Seq: 1)] - [TC Property Current Stage (Seq: 1)] - [Buildings (Seq: 59)] - [Buildings - User Defined Field Values (Seq: 1)] Building Info - Date Last Placed in Service - Both]&gt;</t>
        </r>
      </text>
    </comment>
    <comment ref="AI249" authorId="0" shapeId="0" xr:uid="{8F90D817-72B8-4171-90EF-CC4F26807953}">
      <text>
        <r>
          <rPr>
            <b/>
            <sz val="9"/>
            <color indexed="81"/>
            <rFont val="Tahoma"/>
            <family val="2"/>
          </rPr>
          <t>&lt;[[DEVDeals] - [Associated TC Deal (Seq: 1)] - [TC Property Current Stage (Seq: 1)] - [Buildings (Seq: 59)] - [Buildings - User Defined Field Values (Seq: 1)] Building Info - Sponsor's Purchase Date - Both]&gt;</t>
        </r>
      </text>
    </comment>
    <comment ref="AJ249" authorId="0" shapeId="0" xr:uid="{2AF56EA9-F46E-4174-81E7-CBB4E2E4ACCE}">
      <text>
        <r>
          <rPr>
            <b/>
            <sz val="9"/>
            <color indexed="81"/>
            <rFont val="Tahoma"/>
            <family val="2"/>
          </rPr>
          <t>&lt;[[DEVDeals] - [Associated TC Deal (Seq: 1)] - [TC Property Current Stage (Seq: 1)] - [Buildings (Seq: 59)] - [Buildings - User Defined Field Values (Seq: 1)] Building Info - Years Between PIS &amp; Purchase Date - Both]&gt;</t>
        </r>
      </text>
    </comment>
    <comment ref="AK249" authorId="0" shapeId="0" xr:uid="{040C671E-4323-4CBD-8259-F0CB9E2EBB3E}">
      <text>
        <r>
          <rPr>
            <b/>
            <sz val="9"/>
            <color indexed="81"/>
            <rFont val="Tahoma"/>
            <family val="2"/>
          </rPr>
          <t>&lt;[[DEVDeals] - [Associated TC Deal (Seq: 1)] - [TC Property Current Stage (Seq: 1)] - [Buildings (Seq: 59)] Federal Minimum Set Aside Id - Both]&gt;</t>
        </r>
      </text>
    </comment>
    <comment ref="U250" authorId="0" shapeId="0" xr:uid="{DB36D3F6-B4AD-4C32-8802-7916BB683C1B}">
      <text>
        <r>
          <rPr>
            <b/>
            <sz val="9"/>
            <color indexed="81"/>
            <rFont val="Tahoma"/>
            <family val="2"/>
          </rPr>
          <t>&lt;[[DEVDeals] - [Associated TC Deal (Seq: 1)] - [TC Property Current Stage (Seq: 1)] - [Buildings (Seq: 60)] Address 1 - Both]&gt;</t>
        </r>
      </text>
    </comment>
    <comment ref="V250" authorId="0" shapeId="0" xr:uid="{9133D0FD-2416-462F-9287-D7D68EA19D2C}">
      <text>
        <r>
          <rPr>
            <b/>
            <sz val="9"/>
            <color indexed="81"/>
            <rFont val="Tahoma"/>
            <family val="2"/>
          </rPr>
          <t>&lt;[[DEVDeals] - [Associated TC Deal (Seq: 1)] - [TC Property Current Stage (Seq: 1)] - [Buildings (Seq: 60)] City - Both]&gt;</t>
        </r>
      </text>
    </comment>
    <comment ref="W250" authorId="0" shapeId="0" xr:uid="{C826F63E-D6B0-4A05-9C57-94ACE128E7DF}">
      <text>
        <r>
          <rPr>
            <b/>
            <sz val="9"/>
            <color indexed="81"/>
            <rFont val="Tahoma"/>
            <family val="2"/>
          </rPr>
          <t>&lt;[[DEVDeals] - [Associated TC Deal (Seq: 1)] - [TC Property Current Stage (Seq: 1)] - [Buildings (Seq: 60)] State - Both]&gt;</t>
        </r>
      </text>
    </comment>
    <comment ref="X250" authorId="0" shapeId="0" xr:uid="{93376DDC-A454-4C64-849F-F1F0EC6790ED}">
      <text>
        <r>
          <rPr>
            <b/>
            <sz val="9"/>
            <color indexed="81"/>
            <rFont val="Tahoma"/>
            <family val="2"/>
          </rPr>
          <t>&lt;[[DEVDeals] - [Associated TC Deal (Seq: 1)] - [TC Property Current Stage (Seq: 1)] - [Buildings (Seq: 60)] Zip Code - Both]&gt;</t>
        </r>
      </text>
    </comment>
    <comment ref="Y250" authorId="0" shapeId="0" xr:uid="{9D2EDC0E-0C72-4F52-A3AB-6CD4B0B6E4F0}">
      <text>
        <r>
          <rPr>
            <b/>
            <sz val="9"/>
            <color indexed="81"/>
            <rFont val="Tahoma"/>
            <family val="2"/>
          </rPr>
          <t>&lt;[[DEVDeals] - [Associated TC Deal (Seq: 1)] - [TC Property Current Stage (Seq: 1)] - [Buildings (Seq: 60)] BIN - Both]&gt;</t>
        </r>
      </text>
    </comment>
    <comment ref="AA250" authorId="0" shapeId="0" xr:uid="{FD38B7E4-FC72-46DC-BA3E-F99AA14D4DF3}">
      <text>
        <r>
          <rPr>
            <b/>
            <sz val="9"/>
            <color indexed="81"/>
            <rFont val="Tahoma"/>
            <family val="2"/>
          </rPr>
          <t>&lt;[[DEVDeals] - [Associated TC Deal (Seq: 1)] - [TC Property Current Stage (Seq: 1)] - [Buildings (Seq: 60)] Num TC Units - Both]&gt;</t>
        </r>
      </text>
    </comment>
    <comment ref="AB250" authorId="0" shapeId="0" xr:uid="{00FEF742-75C7-4F9B-BA10-3E738D9F703C}">
      <text>
        <r>
          <rPr>
            <b/>
            <sz val="9"/>
            <color indexed="81"/>
            <rFont val="Tahoma"/>
            <family val="2"/>
          </rPr>
          <t>&lt;[[DEVDeals] - [Associated TC Deal (Seq: 1)] - [TC Property Current Stage (Seq: 1)] - [Buildings (Seq: 60)] - [Buildings - User Defined Field Values (Seq: 1)] Building Info - Total Square Footage - Both]&gt;</t>
        </r>
      </text>
    </comment>
    <comment ref="AC250" authorId="0" shapeId="0" xr:uid="{D96A839B-50CF-4C09-9F8B-BC65CC26F015}">
      <text>
        <r>
          <rPr>
            <b/>
            <sz val="9"/>
            <color indexed="81"/>
            <rFont val="Tahoma"/>
            <family val="2"/>
          </rPr>
          <t>&lt;[[DEVDeals] - [Associated TC Deal (Seq: 1)] - [TC Property Current Stage (Seq: 1)] - [Buildings (Seq: 60)] - [Buildings - User Defined Field Values (Seq: 1)] Building Info - Restricted Unit Square Footage - Both]&gt;</t>
        </r>
      </text>
    </comment>
    <comment ref="AD250" authorId="0" shapeId="0" xr:uid="{E205CD15-BB6C-46B8-8FE1-C3E84F6C51F5}">
      <text>
        <r>
          <rPr>
            <b/>
            <sz val="9"/>
            <color indexed="81"/>
            <rFont val="Tahoma"/>
            <family val="2"/>
          </rPr>
          <t>&lt;[[DEVDeals] - [Associated TC Deal (Seq: 1)] - [TC Property Current Stage (Seq: 1)] - [Buildings (Seq: 60)] Applicable Fraction - Both]&gt;</t>
        </r>
      </text>
    </comment>
    <comment ref="AE250" authorId="0" shapeId="0" xr:uid="{416B039E-303B-4B32-AD67-4A9D41F459F2}">
      <text>
        <r>
          <rPr>
            <b/>
            <sz val="9"/>
            <color indexed="81"/>
            <rFont val="Tahoma"/>
            <family val="2"/>
          </rPr>
          <t>&lt;[[DEVDeals] - [Associated TC Deal (Seq: 1)] - [TC Property Current Stage (Seq: 1)] - [Buildings (Seq: 60)] - [Buildings - User Defined Field Values (Seq: 1)] Building Info - Year Built - Both]&gt;</t>
        </r>
      </text>
    </comment>
    <comment ref="AF250" authorId="0" shapeId="0" xr:uid="{8AB4E3D0-CAD4-41BA-98A7-05991594987F}">
      <text>
        <r>
          <rPr>
            <b/>
            <sz val="9"/>
            <color indexed="81"/>
            <rFont val="Tahoma"/>
            <family val="2"/>
          </rPr>
          <t>&lt;[[DEVDeals] - [Associated TC Deal (Seq: 1)] - [TC Property Current Stage (Seq: 1)] - [Buildings (Seq: 60)] - [Buildings - User Defined Field Values (Seq: 1)] Building Info - Building Type - Both]&gt;</t>
        </r>
      </text>
    </comment>
    <comment ref="AG250" authorId="0" shapeId="0" xr:uid="{5E78D057-51D6-4838-A8F2-D068146472C6}">
      <text>
        <r>
          <rPr>
            <b/>
            <sz val="9"/>
            <color indexed="81"/>
            <rFont val="Tahoma"/>
            <family val="2"/>
          </rPr>
          <t>&lt;[[DEVDeals] - [Associated TC Deal (Seq: 1)] - [TC Property Current Stage (Seq: 1)] - [Buildings (Seq: 60)] Num Mkt Units - Both]&gt;</t>
        </r>
      </text>
    </comment>
    <comment ref="AH250" authorId="0" shapeId="0" xr:uid="{CED0F102-A389-4122-AFBE-484BD738A342}">
      <text>
        <r>
          <rPr>
            <b/>
            <sz val="9"/>
            <color indexed="81"/>
            <rFont val="Tahoma"/>
            <family val="2"/>
          </rPr>
          <t>&lt;[[DEVDeals] - [Associated TC Deal (Seq: 1)] - [TC Property Current Stage (Seq: 1)] - [Buildings (Seq: 60)] - [Buildings - User Defined Field Values (Seq: 1)] Building Info - Date Last Placed in Service - Both]&gt;</t>
        </r>
      </text>
    </comment>
    <comment ref="AI250" authorId="0" shapeId="0" xr:uid="{82866621-79AE-43BF-A345-6AA15B824444}">
      <text>
        <r>
          <rPr>
            <b/>
            <sz val="9"/>
            <color indexed="81"/>
            <rFont val="Tahoma"/>
            <family val="2"/>
          </rPr>
          <t>&lt;[[DEVDeals] - [Associated TC Deal (Seq: 1)] - [TC Property Current Stage (Seq: 1)] - [Buildings (Seq: 60)] - [Buildings - User Defined Field Values (Seq: 1)] Building Info - Sponsor's Purchase Date - Both]&gt;</t>
        </r>
      </text>
    </comment>
    <comment ref="AJ250" authorId="0" shapeId="0" xr:uid="{55DB6F3E-EABF-4DC8-A29C-5297EDBF449F}">
      <text>
        <r>
          <rPr>
            <b/>
            <sz val="9"/>
            <color indexed="81"/>
            <rFont val="Tahoma"/>
            <family val="2"/>
          </rPr>
          <t>&lt;[[DEVDeals] - [Associated TC Deal (Seq: 1)] - [TC Property Current Stage (Seq: 1)] - [Buildings (Seq: 60)] - [Buildings - User Defined Field Values (Seq: 1)] Building Info - Years Between PIS &amp; Purchase Date - Both]&gt;</t>
        </r>
      </text>
    </comment>
    <comment ref="AK250" authorId="0" shapeId="0" xr:uid="{517C71BC-6206-45CA-BF52-516A8612523F}">
      <text>
        <r>
          <rPr>
            <b/>
            <sz val="9"/>
            <color indexed="81"/>
            <rFont val="Tahoma"/>
            <family val="2"/>
          </rPr>
          <t>&lt;[[DEVDeals] - [Associated TC Deal (Seq: 1)] - [TC Property Current Stage (Seq: 1)] - [Buildings (Seq: 60)] Federal Minimum Set Aside Id - Both]&gt;</t>
        </r>
      </text>
    </comment>
    <comment ref="U251" authorId="0" shapeId="0" xr:uid="{17115673-2771-4855-A005-8EE057AAEACC}">
      <text>
        <r>
          <rPr>
            <b/>
            <sz val="9"/>
            <color indexed="81"/>
            <rFont val="Tahoma"/>
            <family val="2"/>
          </rPr>
          <t>&lt;[[DEVDeals] - [Associated TC Deal (Seq: 1)] - [TC Property Current Stage (Seq: 1)] - [Buildings (Seq: 61)] Address 1 - Both]&gt;</t>
        </r>
      </text>
    </comment>
    <comment ref="V251" authorId="0" shapeId="0" xr:uid="{0A700DF0-4B9C-4378-9EF7-F56296896DFB}">
      <text>
        <r>
          <rPr>
            <b/>
            <sz val="9"/>
            <color indexed="81"/>
            <rFont val="Tahoma"/>
            <family val="2"/>
          </rPr>
          <t>&lt;[[DEVDeals] - [Associated TC Deal (Seq: 1)] - [TC Property Current Stage (Seq: 1)] - [Buildings (Seq: 61)] City - Both]&gt;</t>
        </r>
      </text>
    </comment>
    <comment ref="W251" authorId="0" shapeId="0" xr:uid="{25CCC70A-0116-4C6B-B4ED-3C5AD86803FD}">
      <text>
        <r>
          <rPr>
            <b/>
            <sz val="9"/>
            <color indexed="81"/>
            <rFont val="Tahoma"/>
            <family val="2"/>
          </rPr>
          <t>&lt;[[DEVDeals] - [Associated TC Deal (Seq: 1)] - [TC Property Current Stage (Seq: 1)] - [Buildings (Seq: 61)] State - Both]&gt;</t>
        </r>
      </text>
    </comment>
    <comment ref="X251" authorId="0" shapeId="0" xr:uid="{97CC6DD4-F184-4783-A97B-03BA14FC3248}">
      <text>
        <r>
          <rPr>
            <b/>
            <sz val="9"/>
            <color indexed="81"/>
            <rFont val="Tahoma"/>
            <family val="2"/>
          </rPr>
          <t>&lt;[[DEVDeals] - [Associated TC Deal (Seq: 1)] - [TC Property Current Stage (Seq: 1)] - [Buildings (Seq: 61)] Zip Code - Both]&gt;</t>
        </r>
      </text>
    </comment>
    <comment ref="Y251" authorId="0" shapeId="0" xr:uid="{089080F4-2DD0-49EB-8F03-85E7C7B51018}">
      <text>
        <r>
          <rPr>
            <b/>
            <sz val="9"/>
            <color indexed="81"/>
            <rFont val="Tahoma"/>
            <family val="2"/>
          </rPr>
          <t>&lt;[[DEVDeals] - [Associated TC Deal (Seq: 1)] - [TC Property Current Stage (Seq: 1)] - [Buildings (Seq: 61)] BIN - Both]&gt;</t>
        </r>
      </text>
    </comment>
    <comment ref="AA251" authorId="0" shapeId="0" xr:uid="{D5AA0E59-89E6-48EA-BD39-B5B409C38189}">
      <text>
        <r>
          <rPr>
            <b/>
            <sz val="9"/>
            <color indexed="81"/>
            <rFont val="Tahoma"/>
            <family val="2"/>
          </rPr>
          <t>&lt;[[DEVDeals] - [Associated TC Deal (Seq: 1)] - [TC Property Current Stage (Seq: 1)] - [Buildings (Seq: 61)] Num TC Units - Both]&gt;</t>
        </r>
      </text>
    </comment>
    <comment ref="AB251" authorId="0" shapeId="0" xr:uid="{5DF784A1-989F-4392-B814-9C6CD3BE8032}">
      <text>
        <r>
          <rPr>
            <b/>
            <sz val="9"/>
            <color indexed="81"/>
            <rFont val="Tahoma"/>
            <family val="2"/>
          </rPr>
          <t>&lt;[[DEVDeals] - [Associated TC Deal (Seq: 1)] - [TC Property Current Stage (Seq: 1)] - [Buildings (Seq: 61)] - [Buildings - User Defined Field Values (Seq: 1)] Building Info - Total Square Footage - Both]&gt;</t>
        </r>
      </text>
    </comment>
    <comment ref="AC251" authorId="0" shapeId="0" xr:uid="{2BCDD71B-9A55-4E6F-B55F-1062C17B01C7}">
      <text>
        <r>
          <rPr>
            <b/>
            <sz val="9"/>
            <color indexed="81"/>
            <rFont val="Tahoma"/>
            <family val="2"/>
          </rPr>
          <t>&lt;[[DEVDeals] - [Associated TC Deal (Seq: 1)] - [TC Property Current Stage (Seq: 1)] - [Buildings (Seq: 61)] - [Buildings - User Defined Field Values (Seq: 1)] Building Info - Restricted Unit Square Footage - Both]&gt;</t>
        </r>
      </text>
    </comment>
    <comment ref="AD251" authorId="0" shapeId="0" xr:uid="{8CF0AE1F-6BF3-43DB-9D56-ACDE93BDB773}">
      <text>
        <r>
          <rPr>
            <b/>
            <sz val="9"/>
            <color indexed="81"/>
            <rFont val="Tahoma"/>
            <family val="2"/>
          </rPr>
          <t>&lt;[[DEVDeals] - [Associated TC Deal (Seq: 1)] - [TC Property Current Stage (Seq: 1)] - [Buildings (Seq: 61)] Applicable Fraction - Both]&gt;</t>
        </r>
      </text>
    </comment>
    <comment ref="AE251" authorId="0" shapeId="0" xr:uid="{141C102C-330B-45D6-B653-3C712D7782E6}">
      <text>
        <r>
          <rPr>
            <b/>
            <sz val="9"/>
            <color indexed="81"/>
            <rFont val="Tahoma"/>
            <family val="2"/>
          </rPr>
          <t>&lt;[[DEVDeals] - [Associated TC Deal (Seq: 1)] - [TC Property Current Stage (Seq: 1)] - [Buildings (Seq: 61)] - [Buildings - User Defined Field Values (Seq: 1)] Building Info - Year Built - Both]&gt;</t>
        </r>
      </text>
    </comment>
    <comment ref="AF251" authorId="0" shapeId="0" xr:uid="{B410B3BE-FF52-406D-97E1-4C212384E5C3}">
      <text>
        <r>
          <rPr>
            <b/>
            <sz val="9"/>
            <color indexed="81"/>
            <rFont val="Tahoma"/>
            <family val="2"/>
          </rPr>
          <t>&lt;[[DEVDeals] - [Associated TC Deal (Seq: 1)] - [TC Property Current Stage (Seq: 1)] - [Buildings (Seq: 61)] - [Buildings - User Defined Field Values (Seq: 1)] Building Info - Building Type - Both]&gt;</t>
        </r>
      </text>
    </comment>
    <comment ref="AG251" authorId="0" shapeId="0" xr:uid="{259F2330-9EF0-4D1E-BC83-EF3A44EB5E21}">
      <text>
        <r>
          <rPr>
            <b/>
            <sz val="9"/>
            <color indexed="81"/>
            <rFont val="Tahoma"/>
            <family val="2"/>
          </rPr>
          <t>&lt;[[DEVDeals] - [Associated TC Deal (Seq: 1)] - [TC Property Current Stage (Seq: 1)] - [Buildings (Seq: 61)] Num Mkt Units - Both]&gt;</t>
        </r>
      </text>
    </comment>
    <comment ref="AH251" authorId="0" shapeId="0" xr:uid="{3AD80D07-B21D-4546-BC4C-439334DE91F0}">
      <text>
        <r>
          <rPr>
            <b/>
            <sz val="9"/>
            <color indexed="81"/>
            <rFont val="Tahoma"/>
            <family val="2"/>
          </rPr>
          <t>&lt;[[DEVDeals] - [Associated TC Deal (Seq: 1)] - [TC Property Current Stage (Seq: 1)] - [Buildings (Seq: 61)] - [Buildings - User Defined Field Values (Seq: 1)] Building Info - Date Last Placed in Service - Both]&gt;</t>
        </r>
      </text>
    </comment>
    <comment ref="AI251" authorId="0" shapeId="0" xr:uid="{90BCE2E4-FF86-4F12-8D81-CFB33EAD80B2}">
      <text>
        <r>
          <rPr>
            <b/>
            <sz val="9"/>
            <color indexed="81"/>
            <rFont val="Tahoma"/>
            <family val="2"/>
          </rPr>
          <t>&lt;[[DEVDeals] - [Associated TC Deal (Seq: 1)] - [TC Property Current Stage (Seq: 1)] - [Buildings (Seq: 61)] - [Buildings - User Defined Field Values (Seq: 1)] Building Info - Sponsor's Purchase Date - Both]&gt;</t>
        </r>
      </text>
    </comment>
    <comment ref="AJ251" authorId="0" shapeId="0" xr:uid="{02A6D536-04BD-47B4-B5E9-043D359BB943}">
      <text>
        <r>
          <rPr>
            <b/>
            <sz val="9"/>
            <color indexed="81"/>
            <rFont val="Tahoma"/>
            <family val="2"/>
          </rPr>
          <t>&lt;[[DEVDeals] - [Associated TC Deal (Seq: 1)] - [TC Property Current Stage (Seq: 1)] - [Buildings (Seq: 61)] - [Buildings - User Defined Field Values (Seq: 1)] Building Info - Years Between PIS &amp; Purchase Date - Both]&gt;</t>
        </r>
      </text>
    </comment>
    <comment ref="AK251" authorId="0" shapeId="0" xr:uid="{6951A31C-A569-4ADE-B857-348B2746F6CD}">
      <text>
        <r>
          <rPr>
            <b/>
            <sz val="9"/>
            <color indexed="81"/>
            <rFont val="Tahoma"/>
            <family val="2"/>
          </rPr>
          <t>&lt;[[DEVDeals] - [Associated TC Deal (Seq: 1)] - [TC Property Current Stage (Seq: 1)] - [Buildings (Seq: 61)] Federal Minimum Set Aside Id - Both]&gt;</t>
        </r>
      </text>
    </comment>
    <comment ref="U252" authorId="0" shapeId="0" xr:uid="{275CBCBB-D558-4AFF-BCCF-06A790DA2FA0}">
      <text>
        <r>
          <rPr>
            <b/>
            <sz val="9"/>
            <color indexed="81"/>
            <rFont val="Tahoma"/>
            <family val="2"/>
          </rPr>
          <t>&lt;[[DEVDeals] - [Associated TC Deal (Seq: 1)] - [TC Property Current Stage (Seq: 1)] - [Buildings (Seq: 62)] Address 1 - Both]&gt;</t>
        </r>
      </text>
    </comment>
    <comment ref="V252" authorId="0" shapeId="0" xr:uid="{54FEC881-E4CA-4A17-A596-2049FB896A82}">
      <text>
        <r>
          <rPr>
            <b/>
            <sz val="9"/>
            <color indexed="81"/>
            <rFont val="Tahoma"/>
            <family val="2"/>
          </rPr>
          <t>&lt;[[DEVDeals] - [Associated TC Deal (Seq: 1)] - [TC Property Current Stage (Seq: 1)] - [Buildings (Seq: 62)] City - Both]&gt;</t>
        </r>
      </text>
    </comment>
    <comment ref="W252" authorId="0" shapeId="0" xr:uid="{E2F5A6EA-7FA8-4F5C-A6F2-795BCFEA8F69}">
      <text>
        <r>
          <rPr>
            <b/>
            <sz val="9"/>
            <color indexed="81"/>
            <rFont val="Tahoma"/>
            <family val="2"/>
          </rPr>
          <t>&lt;[[DEVDeals] - [Associated TC Deal (Seq: 1)] - [TC Property Current Stage (Seq: 1)] - [Buildings (Seq: 62)] State - Both]&gt;</t>
        </r>
      </text>
    </comment>
    <comment ref="X252" authorId="0" shapeId="0" xr:uid="{748DD7F8-4F1F-4672-B554-A3C6AF47604E}">
      <text>
        <r>
          <rPr>
            <b/>
            <sz val="9"/>
            <color indexed="81"/>
            <rFont val="Tahoma"/>
            <family val="2"/>
          </rPr>
          <t>&lt;[[DEVDeals] - [Associated TC Deal (Seq: 1)] - [TC Property Current Stage (Seq: 1)] - [Buildings (Seq: 62)] Zip Code - Both]&gt;</t>
        </r>
      </text>
    </comment>
    <comment ref="Y252" authorId="0" shapeId="0" xr:uid="{141D98B4-0B52-4E05-BE95-30A7EB7038DA}">
      <text>
        <r>
          <rPr>
            <b/>
            <sz val="9"/>
            <color indexed="81"/>
            <rFont val="Tahoma"/>
            <family val="2"/>
          </rPr>
          <t>&lt;[[DEVDeals] - [Associated TC Deal (Seq: 1)] - [TC Property Current Stage (Seq: 1)] - [Buildings (Seq: 62)] BIN - Both]&gt;</t>
        </r>
      </text>
    </comment>
    <comment ref="AA252" authorId="0" shapeId="0" xr:uid="{9C768D93-FCBB-4121-B9CB-A67D31F2FBC1}">
      <text>
        <r>
          <rPr>
            <b/>
            <sz val="9"/>
            <color indexed="81"/>
            <rFont val="Tahoma"/>
            <family val="2"/>
          </rPr>
          <t>&lt;[[DEVDeals] - [Associated TC Deal (Seq: 1)] - [TC Property Current Stage (Seq: 1)] - [Buildings (Seq: 62)] Num TC Units - Both]&gt;</t>
        </r>
      </text>
    </comment>
    <comment ref="AB252" authorId="0" shapeId="0" xr:uid="{1D5695AC-40D9-426B-9E17-3197D5339EF9}">
      <text>
        <r>
          <rPr>
            <b/>
            <sz val="9"/>
            <color indexed="81"/>
            <rFont val="Tahoma"/>
            <family val="2"/>
          </rPr>
          <t>&lt;[[DEVDeals] - [Associated TC Deal (Seq: 1)] - [TC Property Current Stage (Seq: 1)] - [Buildings (Seq: 62)] - [Buildings - User Defined Field Values (Seq: 1)] Building Info - Total Square Footage - Both]&gt;</t>
        </r>
      </text>
    </comment>
    <comment ref="AC252" authorId="0" shapeId="0" xr:uid="{2C9AF843-9282-4B15-9A1C-CAB895E0538D}">
      <text>
        <r>
          <rPr>
            <b/>
            <sz val="9"/>
            <color indexed="81"/>
            <rFont val="Tahoma"/>
            <family val="2"/>
          </rPr>
          <t>&lt;[[DEVDeals] - [Associated TC Deal (Seq: 1)] - [TC Property Current Stage (Seq: 1)] - [Buildings (Seq: 62)] - [Buildings - User Defined Field Values (Seq: 1)] Building Info - Restricted Unit Square Footage - Both]&gt;</t>
        </r>
      </text>
    </comment>
    <comment ref="AD252" authorId="0" shapeId="0" xr:uid="{BB5000E7-B99F-45D9-97CC-811F2964AB50}">
      <text>
        <r>
          <rPr>
            <b/>
            <sz val="9"/>
            <color indexed="81"/>
            <rFont val="Tahoma"/>
            <family val="2"/>
          </rPr>
          <t>&lt;[[DEVDeals] - [Associated TC Deal (Seq: 1)] - [TC Property Current Stage (Seq: 1)] - [Buildings (Seq: 62)] Applicable Fraction - Both]&gt;</t>
        </r>
      </text>
    </comment>
    <comment ref="AE252" authorId="0" shapeId="0" xr:uid="{0A8C0055-EC0D-4661-83E6-0790D3429083}">
      <text>
        <r>
          <rPr>
            <b/>
            <sz val="9"/>
            <color indexed="81"/>
            <rFont val="Tahoma"/>
            <family val="2"/>
          </rPr>
          <t>&lt;[[DEVDeals] - [Associated TC Deal (Seq: 1)] - [TC Property Current Stage (Seq: 1)] - [Buildings (Seq: 62)] - [Buildings - User Defined Field Values (Seq: 1)] Building Info - Year Built - Both]&gt;</t>
        </r>
      </text>
    </comment>
    <comment ref="AF252" authorId="0" shapeId="0" xr:uid="{B9FCDD65-CD46-404B-A196-DCBB4928B40D}">
      <text>
        <r>
          <rPr>
            <b/>
            <sz val="9"/>
            <color indexed="81"/>
            <rFont val="Tahoma"/>
            <family val="2"/>
          </rPr>
          <t>&lt;[[DEVDeals] - [Associated TC Deal (Seq: 1)] - [TC Property Current Stage (Seq: 1)] - [Buildings (Seq: 62)] - [Buildings - User Defined Field Values (Seq: 1)] Building Info - Building Type - Both]&gt;</t>
        </r>
      </text>
    </comment>
    <comment ref="AG252" authorId="0" shapeId="0" xr:uid="{D1585D59-83A9-451D-B4C6-A8B867B39805}">
      <text>
        <r>
          <rPr>
            <b/>
            <sz val="9"/>
            <color indexed="81"/>
            <rFont val="Tahoma"/>
            <family val="2"/>
          </rPr>
          <t>&lt;[[DEVDeals] - [Associated TC Deal (Seq: 1)] - [TC Property Current Stage (Seq: 1)] - [Buildings (Seq: 62)] Num Mkt Units - Both]&gt;</t>
        </r>
      </text>
    </comment>
    <comment ref="AH252" authorId="0" shapeId="0" xr:uid="{25ECDB16-38B3-4533-B8FB-2A3133ACA75F}">
      <text>
        <r>
          <rPr>
            <b/>
            <sz val="9"/>
            <color indexed="81"/>
            <rFont val="Tahoma"/>
            <family val="2"/>
          </rPr>
          <t>&lt;[[DEVDeals] - [Associated TC Deal (Seq: 1)] - [TC Property Current Stage (Seq: 1)] - [Buildings (Seq: 62)] - [Buildings - User Defined Field Values (Seq: 1)] Building Info - Date Last Placed in Service - Both]&gt;</t>
        </r>
      </text>
    </comment>
    <comment ref="AI252" authorId="0" shapeId="0" xr:uid="{30795DBB-ECDD-42EB-9361-19A36F1C34D5}">
      <text>
        <r>
          <rPr>
            <b/>
            <sz val="9"/>
            <color indexed="81"/>
            <rFont val="Tahoma"/>
            <family val="2"/>
          </rPr>
          <t>&lt;[[DEVDeals] - [Associated TC Deal (Seq: 1)] - [TC Property Current Stage (Seq: 1)] - [Buildings (Seq: 62)] - [Buildings - User Defined Field Values (Seq: 1)] Building Info - Sponsor's Purchase Date - Both]&gt;</t>
        </r>
      </text>
    </comment>
    <comment ref="AJ252" authorId="0" shapeId="0" xr:uid="{55A93B60-61DD-42F7-9551-853BD595580F}">
      <text>
        <r>
          <rPr>
            <b/>
            <sz val="9"/>
            <color indexed="81"/>
            <rFont val="Tahoma"/>
            <family val="2"/>
          </rPr>
          <t>&lt;[[DEVDeals] - [Associated TC Deal (Seq: 1)] - [TC Property Current Stage (Seq: 1)] - [Buildings (Seq: 62)] - [Buildings - User Defined Field Values (Seq: 1)] Building Info - Years Between PIS &amp; Purchase Date - Both]&gt;</t>
        </r>
      </text>
    </comment>
    <comment ref="AK252" authorId="0" shapeId="0" xr:uid="{A9CDAE4E-174A-4DB4-993D-AF539FECA1C6}">
      <text>
        <r>
          <rPr>
            <b/>
            <sz val="9"/>
            <color indexed="81"/>
            <rFont val="Tahoma"/>
            <family val="2"/>
          </rPr>
          <t>&lt;[[DEVDeals] - [Associated TC Deal (Seq: 1)] - [TC Property Current Stage (Seq: 1)] - [Buildings (Seq: 62)] Federal Minimum Set Aside Id - Both]&gt;</t>
        </r>
      </text>
    </comment>
    <comment ref="U253" authorId="0" shapeId="0" xr:uid="{9148706D-54AB-4A27-894C-F0E072577A2B}">
      <text>
        <r>
          <rPr>
            <b/>
            <sz val="9"/>
            <color indexed="81"/>
            <rFont val="Tahoma"/>
            <family val="2"/>
          </rPr>
          <t>&lt;[[DEVDeals] - [Associated TC Deal (Seq: 1)] - [TC Property Current Stage (Seq: 1)] - [Buildings (Seq: 63)] Address 1 - Both]&gt;</t>
        </r>
      </text>
    </comment>
    <comment ref="V253" authorId="0" shapeId="0" xr:uid="{DF34D95F-996E-4E16-A5FA-720FEBBD70E1}">
      <text>
        <r>
          <rPr>
            <b/>
            <sz val="9"/>
            <color indexed="81"/>
            <rFont val="Tahoma"/>
            <family val="2"/>
          </rPr>
          <t>&lt;[[DEVDeals] - [Associated TC Deal (Seq: 1)] - [TC Property Current Stage (Seq: 1)] - [Buildings (Seq: 63)] City - Both]&gt;</t>
        </r>
      </text>
    </comment>
    <comment ref="W253" authorId="0" shapeId="0" xr:uid="{D776B94E-F0AC-4D91-BCC6-633C536B9FFD}">
      <text>
        <r>
          <rPr>
            <b/>
            <sz val="9"/>
            <color indexed="81"/>
            <rFont val="Tahoma"/>
            <family val="2"/>
          </rPr>
          <t>&lt;[[DEVDeals] - [Associated TC Deal (Seq: 1)] - [TC Property Current Stage (Seq: 1)] - [Buildings (Seq: 63)] State - Both]&gt;</t>
        </r>
      </text>
    </comment>
    <comment ref="X253" authorId="0" shapeId="0" xr:uid="{1AE7E159-8D1C-4380-B56E-AD7018855651}">
      <text>
        <r>
          <rPr>
            <b/>
            <sz val="9"/>
            <color indexed="81"/>
            <rFont val="Tahoma"/>
            <family val="2"/>
          </rPr>
          <t>&lt;[[DEVDeals] - [Associated TC Deal (Seq: 1)] - [TC Property Current Stage (Seq: 1)] - [Buildings (Seq: 63)] Zip Code - Both]&gt;</t>
        </r>
      </text>
    </comment>
    <comment ref="Y253" authorId="0" shapeId="0" xr:uid="{AEB614A5-4976-4F24-B901-0FB6B27A0D43}">
      <text>
        <r>
          <rPr>
            <b/>
            <sz val="9"/>
            <color indexed="81"/>
            <rFont val="Tahoma"/>
            <family val="2"/>
          </rPr>
          <t>&lt;[[DEVDeals] - [Associated TC Deal (Seq: 1)] - [TC Property Current Stage (Seq: 1)] - [Buildings (Seq: 63)] BIN - Both]&gt;</t>
        </r>
      </text>
    </comment>
    <comment ref="AA253" authorId="0" shapeId="0" xr:uid="{AA30D109-30A0-42A5-8122-CD1D1264D1BF}">
      <text>
        <r>
          <rPr>
            <b/>
            <sz val="9"/>
            <color indexed="81"/>
            <rFont val="Tahoma"/>
            <family val="2"/>
          </rPr>
          <t>&lt;[[DEVDeals] - [Associated TC Deal (Seq: 1)] - [TC Property Current Stage (Seq: 1)] - [Buildings (Seq: 63)] Num TC Units - Both]&gt;</t>
        </r>
      </text>
    </comment>
    <comment ref="AB253" authorId="0" shapeId="0" xr:uid="{671FCAC7-AEF8-4540-AA3D-1EA5BF8CDA16}">
      <text>
        <r>
          <rPr>
            <b/>
            <sz val="9"/>
            <color indexed="81"/>
            <rFont val="Tahoma"/>
            <family val="2"/>
          </rPr>
          <t>&lt;[[DEVDeals] - [Associated TC Deal (Seq: 1)] - [TC Property Current Stage (Seq: 1)] - [Buildings (Seq: 63)] - [Buildings - User Defined Field Values (Seq: 1)] Building Info - Total Square Footage - Both]&gt;</t>
        </r>
      </text>
    </comment>
    <comment ref="AC253" authorId="0" shapeId="0" xr:uid="{CDFF01F4-BCEF-4457-8AE6-DE99618E400C}">
      <text>
        <r>
          <rPr>
            <b/>
            <sz val="9"/>
            <color indexed="81"/>
            <rFont val="Tahoma"/>
            <family val="2"/>
          </rPr>
          <t>&lt;[[DEVDeals] - [Associated TC Deal (Seq: 1)] - [TC Property Current Stage (Seq: 1)] - [Buildings (Seq: 63)] - [Buildings - User Defined Field Values (Seq: 1)] Building Info - Restricted Unit Square Footage - Both]&gt;</t>
        </r>
      </text>
    </comment>
    <comment ref="AD253" authorId="0" shapeId="0" xr:uid="{AEC64294-11B5-4A94-A437-ACA323ECA153}">
      <text>
        <r>
          <rPr>
            <b/>
            <sz val="9"/>
            <color indexed="81"/>
            <rFont val="Tahoma"/>
            <family val="2"/>
          </rPr>
          <t>&lt;[[DEVDeals] - [Associated TC Deal (Seq: 1)] - [TC Property Current Stage (Seq: 1)] - [Buildings (Seq: 63)] Applicable Fraction - Both]&gt;</t>
        </r>
      </text>
    </comment>
    <comment ref="AE253" authorId="0" shapeId="0" xr:uid="{3453F7A9-03FF-4ABD-8AAD-93EB1DDBAAFF}">
      <text>
        <r>
          <rPr>
            <b/>
            <sz val="9"/>
            <color indexed="81"/>
            <rFont val="Tahoma"/>
            <family val="2"/>
          </rPr>
          <t>&lt;[[DEVDeals] - [Associated TC Deal (Seq: 1)] - [TC Property Current Stage (Seq: 1)] - [Buildings (Seq: 63)] - [Buildings - User Defined Field Values (Seq: 1)] Building Info - Year Built - Both]&gt;</t>
        </r>
      </text>
    </comment>
    <comment ref="AF253" authorId="0" shapeId="0" xr:uid="{A57B6115-1034-42FF-89FF-8CD9A5269B37}">
      <text>
        <r>
          <rPr>
            <b/>
            <sz val="9"/>
            <color indexed="81"/>
            <rFont val="Tahoma"/>
            <family val="2"/>
          </rPr>
          <t>&lt;[[DEVDeals] - [Associated TC Deal (Seq: 1)] - [TC Property Current Stage (Seq: 1)] - [Buildings (Seq: 63)] - [Buildings - User Defined Field Values (Seq: 1)] Building Info - Building Type - Both]&gt;</t>
        </r>
      </text>
    </comment>
    <comment ref="AG253" authorId="0" shapeId="0" xr:uid="{D554AB74-57E2-4777-A861-A029D248CA0C}">
      <text>
        <r>
          <rPr>
            <b/>
            <sz val="9"/>
            <color indexed="81"/>
            <rFont val="Tahoma"/>
            <family val="2"/>
          </rPr>
          <t>&lt;[[DEVDeals] - [Associated TC Deal (Seq: 1)] - [TC Property Current Stage (Seq: 1)] - [Buildings (Seq: 63)] Num Mkt Units - Both]&gt;</t>
        </r>
      </text>
    </comment>
    <comment ref="AH253" authorId="0" shapeId="0" xr:uid="{0861C519-D650-4BF6-8A58-30173C47E21E}">
      <text>
        <r>
          <rPr>
            <b/>
            <sz val="9"/>
            <color indexed="81"/>
            <rFont val="Tahoma"/>
            <family val="2"/>
          </rPr>
          <t>&lt;[[DEVDeals] - [Associated TC Deal (Seq: 1)] - [TC Property Current Stage (Seq: 1)] - [Buildings (Seq: 63)] - [Buildings - User Defined Field Values (Seq: 1)] Building Info - Date Last Placed in Service - Both]&gt;</t>
        </r>
      </text>
    </comment>
    <comment ref="AI253" authorId="0" shapeId="0" xr:uid="{B8D1ACFD-6FCD-4B5C-A51B-DA465A1B76F8}">
      <text>
        <r>
          <rPr>
            <b/>
            <sz val="9"/>
            <color indexed="81"/>
            <rFont val="Tahoma"/>
            <family val="2"/>
          </rPr>
          <t>&lt;[[DEVDeals] - [Associated TC Deal (Seq: 1)] - [TC Property Current Stage (Seq: 1)] - [Buildings (Seq: 63)] - [Buildings - User Defined Field Values (Seq: 1)] Building Info - Sponsor's Purchase Date - Both]&gt;</t>
        </r>
      </text>
    </comment>
    <comment ref="AJ253" authorId="0" shapeId="0" xr:uid="{3ED6D1F2-04E7-4BC7-BED1-691E3B492897}">
      <text>
        <r>
          <rPr>
            <b/>
            <sz val="9"/>
            <color indexed="81"/>
            <rFont val="Tahoma"/>
            <family val="2"/>
          </rPr>
          <t>&lt;[[DEVDeals] - [Associated TC Deal (Seq: 1)] - [TC Property Current Stage (Seq: 1)] - [Buildings (Seq: 63)] - [Buildings - User Defined Field Values (Seq: 1)] Building Info - Years Between PIS &amp; Purchase Date - Both]&gt;</t>
        </r>
      </text>
    </comment>
    <comment ref="AK253" authorId="0" shapeId="0" xr:uid="{65B5D83A-07AD-4460-BFE1-65F926C13687}">
      <text>
        <r>
          <rPr>
            <b/>
            <sz val="9"/>
            <color indexed="81"/>
            <rFont val="Tahoma"/>
            <family val="2"/>
          </rPr>
          <t>&lt;[[DEVDeals] - [Associated TC Deal (Seq: 1)] - [TC Property Current Stage (Seq: 1)] - [Buildings (Seq: 63)] Federal Minimum Set Aside Id - Both]&gt;</t>
        </r>
      </text>
    </comment>
    <comment ref="U254" authorId="0" shapeId="0" xr:uid="{2559EA4B-01F5-41F0-9A81-7B9720D474BA}">
      <text>
        <r>
          <rPr>
            <b/>
            <sz val="9"/>
            <color indexed="81"/>
            <rFont val="Tahoma"/>
            <family val="2"/>
          </rPr>
          <t>&lt;[[DEVDeals] - [Associated TC Deal (Seq: 1)] - [TC Property Current Stage (Seq: 1)] - [Buildings (Seq: 64)] Address 1 - Both]&gt;</t>
        </r>
      </text>
    </comment>
    <comment ref="V254" authorId="0" shapeId="0" xr:uid="{11D7A24E-659E-432C-AACB-126437F405D6}">
      <text>
        <r>
          <rPr>
            <b/>
            <sz val="9"/>
            <color indexed="81"/>
            <rFont val="Tahoma"/>
            <family val="2"/>
          </rPr>
          <t>&lt;[[DEVDeals] - [Associated TC Deal (Seq: 1)] - [TC Property Current Stage (Seq: 1)] - [Buildings (Seq: 64)] City - Both]&gt;</t>
        </r>
      </text>
    </comment>
    <comment ref="W254" authorId="0" shapeId="0" xr:uid="{996EB985-77FB-489F-A5B1-176EF5CBADEC}">
      <text>
        <r>
          <rPr>
            <b/>
            <sz val="9"/>
            <color indexed="81"/>
            <rFont val="Tahoma"/>
            <family val="2"/>
          </rPr>
          <t>&lt;[[DEVDeals] - [Associated TC Deal (Seq: 1)] - [TC Property Current Stage (Seq: 1)] - [Buildings (Seq: 64)] State - Both]&gt;</t>
        </r>
      </text>
    </comment>
    <comment ref="X254" authorId="0" shapeId="0" xr:uid="{1D60494C-8372-4387-BD1A-41B12C0FF364}">
      <text>
        <r>
          <rPr>
            <b/>
            <sz val="9"/>
            <color indexed="81"/>
            <rFont val="Tahoma"/>
            <family val="2"/>
          </rPr>
          <t>&lt;[[DEVDeals] - [Associated TC Deal (Seq: 1)] - [TC Property Current Stage (Seq: 1)] - [Buildings (Seq: 64)] Zip Code - Both]&gt;</t>
        </r>
      </text>
    </comment>
    <comment ref="Y254" authorId="0" shapeId="0" xr:uid="{DB53F8C7-11C9-41B0-808A-343085935F2F}">
      <text>
        <r>
          <rPr>
            <b/>
            <sz val="9"/>
            <color indexed="81"/>
            <rFont val="Tahoma"/>
            <family val="2"/>
          </rPr>
          <t>&lt;[[DEVDeals] - [Associated TC Deal (Seq: 1)] - [TC Property Current Stage (Seq: 1)] - [Buildings (Seq: 64)] BIN - Both]&gt;</t>
        </r>
      </text>
    </comment>
    <comment ref="AA254" authorId="0" shapeId="0" xr:uid="{33CA4DE4-DA31-4EB9-8B92-922578E154B9}">
      <text>
        <r>
          <rPr>
            <b/>
            <sz val="9"/>
            <color indexed="81"/>
            <rFont val="Tahoma"/>
            <family val="2"/>
          </rPr>
          <t>&lt;[[DEVDeals] - [Associated TC Deal (Seq: 1)] - [TC Property Current Stage (Seq: 1)] - [Buildings (Seq: 64)] Num TC Units - Both]&gt;</t>
        </r>
      </text>
    </comment>
    <comment ref="AB254" authorId="0" shapeId="0" xr:uid="{2267CDFB-2D45-444B-86C3-61D1D729BA92}">
      <text>
        <r>
          <rPr>
            <b/>
            <sz val="9"/>
            <color indexed="81"/>
            <rFont val="Tahoma"/>
            <family val="2"/>
          </rPr>
          <t>&lt;[[DEVDeals] - [Associated TC Deal (Seq: 1)] - [TC Property Current Stage (Seq: 1)] - [Buildings (Seq: 64)] - [Buildings - User Defined Field Values (Seq: 1)] Building Info - Total Square Footage - Both]&gt;</t>
        </r>
      </text>
    </comment>
    <comment ref="AC254" authorId="0" shapeId="0" xr:uid="{DFF847A8-4ABF-4A5F-A292-B5C2B694736D}">
      <text>
        <r>
          <rPr>
            <b/>
            <sz val="9"/>
            <color indexed="81"/>
            <rFont val="Tahoma"/>
            <family val="2"/>
          </rPr>
          <t>&lt;[[DEVDeals] - [Associated TC Deal (Seq: 1)] - [TC Property Current Stage (Seq: 1)] - [Buildings (Seq: 64)] - [Buildings - User Defined Field Values (Seq: 1)] Building Info - Restricted Unit Square Footage - Both]&gt;</t>
        </r>
      </text>
    </comment>
    <comment ref="AD254" authorId="0" shapeId="0" xr:uid="{5D7A0FD8-D9B4-4F6B-9768-BB21053DAFAE}">
      <text>
        <r>
          <rPr>
            <b/>
            <sz val="9"/>
            <color indexed="81"/>
            <rFont val="Tahoma"/>
            <family val="2"/>
          </rPr>
          <t>&lt;[[DEVDeals] - [Associated TC Deal (Seq: 1)] - [TC Property Current Stage (Seq: 1)] - [Buildings (Seq: 64)] Applicable Fraction - Both]&gt;</t>
        </r>
      </text>
    </comment>
    <comment ref="AE254" authorId="0" shapeId="0" xr:uid="{93549345-1C9B-4BEE-A219-B8565D864A29}">
      <text>
        <r>
          <rPr>
            <b/>
            <sz val="9"/>
            <color indexed="81"/>
            <rFont val="Tahoma"/>
            <family val="2"/>
          </rPr>
          <t>&lt;[[DEVDeals] - [Associated TC Deal (Seq: 1)] - [TC Property Current Stage (Seq: 1)] - [Buildings (Seq: 64)] - [Buildings - User Defined Field Values (Seq: 1)] Building Info - Year Built - Both]&gt;</t>
        </r>
      </text>
    </comment>
    <comment ref="AF254" authorId="0" shapeId="0" xr:uid="{050CC9A9-1425-4D22-BD5E-0841C7B38479}">
      <text>
        <r>
          <rPr>
            <b/>
            <sz val="9"/>
            <color indexed="81"/>
            <rFont val="Tahoma"/>
            <family val="2"/>
          </rPr>
          <t>&lt;[[DEVDeals] - [Associated TC Deal (Seq: 1)] - [TC Property Current Stage (Seq: 1)] - [Buildings (Seq: 64)] - [Buildings - User Defined Field Values (Seq: 1)] Building Info - Building Type - Both]&gt;</t>
        </r>
      </text>
    </comment>
    <comment ref="AG254" authorId="0" shapeId="0" xr:uid="{BA338616-A668-45B4-9E62-278062F012FB}">
      <text>
        <r>
          <rPr>
            <b/>
            <sz val="9"/>
            <color indexed="81"/>
            <rFont val="Tahoma"/>
            <family val="2"/>
          </rPr>
          <t>&lt;[[DEVDeals] - [Associated TC Deal (Seq: 1)] - [TC Property Current Stage (Seq: 1)] - [Buildings (Seq: 64)] Num Mkt Units - Both]&gt;</t>
        </r>
      </text>
    </comment>
    <comment ref="AH254" authorId="0" shapeId="0" xr:uid="{AC1C3917-7022-4D80-8582-FD54E8D65387}">
      <text>
        <r>
          <rPr>
            <b/>
            <sz val="9"/>
            <color indexed="81"/>
            <rFont val="Tahoma"/>
            <family val="2"/>
          </rPr>
          <t>&lt;[[DEVDeals] - [Associated TC Deal (Seq: 1)] - [TC Property Current Stage (Seq: 1)] - [Buildings (Seq: 64)] - [Buildings - User Defined Field Values (Seq: 1)] Building Info - Date Last Placed in Service - Both]&gt;</t>
        </r>
      </text>
    </comment>
    <comment ref="AI254" authorId="0" shapeId="0" xr:uid="{EE23E94F-0D4B-44B5-8CF1-4E841FBD0EFF}">
      <text>
        <r>
          <rPr>
            <b/>
            <sz val="9"/>
            <color indexed="81"/>
            <rFont val="Tahoma"/>
            <family val="2"/>
          </rPr>
          <t>&lt;[[DEVDeals] - [Associated TC Deal (Seq: 1)] - [TC Property Current Stage (Seq: 1)] - [Buildings (Seq: 64)] - [Buildings - User Defined Field Values (Seq: 1)] Building Info - Sponsor's Purchase Date - Both]&gt;</t>
        </r>
      </text>
    </comment>
    <comment ref="AJ254" authorId="0" shapeId="0" xr:uid="{ED826CF2-F766-4B29-B458-91491B8C7D16}">
      <text>
        <r>
          <rPr>
            <b/>
            <sz val="9"/>
            <color indexed="81"/>
            <rFont val="Tahoma"/>
            <family val="2"/>
          </rPr>
          <t>&lt;[[DEVDeals] - [Associated TC Deal (Seq: 1)] - [TC Property Current Stage (Seq: 1)] - [Buildings (Seq: 64)] - [Buildings - User Defined Field Values (Seq: 1)] Building Info - Years Between PIS &amp; Purchase Date - Both]&gt;</t>
        </r>
      </text>
    </comment>
    <comment ref="AK254" authorId="0" shapeId="0" xr:uid="{8B3D1400-C8E8-409F-B4CA-BF7E5CC6A432}">
      <text>
        <r>
          <rPr>
            <b/>
            <sz val="9"/>
            <color indexed="81"/>
            <rFont val="Tahoma"/>
            <family val="2"/>
          </rPr>
          <t>&lt;[[DEVDeals] - [Associated TC Deal (Seq: 1)] - [TC Property Current Stage (Seq: 1)] - [Buildings (Seq: 64)] Federal Minimum Set Aside Id - Both]&gt;</t>
        </r>
      </text>
    </comment>
    <comment ref="U255" authorId="0" shapeId="0" xr:uid="{D1532A02-60CD-448A-AB72-46594E84507B}">
      <text>
        <r>
          <rPr>
            <b/>
            <sz val="9"/>
            <color indexed="81"/>
            <rFont val="Tahoma"/>
            <family val="2"/>
          </rPr>
          <t>&lt;[[DEVDeals] - [Associated TC Deal (Seq: 1)] - [TC Property Current Stage (Seq: 1)] - [Buildings (Seq: 65)] Address 1 - Both]&gt;</t>
        </r>
      </text>
    </comment>
    <comment ref="V255" authorId="0" shapeId="0" xr:uid="{454A86B1-A6B7-41D8-BD4C-BD90AF5A9506}">
      <text>
        <r>
          <rPr>
            <b/>
            <sz val="9"/>
            <color indexed="81"/>
            <rFont val="Tahoma"/>
            <family val="2"/>
          </rPr>
          <t>&lt;[[DEVDeals] - [Associated TC Deal (Seq: 1)] - [TC Property Current Stage (Seq: 1)] - [Buildings (Seq: 65)] City - Both]&gt;</t>
        </r>
      </text>
    </comment>
    <comment ref="W255" authorId="0" shapeId="0" xr:uid="{1D5E5B63-5EA5-456F-BAF3-6AAFECBDDF6E}">
      <text>
        <r>
          <rPr>
            <b/>
            <sz val="9"/>
            <color indexed="81"/>
            <rFont val="Tahoma"/>
            <family val="2"/>
          </rPr>
          <t>&lt;[[DEVDeals] - [Associated TC Deal (Seq: 1)] - [TC Property Current Stage (Seq: 1)] - [Buildings (Seq: 65)] State - Both]&gt;</t>
        </r>
      </text>
    </comment>
    <comment ref="X255" authorId="0" shapeId="0" xr:uid="{EBDCF901-6201-418A-A39A-2B13CD170479}">
      <text>
        <r>
          <rPr>
            <b/>
            <sz val="9"/>
            <color indexed="81"/>
            <rFont val="Tahoma"/>
            <family val="2"/>
          </rPr>
          <t>&lt;[[DEVDeals] - [Associated TC Deal (Seq: 1)] - [TC Property Current Stage (Seq: 1)] - [Buildings (Seq: 65)] Zip Code - Both]&gt;</t>
        </r>
      </text>
    </comment>
    <comment ref="Y255" authorId="0" shapeId="0" xr:uid="{DA8FDC4D-2ED2-4CB1-90BD-3B15DE5A5813}">
      <text>
        <r>
          <rPr>
            <b/>
            <sz val="9"/>
            <color indexed="81"/>
            <rFont val="Tahoma"/>
            <family val="2"/>
          </rPr>
          <t>&lt;[[DEVDeals] - [Associated TC Deal (Seq: 1)] - [TC Property Current Stage (Seq: 1)] - [Buildings (Seq: 65)] BIN - Both]&gt;</t>
        </r>
      </text>
    </comment>
    <comment ref="AA255" authorId="0" shapeId="0" xr:uid="{50DCFE9F-AF9D-4AE1-921E-932198BD0B5B}">
      <text>
        <r>
          <rPr>
            <b/>
            <sz val="9"/>
            <color indexed="81"/>
            <rFont val="Tahoma"/>
            <family val="2"/>
          </rPr>
          <t>&lt;[[DEVDeals] - [Associated TC Deal (Seq: 1)] - [TC Property Current Stage (Seq: 1)] - [Buildings (Seq: 65)] Num TC Units - Both]&gt;</t>
        </r>
      </text>
    </comment>
    <comment ref="AB255" authorId="0" shapeId="0" xr:uid="{456A782F-C852-4487-BF3C-56EB1ECFD710}">
      <text>
        <r>
          <rPr>
            <b/>
            <sz val="9"/>
            <color indexed="81"/>
            <rFont val="Tahoma"/>
            <family val="2"/>
          </rPr>
          <t>&lt;[[DEVDeals] - [Associated TC Deal (Seq: 1)] - [TC Property Current Stage (Seq: 1)] - [Buildings (Seq: 65)] - [Buildings - User Defined Field Values (Seq: 1)] Building Info - Total Square Footage - Both]&gt;</t>
        </r>
      </text>
    </comment>
    <comment ref="AC255" authorId="0" shapeId="0" xr:uid="{CA83EAA2-C5F8-43A5-A412-6E110F566AB0}">
      <text>
        <r>
          <rPr>
            <b/>
            <sz val="9"/>
            <color indexed="81"/>
            <rFont val="Tahoma"/>
            <family val="2"/>
          </rPr>
          <t>&lt;[[DEVDeals] - [Associated TC Deal (Seq: 1)] - [TC Property Current Stage (Seq: 1)] - [Buildings (Seq: 65)] - [Buildings - User Defined Field Values (Seq: 1)] Building Info - Restricted Unit Square Footage - Both]&gt;</t>
        </r>
      </text>
    </comment>
    <comment ref="AD255" authorId="0" shapeId="0" xr:uid="{96E81BE3-8BC8-4893-8ECA-1FA7F424D2D2}">
      <text>
        <r>
          <rPr>
            <b/>
            <sz val="9"/>
            <color indexed="81"/>
            <rFont val="Tahoma"/>
            <family val="2"/>
          </rPr>
          <t>&lt;[[DEVDeals] - [Associated TC Deal (Seq: 1)] - [TC Property Current Stage (Seq: 1)] - [Buildings (Seq: 65)] Applicable Fraction - Both]&gt;</t>
        </r>
      </text>
    </comment>
    <comment ref="AE255" authorId="0" shapeId="0" xr:uid="{DBA05007-077B-4864-B48C-C38E00E70815}">
      <text>
        <r>
          <rPr>
            <b/>
            <sz val="9"/>
            <color indexed="81"/>
            <rFont val="Tahoma"/>
            <family val="2"/>
          </rPr>
          <t>&lt;[[DEVDeals] - [Associated TC Deal (Seq: 1)] - [TC Property Current Stage (Seq: 1)] - [Buildings (Seq: 65)] - [Buildings - User Defined Field Values (Seq: 1)] Building Info - Year Built - Both]&gt;</t>
        </r>
      </text>
    </comment>
    <comment ref="AF255" authorId="0" shapeId="0" xr:uid="{86E47BD6-E8ED-41CC-BB03-7D9919E87085}">
      <text>
        <r>
          <rPr>
            <b/>
            <sz val="9"/>
            <color indexed="81"/>
            <rFont val="Tahoma"/>
            <family val="2"/>
          </rPr>
          <t>&lt;[[DEVDeals] - [Associated TC Deal (Seq: 1)] - [TC Property Current Stage (Seq: 1)] - [Buildings (Seq: 65)] - [Buildings - User Defined Field Values (Seq: 1)] Building Info - Building Type - Both]&gt;</t>
        </r>
      </text>
    </comment>
    <comment ref="AG255" authorId="0" shapeId="0" xr:uid="{5E9C02E4-4286-4D73-B9AB-B43C29C93D3B}">
      <text>
        <r>
          <rPr>
            <b/>
            <sz val="9"/>
            <color indexed="81"/>
            <rFont val="Tahoma"/>
            <family val="2"/>
          </rPr>
          <t>&lt;[[DEVDeals] - [Associated TC Deal (Seq: 1)] - [TC Property Current Stage (Seq: 1)] - [Buildings (Seq: 65)] Num Mkt Units - Both]&gt;</t>
        </r>
      </text>
    </comment>
    <comment ref="AH255" authorId="0" shapeId="0" xr:uid="{4EE832F2-8B79-4F9D-A0D0-27F57D634D7C}">
      <text>
        <r>
          <rPr>
            <b/>
            <sz val="9"/>
            <color indexed="81"/>
            <rFont val="Tahoma"/>
            <family val="2"/>
          </rPr>
          <t>&lt;[[DEVDeals] - [Associated TC Deal (Seq: 1)] - [TC Property Current Stage (Seq: 1)] - [Buildings (Seq: 65)] - [Buildings - User Defined Field Values (Seq: 1)] Building Info - Date Last Placed in Service - Both]&gt;</t>
        </r>
      </text>
    </comment>
    <comment ref="AI255" authorId="0" shapeId="0" xr:uid="{9176A1D2-7AE0-4FD2-916C-CC50A329B774}">
      <text>
        <r>
          <rPr>
            <b/>
            <sz val="9"/>
            <color indexed="81"/>
            <rFont val="Tahoma"/>
            <family val="2"/>
          </rPr>
          <t>&lt;[[DEVDeals] - [Associated TC Deal (Seq: 1)] - [TC Property Current Stage (Seq: 1)] - [Buildings (Seq: 65)] - [Buildings - User Defined Field Values (Seq: 1)] Building Info - Sponsor's Purchase Date - Both]&gt;</t>
        </r>
      </text>
    </comment>
    <comment ref="AJ255" authorId="0" shapeId="0" xr:uid="{50541CA2-1C6E-426E-A6AB-FE34E8E86C64}">
      <text>
        <r>
          <rPr>
            <b/>
            <sz val="9"/>
            <color indexed="81"/>
            <rFont val="Tahoma"/>
            <family val="2"/>
          </rPr>
          <t>&lt;[[DEVDeals] - [Associated TC Deal (Seq: 1)] - [TC Property Current Stage (Seq: 1)] - [Buildings (Seq: 65)] - [Buildings - User Defined Field Values (Seq: 1)] Building Info - Years Between PIS &amp; Purchase Date - Both]&gt;</t>
        </r>
      </text>
    </comment>
    <comment ref="AK255" authorId="0" shapeId="0" xr:uid="{15BFF0AF-EBED-41D9-9D4C-43D5BD924D47}">
      <text>
        <r>
          <rPr>
            <b/>
            <sz val="9"/>
            <color indexed="81"/>
            <rFont val="Tahoma"/>
            <family val="2"/>
          </rPr>
          <t>&lt;[[DEVDeals] - [Associated TC Deal (Seq: 1)] - [TC Property Current Stage (Seq: 1)] - [Buildings (Seq: 65)] Federal Minimum Set Aside Id - Both]&gt;</t>
        </r>
      </text>
    </comment>
    <comment ref="U256" authorId="0" shapeId="0" xr:uid="{B5BAABBD-715A-46B2-B454-9C56BA2401D2}">
      <text>
        <r>
          <rPr>
            <b/>
            <sz val="9"/>
            <color indexed="81"/>
            <rFont val="Tahoma"/>
            <family val="2"/>
          </rPr>
          <t>&lt;[[DEVDeals] - [Associated TC Deal (Seq: 1)] - [TC Property Current Stage (Seq: 1)] - [Buildings (Seq: 66)] Address 1 - Both]&gt;</t>
        </r>
      </text>
    </comment>
    <comment ref="V256" authorId="0" shapeId="0" xr:uid="{38772E02-E85F-41DA-9FD9-8B804DB01420}">
      <text>
        <r>
          <rPr>
            <b/>
            <sz val="9"/>
            <color indexed="81"/>
            <rFont val="Tahoma"/>
            <family val="2"/>
          </rPr>
          <t>&lt;[[DEVDeals] - [Associated TC Deal (Seq: 1)] - [TC Property Current Stage (Seq: 1)] - [Buildings (Seq: 66)] City - Both]&gt;</t>
        </r>
      </text>
    </comment>
    <comment ref="W256" authorId="0" shapeId="0" xr:uid="{BBEA153A-8594-4684-87C5-63D98EF70632}">
      <text>
        <r>
          <rPr>
            <b/>
            <sz val="9"/>
            <color indexed="81"/>
            <rFont val="Tahoma"/>
            <family val="2"/>
          </rPr>
          <t>&lt;[[DEVDeals] - [Associated TC Deal (Seq: 1)] - [TC Property Current Stage (Seq: 1)] - [Buildings (Seq: 66)] State - Both]&gt;</t>
        </r>
      </text>
    </comment>
    <comment ref="X256" authorId="0" shapeId="0" xr:uid="{6F156697-B399-4D93-B5C5-D564ED9D4525}">
      <text>
        <r>
          <rPr>
            <b/>
            <sz val="9"/>
            <color indexed="81"/>
            <rFont val="Tahoma"/>
            <family val="2"/>
          </rPr>
          <t>&lt;[[DEVDeals] - [Associated TC Deal (Seq: 1)] - [TC Property Current Stage (Seq: 1)] - [Buildings (Seq: 66)] Zip Code - Both]&gt;</t>
        </r>
      </text>
    </comment>
    <comment ref="Y256" authorId="0" shapeId="0" xr:uid="{74219D64-BE29-42A1-9972-19453A392316}">
      <text>
        <r>
          <rPr>
            <b/>
            <sz val="9"/>
            <color indexed="81"/>
            <rFont val="Tahoma"/>
            <family val="2"/>
          </rPr>
          <t>&lt;[[DEVDeals] - [Associated TC Deal (Seq: 1)] - [TC Property Current Stage (Seq: 1)] - [Buildings (Seq: 66)] BIN - Both]&gt;</t>
        </r>
      </text>
    </comment>
    <comment ref="AA256" authorId="0" shapeId="0" xr:uid="{1FD0ACC6-F362-4606-842F-5F8AF3E3D7EA}">
      <text>
        <r>
          <rPr>
            <b/>
            <sz val="9"/>
            <color indexed="81"/>
            <rFont val="Tahoma"/>
            <family val="2"/>
          </rPr>
          <t>&lt;[[DEVDeals] - [Associated TC Deal (Seq: 1)] - [TC Property Current Stage (Seq: 1)] - [Buildings (Seq: 66)] Num TC Units - Both]&gt;</t>
        </r>
      </text>
    </comment>
    <comment ref="AB256" authorId="0" shapeId="0" xr:uid="{B911CD1A-350D-4AF4-9ABE-F8C39D4723D4}">
      <text>
        <r>
          <rPr>
            <b/>
            <sz val="9"/>
            <color indexed="81"/>
            <rFont val="Tahoma"/>
            <family val="2"/>
          </rPr>
          <t>&lt;[[DEVDeals] - [Associated TC Deal (Seq: 1)] - [TC Property Current Stage (Seq: 1)] - [Buildings (Seq: 66)] - [Buildings - User Defined Field Values (Seq: 1)] Building Info - Total Square Footage - Both]&gt;</t>
        </r>
      </text>
    </comment>
    <comment ref="AC256" authorId="0" shapeId="0" xr:uid="{804C467F-EB96-45F2-B4CB-BB858FED2655}">
      <text>
        <r>
          <rPr>
            <b/>
            <sz val="9"/>
            <color indexed="81"/>
            <rFont val="Tahoma"/>
            <family val="2"/>
          </rPr>
          <t>&lt;[[DEVDeals] - [Associated TC Deal (Seq: 1)] - [TC Property Current Stage (Seq: 1)] - [Buildings (Seq: 66)] - [Buildings - User Defined Field Values (Seq: 1)] Building Info - Restricted Unit Square Footage - Both]&gt;</t>
        </r>
      </text>
    </comment>
    <comment ref="AD256" authorId="0" shapeId="0" xr:uid="{A0FA9B47-39BF-4C85-88E2-C2B019F684A9}">
      <text>
        <r>
          <rPr>
            <b/>
            <sz val="9"/>
            <color indexed="81"/>
            <rFont val="Tahoma"/>
            <family val="2"/>
          </rPr>
          <t>&lt;[[DEVDeals] - [Associated TC Deal (Seq: 1)] - [TC Property Current Stage (Seq: 1)] - [Buildings (Seq: 66)] Applicable Fraction - Both]&gt;</t>
        </r>
      </text>
    </comment>
    <comment ref="AE256" authorId="0" shapeId="0" xr:uid="{59317BCC-BD3B-406A-B6F5-D2C47B9CE55A}">
      <text>
        <r>
          <rPr>
            <b/>
            <sz val="9"/>
            <color indexed="81"/>
            <rFont val="Tahoma"/>
            <family val="2"/>
          </rPr>
          <t>&lt;[[DEVDeals] - [Associated TC Deal (Seq: 1)] - [TC Property Current Stage (Seq: 1)] - [Buildings (Seq: 66)] - [Buildings - User Defined Field Values (Seq: 1)] Building Info - Year Built - Both]&gt;</t>
        </r>
      </text>
    </comment>
    <comment ref="AF256" authorId="0" shapeId="0" xr:uid="{F9A30A35-329A-4CDF-AA7A-476F91490176}">
      <text>
        <r>
          <rPr>
            <b/>
            <sz val="9"/>
            <color indexed="81"/>
            <rFont val="Tahoma"/>
            <family val="2"/>
          </rPr>
          <t>&lt;[[DEVDeals] - [Associated TC Deal (Seq: 1)] - [TC Property Current Stage (Seq: 1)] - [Buildings (Seq: 66)] - [Buildings - User Defined Field Values (Seq: 1)] Building Info - Building Type - Both]&gt;</t>
        </r>
      </text>
    </comment>
    <comment ref="AG256" authorId="0" shapeId="0" xr:uid="{A0E58211-C0D8-4D3A-A9F5-451F9919DA36}">
      <text>
        <r>
          <rPr>
            <b/>
            <sz val="9"/>
            <color indexed="81"/>
            <rFont val="Tahoma"/>
            <family val="2"/>
          </rPr>
          <t>&lt;[[DEVDeals] - [Associated TC Deal (Seq: 1)] - [TC Property Current Stage (Seq: 1)] - [Buildings (Seq: 66)] Num Mkt Units - Both]&gt;</t>
        </r>
      </text>
    </comment>
    <comment ref="AH256" authorId="0" shapeId="0" xr:uid="{D703D318-10CC-41BD-8AC5-F50A1D6A5F69}">
      <text>
        <r>
          <rPr>
            <b/>
            <sz val="9"/>
            <color indexed="81"/>
            <rFont val="Tahoma"/>
            <family val="2"/>
          </rPr>
          <t>&lt;[[DEVDeals] - [Associated TC Deal (Seq: 1)] - [TC Property Current Stage (Seq: 1)] - [Buildings (Seq: 66)] - [Buildings - User Defined Field Values (Seq: 1)] Building Info - Date Last Placed in Service - Both]&gt;</t>
        </r>
      </text>
    </comment>
    <comment ref="AI256" authorId="0" shapeId="0" xr:uid="{E0DF37E2-9044-4263-B912-8E30C93103E4}">
      <text>
        <r>
          <rPr>
            <b/>
            <sz val="9"/>
            <color indexed="81"/>
            <rFont val="Tahoma"/>
            <family val="2"/>
          </rPr>
          <t>&lt;[[DEVDeals] - [Associated TC Deal (Seq: 1)] - [TC Property Current Stage (Seq: 1)] - [Buildings (Seq: 66)] - [Buildings - User Defined Field Values (Seq: 1)] Building Info - Sponsor's Purchase Date - Both]&gt;</t>
        </r>
      </text>
    </comment>
    <comment ref="AJ256" authorId="0" shapeId="0" xr:uid="{D46AB46A-1357-43D3-AADF-81E238C2A254}">
      <text>
        <r>
          <rPr>
            <b/>
            <sz val="9"/>
            <color indexed="81"/>
            <rFont val="Tahoma"/>
            <family val="2"/>
          </rPr>
          <t>&lt;[[DEVDeals] - [Associated TC Deal (Seq: 1)] - [TC Property Current Stage (Seq: 1)] - [Buildings (Seq: 66)] - [Buildings - User Defined Field Values (Seq: 1)] Building Info - Years Between PIS &amp; Purchase Date - Both]&gt;</t>
        </r>
      </text>
    </comment>
    <comment ref="AK256" authorId="0" shapeId="0" xr:uid="{B2F44021-1B72-430D-A133-44C0558FAF41}">
      <text>
        <r>
          <rPr>
            <b/>
            <sz val="9"/>
            <color indexed="81"/>
            <rFont val="Tahoma"/>
            <family val="2"/>
          </rPr>
          <t>&lt;[[DEVDeals] - [Associated TC Deal (Seq: 1)] - [TC Property Current Stage (Seq: 1)] - [Buildings (Seq: 66)] Federal Minimum Set Aside Id - Both]&gt;</t>
        </r>
      </text>
    </comment>
    <comment ref="U257" authorId="0" shapeId="0" xr:uid="{FC059EEA-4ED8-43C5-BDB4-4A1D737A93AB}">
      <text>
        <r>
          <rPr>
            <b/>
            <sz val="9"/>
            <color indexed="81"/>
            <rFont val="Tahoma"/>
            <family val="2"/>
          </rPr>
          <t>&lt;[[DEVDeals] - [Associated TC Deal (Seq: 1)] - [TC Property Current Stage (Seq: 1)] - [Buildings (Seq: 67)] Address 1 - Both]&gt;</t>
        </r>
      </text>
    </comment>
    <comment ref="V257" authorId="0" shapeId="0" xr:uid="{DB0354D4-ACE4-4C6C-A52E-46D649CA6C93}">
      <text>
        <r>
          <rPr>
            <b/>
            <sz val="9"/>
            <color indexed="81"/>
            <rFont val="Tahoma"/>
            <family val="2"/>
          </rPr>
          <t>&lt;[[DEVDeals] - [Associated TC Deal (Seq: 1)] - [TC Property Current Stage (Seq: 1)] - [Buildings (Seq: 67)] City - Both]&gt;</t>
        </r>
      </text>
    </comment>
    <comment ref="W257" authorId="0" shapeId="0" xr:uid="{510BBF95-A6BA-415A-ADF3-5BD30944B84C}">
      <text>
        <r>
          <rPr>
            <b/>
            <sz val="9"/>
            <color indexed="81"/>
            <rFont val="Tahoma"/>
            <family val="2"/>
          </rPr>
          <t>&lt;[[DEVDeals] - [Associated TC Deal (Seq: 1)] - [TC Property Current Stage (Seq: 1)] - [Buildings (Seq: 67)] State - Both]&gt;</t>
        </r>
      </text>
    </comment>
    <comment ref="X257" authorId="0" shapeId="0" xr:uid="{CD431143-2947-4A44-88D7-491DE5B528AB}">
      <text>
        <r>
          <rPr>
            <b/>
            <sz val="9"/>
            <color indexed="81"/>
            <rFont val="Tahoma"/>
            <family val="2"/>
          </rPr>
          <t>&lt;[[DEVDeals] - [Associated TC Deal (Seq: 1)] - [TC Property Current Stage (Seq: 1)] - [Buildings (Seq: 67)] Zip Code - Both]&gt;</t>
        </r>
      </text>
    </comment>
    <comment ref="Y257" authorId="0" shapeId="0" xr:uid="{02F51B26-6A8E-40F1-A22C-BB213C832323}">
      <text>
        <r>
          <rPr>
            <b/>
            <sz val="9"/>
            <color indexed="81"/>
            <rFont val="Tahoma"/>
            <family val="2"/>
          </rPr>
          <t>&lt;[[DEVDeals] - [Associated TC Deal (Seq: 1)] - [TC Property Current Stage (Seq: 1)] - [Buildings (Seq: 67)] BIN - Both]&gt;</t>
        </r>
      </text>
    </comment>
    <comment ref="AA257" authorId="0" shapeId="0" xr:uid="{45C52F19-18A7-48D0-B1AA-4FE240CA3894}">
      <text>
        <r>
          <rPr>
            <b/>
            <sz val="9"/>
            <color indexed="81"/>
            <rFont val="Tahoma"/>
            <family val="2"/>
          </rPr>
          <t>&lt;[[DEVDeals] - [Associated TC Deal (Seq: 1)] - [TC Property Current Stage (Seq: 1)] - [Buildings (Seq: 67)] Num TC Units - Both]&gt;</t>
        </r>
      </text>
    </comment>
    <comment ref="AB257" authorId="0" shapeId="0" xr:uid="{13F9A53D-2DEE-48C4-B486-9E5B2D50B679}">
      <text>
        <r>
          <rPr>
            <b/>
            <sz val="9"/>
            <color indexed="81"/>
            <rFont val="Tahoma"/>
            <family val="2"/>
          </rPr>
          <t>&lt;[[DEVDeals] - [Associated TC Deal (Seq: 1)] - [TC Property Current Stage (Seq: 1)] - [Buildings (Seq: 67)] - [Buildings - User Defined Field Values (Seq: 1)] Building Info - Total Square Footage - Both]&gt;</t>
        </r>
      </text>
    </comment>
    <comment ref="AC257" authorId="0" shapeId="0" xr:uid="{4BE5E148-1FCD-436A-B73A-C373104A3321}">
      <text>
        <r>
          <rPr>
            <b/>
            <sz val="9"/>
            <color indexed="81"/>
            <rFont val="Tahoma"/>
            <family val="2"/>
          </rPr>
          <t>&lt;[[DEVDeals] - [Associated TC Deal (Seq: 1)] - [TC Property Current Stage (Seq: 1)] - [Buildings (Seq: 67)] - [Buildings - User Defined Field Values (Seq: 1)] Building Info - Restricted Unit Square Footage - Both]&gt;</t>
        </r>
      </text>
    </comment>
    <comment ref="AD257" authorId="0" shapeId="0" xr:uid="{6881458D-A43D-4D7B-B7CD-022530DA261C}">
      <text>
        <r>
          <rPr>
            <b/>
            <sz val="9"/>
            <color indexed="81"/>
            <rFont val="Tahoma"/>
            <family val="2"/>
          </rPr>
          <t>&lt;[[DEVDeals] - [Associated TC Deal (Seq: 1)] - [TC Property Current Stage (Seq: 1)] - [Buildings (Seq: 67)] Applicable Fraction - Both]&gt;</t>
        </r>
      </text>
    </comment>
    <comment ref="AE257" authorId="0" shapeId="0" xr:uid="{A07C193F-9CD9-4A89-9F9A-295D4E384969}">
      <text>
        <r>
          <rPr>
            <b/>
            <sz val="9"/>
            <color indexed="81"/>
            <rFont val="Tahoma"/>
            <family val="2"/>
          </rPr>
          <t>&lt;[[DEVDeals] - [Associated TC Deal (Seq: 1)] - [TC Property Current Stage (Seq: 1)] - [Buildings (Seq: 67)] - [Buildings - User Defined Field Values (Seq: 1)] Building Info - Year Built - Both]&gt;</t>
        </r>
      </text>
    </comment>
    <comment ref="AF257" authorId="0" shapeId="0" xr:uid="{99C349DC-C256-4BE5-8A0F-95D055378834}">
      <text>
        <r>
          <rPr>
            <b/>
            <sz val="9"/>
            <color indexed="81"/>
            <rFont val="Tahoma"/>
            <family val="2"/>
          </rPr>
          <t>&lt;[[DEVDeals] - [Associated TC Deal (Seq: 1)] - [TC Property Current Stage (Seq: 1)] - [Buildings (Seq: 67)] - [Buildings - User Defined Field Values (Seq: 1)] Building Info - Building Type - Both]&gt;</t>
        </r>
      </text>
    </comment>
    <comment ref="AG257" authorId="0" shapeId="0" xr:uid="{5753AAF4-F17C-4BCE-81B0-38DE0B49376A}">
      <text>
        <r>
          <rPr>
            <b/>
            <sz val="9"/>
            <color indexed="81"/>
            <rFont val="Tahoma"/>
            <family val="2"/>
          </rPr>
          <t>&lt;[[DEVDeals] - [Associated TC Deal (Seq: 1)] - [TC Property Current Stage (Seq: 1)] - [Buildings (Seq: 67)] Num Mkt Units - Both]&gt;</t>
        </r>
      </text>
    </comment>
    <comment ref="AH257" authorId="0" shapeId="0" xr:uid="{5BC42D62-F7F5-4A62-AC4B-96EEBBB1C165}">
      <text>
        <r>
          <rPr>
            <b/>
            <sz val="9"/>
            <color indexed="81"/>
            <rFont val="Tahoma"/>
            <family val="2"/>
          </rPr>
          <t>&lt;[[DEVDeals] - [Associated TC Deal (Seq: 1)] - [TC Property Current Stage (Seq: 1)] - [Buildings (Seq: 67)] - [Buildings - User Defined Field Values (Seq: 1)] Building Info - Date Last Placed in Service - Both]&gt;</t>
        </r>
      </text>
    </comment>
    <comment ref="AI257" authorId="0" shapeId="0" xr:uid="{FDD935DE-E3E3-4782-9304-352E33FDD313}">
      <text>
        <r>
          <rPr>
            <b/>
            <sz val="9"/>
            <color indexed="81"/>
            <rFont val="Tahoma"/>
            <family val="2"/>
          </rPr>
          <t>&lt;[[DEVDeals] - [Associated TC Deal (Seq: 1)] - [TC Property Current Stage (Seq: 1)] - [Buildings (Seq: 67)] - [Buildings - User Defined Field Values (Seq: 1)] Building Info - Sponsor's Purchase Date - Both]&gt;</t>
        </r>
      </text>
    </comment>
    <comment ref="AJ257" authorId="0" shapeId="0" xr:uid="{FE5EB21E-7697-412B-B467-D4870B2839F0}">
      <text>
        <r>
          <rPr>
            <b/>
            <sz val="9"/>
            <color indexed="81"/>
            <rFont val="Tahoma"/>
            <family val="2"/>
          </rPr>
          <t>&lt;[[DEVDeals] - [Associated TC Deal (Seq: 1)] - [TC Property Current Stage (Seq: 1)] - [Buildings (Seq: 67)] - [Buildings - User Defined Field Values (Seq: 1)] Building Info - Years Between PIS &amp; Purchase Date - Both]&gt;</t>
        </r>
      </text>
    </comment>
    <comment ref="AK257" authorId="0" shapeId="0" xr:uid="{FD517E5E-5D00-4C3B-8340-E4B27FC667FA}">
      <text>
        <r>
          <rPr>
            <b/>
            <sz val="9"/>
            <color indexed="81"/>
            <rFont val="Tahoma"/>
            <family val="2"/>
          </rPr>
          <t>&lt;[[DEVDeals] - [Associated TC Deal (Seq: 1)] - [TC Property Current Stage (Seq: 1)] - [Buildings (Seq: 67)] Federal Minimum Set Aside Id - Both]&gt;</t>
        </r>
      </text>
    </comment>
    <comment ref="U258" authorId="0" shapeId="0" xr:uid="{7E575472-0A96-4D15-8941-97779968E340}">
      <text>
        <r>
          <rPr>
            <b/>
            <sz val="9"/>
            <color indexed="81"/>
            <rFont val="Tahoma"/>
            <family val="2"/>
          </rPr>
          <t>&lt;[[DEVDeals] - [Associated TC Deal (Seq: 1)] - [TC Property Current Stage (Seq: 1)] - [Buildings (Seq: 68)] Address 1 - Both]&gt;</t>
        </r>
      </text>
    </comment>
    <comment ref="V258" authorId="0" shapeId="0" xr:uid="{E1061A29-B141-4297-A5AA-04858DC8A076}">
      <text>
        <r>
          <rPr>
            <b/>
            <sz val="9"/>
            <color indexed="81"/>
            <rFont val="Tahoma"/>
            <family val="2"/>
          </rPr>
          <t>&lt;[[DEVDeals] - [Associated TC Deal (Seq: 1)] - [TC Property Current Stage (Seq: 1)] - [Buildings (Seq: 68)] City - Both]&gt;</t>
        </r>
      </text>
    </comment>
    <comment ref="W258" authorId="0" shapeId="0" xr:uid="{32436BD3-D3CE-4D2D-9955-DC8E7CB323B7}">
      <text>
        <r>
          <rPr>
            <b/>
            <sz val="9"/>
            <color indexed="81"/>
            <rFont val="Tahoma"/>
            <family val="2"/>
          </rPr>
          <t>&lt;[[DEVDeals] - [Associated TC Deal (Seq: 1)] - [TC Property Current Stage (Seq: 1)] - [Buildings (Seq: 68)] State - Both]&gt;</t>
        </r>
      </text>
    </comment>
    <comment ref="X258" authorId="0" shapeId="0" xr:uid="{2DC01112-7112-4C8D-ADFC-D2648F6FFE4F}">
      <text>
        <r>
          <rPr>
            <b/>
            <sz val="9"/>
            <color indexed="81"/>
            <rFont val="Tahoma"/>
            <family val="2"/>
          </rPr>
          <t>&lt;[[DEVDeals] - [Associated TC Deal (Seq: 1)] - [TC Property Current Stage (Seq: 1)] - [Buildings (Seq: 68)] Zip Code - Both]&gt;</t>
        </r>
      </text>
    </comment>
    <comment ref="Y258" authorId="0" shapeId="0" xr:uid="{AEED6547-0B1C-4255-83B0-3E71EDF0493B}">
      <text>
        <r>
          <rPr>
            <b/>
            <sz val="9"/>
            <color indexed="81"/>
            <rFont val="Tahoma"/>
            <family val="2"/>
          </rPr>
          <t>&lt;[[DEVDeals] - [Associated TC Deal (Seq: 1)] - [TC Property Current Stage (Seq: 1)] - [Buildings (Seq: 68)] BIN - Both]&gt;</t>
        </r>
      </text>
    </comment>
    <comment ref="AA258" authorId="0" shapeId="0" xr:uid="{DB7896FB-5CEE-4116-A2EC-2CB055293F65}">
      <text>
        <r>
          <rPr>
            <b/>
            <sz val="9"/>
            <color indexed="81"/>
            <rFont val="Tahoma"/>
            <family val="2"/>
          </rPr>
          <t>&lt;[[DEVDeals] - [Associated TC Deal (Seq: 1)] - [TC Property Current Stage (Seq: 1)] - [Buildings (Seq: 68)] Num TC Units - Both]&gt;</t>
        </r>
      </text>
    </comment>
    <comment ref="AB258" authorId="0" shapeId="0" xr:uid="{7B07BB9E-3D25-45ED-A075-9DC7E13C8FBA}">
      <text>
        <r>
          <rPr>
            <b/>
            <sz val="9"/>
            <color indexed="81"/>
            <rFont val="Tahoma"/>
            <family val="2"/>
          </rPr>
          <t>&lt;[[DEVDeals] - [Associated TC Deal (Seq: 1)] - [TC Property Current Stage (Seq: 1)] - [Buildings (Seq: 68)] - [Buildings - User Defined Field Values (Seq: 1)] Building Info - Total Square Footage - Both]&gt;</t>
        </r>
      </text>
    </comment>
    <comment ref="AC258" authorId="0" shapeId="0" xr:uid="{3C6C49C1-D8D8-48B9-8ADA-880ABA7243A2}">
      <text>
        <r>
          <rPr>
            <b/>
            <sz val="9"/>
            <color indexed="81"/>
            <rFont val="Tahoma"/>
            <family val="2"/>
          </rPr>
          <t>&lt;[[DEVDeals] - [Associated TC Deal (Seq: 1)] - [TC Property Current Stage (Seq: 1)] - [Buildings (Seq: 68)] - [Buildings - User Defined Field Values (Seq: 1)] Building Info - Restricted Unit Square Footage - Both]&gt;</t>
        </r>
      </text>
    </comment>
    <comment ref="AD258" authorId="0" shapeId="0" xr:uid="{D2F6B314-3E2F-4930-B4A9-4B677475A2D9}">
      <text>
        <r>
          <rPr>
            <b/>
            <sz val="9"/>
            <color indexed="81"/>
            <rFont val="Tahoma"/>
            <family val="2"/>
          </rPr>
          <t>&lt;[[DEVDeals] - [Associated TC Deal (Seq: 1)] - [TC Property Current Stage (Seq: 1)] - [Buildings (Seq: 68)] Applicable Fraction - Both]&gt;</t>
        </r>
      </text>
    </comment>
    <comment ref="AE258" authorId="0" shapeId="0" xr:uid="{7DAE3D1E-CC7B-4866-A139-24335A918828}">
      <text>
        <r>
          <rPr>
            <b/>
            <sz val="9"/>
            <color indexed="81"/>
            <rFont val="Tahoma"/>
            <family val="2"/>
          </rPr>
          <t>&lt;[[DEVDeals] - [Associated TC Deal (Seq: 1)] - [TC Property Current Stage (Seq: 1)] - [Buildings (Seq: 68)] - [Buildings - User Defined Field Values (Seq: 1)] Building Info - Year Built - Both]&gt;</t>
        </r>
      </text>
    </comment>
    <comment ref="AF258" authorId="0" shapeId="0" xr:uid="{E19F03E4-CF33-4E45-A15C-283B68453579}">
      <text>
        <r>
          <rPr>
            <b/>
            <sz val="9"/>
            <color indexed="81"/>
            <rFont val="Tahoma"/>
            <family val="2"/>
          </rPr>
          <t>&lt;[[DEVDeals] - [Associated TC Deal (Seq: 1)] - [TC Property Current Stage (Seq: 1)] - [Buildings (Seq: 68)] - [Buildings - User Defined Field Values (Seq: 1)] Building Info - Building Type - Both]&gt;</t>
        </r>
      </text>
    </comment>
    <comment ref="AG258" authorId="0" shapeId="0" xr:uid="{1A4469CA-8E78-4B4A-B008-AB22EB388BF3}">
      <text>
        <r>
          <rPr>
            <b/>
            <sz val="9"/>
            <color indexed="81"/>
            <rFont val="Tahoma"/>
            <family val="2"/>
          </rPr>
          <t>&lt;[[DEVDeals] - [Associated TC Deal (Seq: 1)] - [TC Property Current Stage (Seq: 1)] - [Buildings (Seq: 68)] Num Mkt Units - Both]&gt;</t>
        </r>
      </text>
    </comment>
    <comment ref="AH258" authorId="0" shapeId="0" xr:uid="{4FF7A561-DB91-4119-A335-A2EFAE10EE4B}">
      <text>
        <r>
          <rPr>
            <b/>
            <sz val="9"/>
            <color indexed="81"/>
            <rFont val="Tahoma"/>
            <family val="2"/>
          </rPr>
          <t>&lt;[[DEVDeals] - [Associated TC Deal (Seq: 1)] - [TC Property Current Stage (Seq: 1)] - [Buildings (Seq: 68)] - [Buildings - User Defined Field Values (Seq: 1)] Building Info - Date Last Placed in Service - Both]&gt;</t>
        </r>
      </text>
    </comment>
    <comment ref="AI258" authorId="0" shapeId="0" xr:uid="{A329D812-3AD5-407C-9BE7-464E6D109E3C}">
      <text>
        <r>
          <rPr>
            <b/>
            <sz val="9"/>
            <color indexed="81"/>
            <rFont val="Tahoma"/>
            <family val="2"/>
          </rPr>
          <t>&lt;[[DEVDeals] - [Associated TC Deal (Seq: 1)] - [TC Property Current Stage (Seq: 1)] - [Buildings (Seq: 68)] - [Buildings - User Defined Field Values (Seq: 1)] Building Info - Sponsor's Purchase Date - Both]&gt;</t>
        </r>
      </text>
    </comment>
    <comment ref="AJ258" authorId="0" shapeId="0" xr:uid="{C5983EF1-7151-43EA-B7E9-44BF54C4EDB2}">
      <text>
        <r>
          <rPr>
            <b/>
            <sz val="9"/>
            <color indexed="81"/>
            <rFont val="Tahoma"/>
            <family val="2"/>
          </rPr>
          <t>&lt;[[DEVDeals] - [Associated TC Deal (Seq: 1)] - [TC Property Current Stage (Seq: 1)] - [Buildings (Seq: 68)] - [Buildings - User Defined Field Values (Seq: 1)] Building Info - Years Between PIS &amp; Purchase Date - Both]&gt;</t>
        </r>
      </text>
    </comment>
    <comment ref="AK258" authorId="0" shapeId="0" xr:uid="{774F1514-6917-4581-AFAB-C7B01502CB28}">
      <text>
        <r>
          <rPr>
            <b/>
            <sz val="9"/>
            <color indexed="81"/>
            <rFont val="Tahoma"/>
            <family val="2"/>
          </rPr>
          <t>&lt;[[DEVDeals] - [Associated TC Deal (Seq: 1)] - [TC Property Current Stage (Seq: 1)] - [Buildings (Seq: 68)] Federal Minimum Set Aside Id - Both]&gt;</t>
        </r>
      </text>
    </comment>
    <comment ref="U259" authorId="0" shapeId="0" xr:uid="{3DFA0857-D2B5-4E5B-B1E6-CA7B746081EE}">
      <text>
        <r>
          <rPr>
            <b/>
            <sz val="9"/>
            <color indexed="81"/>
            <rFont val="Tahoma"/>
            <family val="2"/>
          </rPr>
          <t>&lt;[[DEVDeals] - [Associated TC Deal (Seq: 1)] - [TC Property Current Stage (Seq: 1)] - [Buildings (Seq: 69)] Address 1 - Both]&gt;</t>
        </r>
      </text>
    </comment>
    <comment ref="V259" authorId="0" shapeId="0" xr:uid="{165E6661-2B6E-4470-A4B8-5C493DA9304F}">
      <text>
        <r>
          <rPr>
            <b/>
            <sz val="9"/>
            <color indexed="81"/>
            <rFont val="Tahoma"/>
            <family val="2"/>
          </rPr>
          <t>&lt;[[DEVDeals] - [Associated TC Deal (Seq: 1)] - [TC Property Current Stage (Seq: 1)] - [Buildings (Seq: 69)] City - Both]&gt;</t>
        </r>
      </text>
    </comment>
    <comment ref="W259" authorId="0" shapeId="0" xr:uid="{0738C772-7E09-4E7F-A4E5-6DEC9EFE36B9}">
      <text>
        <r>
          <rPr>
            <b/>
            <sz val="9"/>
            <color indexed="81"/>
            <rFont val="Tahoma"/>
            <family val="2"/>
          </rPr>
          <t>&lt;[[DEVDeals] - [Associated TC Deal (Seq: 1)] - [TC Property Current Stage (Seq: 1)] - [Buildings (Seq: 69)] State - Both]&gt;</t>
        </r>
      </text>
    </comment>
    <comment ref="X259" authorId="0" shapeId="0" xr:uid="{2A8820D4-BD52-4DED-B1BF-190394AFA8AB}">
      <text>
        <r>
          <rPr>
            <b/>
            <sz val="9"/>
            <color indexed="81"/>
            <rFont val="Tahoma"/>
            <family val="2"/>
          </rPr>
          <t>&lt;[[DEVDeals] - [Associated TC Deal (Seq: 1)] - [TC Property Current Stage (Seq: 1)] - [Buildings (Seq: 69)] Zip Code - Both]&gt;</t>
        </r>
      </text>
    </comment>
    <comment ref="Y259" authorId="0" shapeId="0" xr:uid="{892C10D4-E0FE-4398-AF05-42F911B03ACF}">
      <text>
        <r>
          <rPr>
            <b/>
            <sz val="9"/>
            <color indexed="81"/>
            <rFont val="Tahoma"/>
            <family val="2"/>
          </rPr>
          <t>&lt;[[DEVDeals] - [Associated TC Deal (Seq: 1)] - [TC Property Current Stage (Seq: 1)] - [Buildings (Seq: 69)] BIN - Both]&gt;</t>
        </r>
      </text>
    </comment>
    <comment ref="AA259" authorId="0" shapeId="0" xr:uid="{E086C36A-F2BF-4C44-96D5-FE4DAEB1B9B2}">
      <text>
        <r>
          <rPr>
            <b/>
            <sz val="9"/>
            <color indexed="81"/>
            <rFont val="Tahoma"/>
            <family val="2"/>
          </rPr>
          <t>&lt;[[DEVDeals] - [Associated TC Deal (Seq: 1)] - [TC Property Current Stage (Seq: 1)] - [Buildings (Seq: 69)] Num TC Units - Both]&gt;</t>
        </r>
      </text>
    </comment>
    <comment ref="AB259" authorId="0" shapeId="0" xr:uid="{F3CC7BA8-5912-4413-A13F-442F4C14E8A1}">
      <text>
        <r>
          <rPr>
            <b/>
            <sz val="9"/>
            <color indexed="81"/>
            <rFont val="Tahoma"/>
            <family val="2"/>
          </rPr>
          <t>&lt;[[DEVDeals] - [Associated TC Deal (Seq: 1)] - [TC Property Current Stage (Seq: 1)] - [Buildings (Seq: 69)] - [Buildings - User Defined Field Values (Seq: 1)] Building Info - Total Square Footage - Both]&gt;</t>
        </r>
      </text>
    </comment>
    <comment ref="AC259" authorId="0" shapeId="0" xr:uid="{BEC1AD9A-5905-4F77-9B41-F83ACD0BFD46}">
      <text>
        <r>
          <rPr>
            <b/>
            <sz val="9"/>
            <color indexed="81"/>
            <rFont val="Tahoma"/>
            <family val="2"/>
          </rPr>
          <t>&lt;[[DEVDeals] - [Associated TC Deal (Seq: 1)] - [TC Property Current Stage (Seq: 1)] - [Buildings (Seq: 69)] - [Buildings - User Defined Field Values (Seq: 1)] Building Info - Restricted Unit Square Footage - Both]&gt;</t>
        </r>
      </text>
    </comment>
    <comment ref="AD259" authorId="0" shapeId="0" xr:uid="{51CDA7F1-EBB3-4F9C-8509-98077D34D685}">
      <text>
        <r>
          <rPr>
            <b/>
            <sz val="9"/>
            <color indexed="81"/>
            <rFont val="Tahoma"/>
            <family val="2"/>
          </rPr>
          <t>&lt;[[DEVDeals] - [Associated TC Deal (Seq: 1)] - [TC Property Current Stage (Seq: 1)] - [Buildings (Seq: 69)] Applicable Fraction - Both]&gt;</t>
        </r>
      </text>
    </comment>
    <comment ref="AE259" authorId="0" shapeId="0" xr:uid="{2CC2F851-F6A9-4E04-B269-954A4F618836}">
      <text>
        <r>
          <rPr>
            <b/>
            <sz val="9"/>
            <color indexed="81"/>
            <rFont val="Tahoma"/>
            <family val="2"/>
          </rPr>
          <t>&lt;[[DEVDeals] - [Associated TC Deal (Seq: 1)] - [TC Property Current Stage (Seq: 1)] - [Buildings (Seq: 69)] - [Buildings - User Defined Field Values (Seq: 1)] Building Info - Year Built - Both]&gt;</t>
        </r>
      </text>
    </comment>
    <comment ref="AF259" authorId="0" shapeId="0" xr:uid="{A1547E93-E08E-4D0F-9A72-CD5A6A34B4A9}">
      <text>
        <r>
          <rPr>
            <b/>
            <sz val="9"/>
            <color indexed="81"/>
            <rFont val="Tahoma"/>
            <family val="2"/>
          </rPr>
          <t>&lt;[[DEVDeals] - [Associated TC Deal (Seq: 1)] - [TC Property Current Stage (Seq: 1)] - [Buildings (Seq: 69)] - [Buildings - User Defined Field Values (Seq: 1)] Building Info - Building Type - Both]&gt;</t>
        </r>
      </text>
    </comment>
    <comment ref="AG259" authorId="0" shapeId="0" xr:uid="{B1EDB9B1-446A-4374-BF1B-A51E0785875B}">
      <text>
        <r>
          <rPr>
            <b/>
            <sz val="9"/>
            <color indexed="81"/>
            <rFont val="Tahoma"/>
            <family val="2"/>
          </rPr>
          <t>&lt;[[DEVDeals] - [Associated TC Deal (Seq: 1)] - [TC Property Current Stage (Seq: 1)] - [Buildings (Seq: 69)] Num Mkt Units - Both]&gt;</t>
        </r>
      </text>
    </comment>
    <comment ref="AH259" authorId="0" shapeId="0" xr:uid="{08405704-FB36-414D-A978-F99329914BC1}">
      <text>
        <r>
          <rPr>
            <b/>
            <sz val="9"/>
            <color indexed="81"/>
            <rFont val="Tahoma"/>
            <family val="2"/>
          </rPr>
          <t>&lt;[[DEVDeals] - [Associated TC Deal (Seq: 1)] - [TC Property Current Stage (Seq: 1)] - [Buildings (Seq: 69)] - [Buildings - User Defined Field Values (Seq: 1)] Building Info - Date Last Placed in Service - Both]&gt;</t>
        </r>
      </text>
    </comment>
    <comment ref="AI259" authorId="0" shapeId="0" xr:uid="{DC2E74B0-F13B-4B73-8730-E00FDF36AAD3}">
      <text>
        <r>
          <rPr>
            <b/>
            <sz val="9"/>
            <color indexed="81"/>
            <rFont val="Tahoma"/>
            <family val="2"/>
          </rPr>
          <t>&lt;[[DEVDeals] - [Associated TC Deal (Seq: 1)] - [TC Property Current Stage (Seq: 1)] - [Buildings (Seq: 69)] - [Buildings - User Defined Field Values (Seq: 1)] Building Info - Sponsor's Purchase Date - Both]&gt;</t>
        </r>
      </text>
    </comment>
    <comment ref="AJ259" authorId="0" shapeId="0" xr:uid="{948875D6-8DDF-4BB3-8A65-9E23D06BF60B}">
      <text>
        <r>
          <rPr>
            <b/>
            <sz val="9"/>
            <color indexed="81"/>
            <rFont val="Tahoma"/>
            <family val="2"/>
          </rPr>
          <t>&lt;[[DEVDeals] - [Associated TC Deal (Seq: 1)] - [TC Property Current Stage (Seq: 1)] - [Buildings (Seq: 69)] - [Buildings - User Defined Field Values (Seq: 1)] Building Info - Years Between PIS &amp; Purchase Date - Both]&gt;</t>
        </r>
      </text>
    </comment>
    <comment ref="AK259" authorId="0" shapeId="0" xr:uid="{252F0EF5-B5C1-4581-9455-405DC6A30A45}">
      <text>
        <r>
          <rPr>
            <b/>
            <sz val="9"/>
            <color indexed="81"/>
            <rFont val="Tahoma"/>
            <family val="2"/>
          </rPr>
          <t>&lt;[[DEVDeals] - [Associated TC Deal (Seq: 1)] - [TC Property Current Stage (Seq: 1)] - [Buildings (Seq: 69)] Federal Minimum Set Aside Id - Both]&gt;</t>
        </r>
      </text>
    </comment>
    <comment ref="U260" authorId="0" shapeId="0" xr:uid="{A4971715-9F4B-40FD-AE56-9EC540436AEB}">
      <text>
        <r>
          <rPr>
            <b/>
            <sz val="9"/>
            <color indexed="81"/>
            <rFont val="Tahoma"/>
            <family val="2"/>
          </rPr>
          <t>&lt;[[DEVDeals] - [Associated TC Deal (Seq: 1)] - [TC Property Current Stage (Seq: 1)] - [Buildings (Seq: 70)] Address 1 - Both]&gt;</t>
        </r>
      </text>
    </comment>
    <comment ref="V260" authorId="0" shapeId="0" xr:uid="{4E19677C-EACE-4F07-894C-A4D277B39CBB}">
      <text>
        <r>
          <rPr>
            <b/>
            <sz val="9"/>
            <color indexed="81"/>
            <rFont val="Tahoma"/>
            <family val="2"/>
          </rPr>
          <t>&lt;[[DEVDeals] - [Associated TC Deal (Seq: 1)] - [TC Property Current Stage (Seq: 1)] - [Buildings (Seq: 70)] City - Both]&gt;</t>
        </r>
      </text>
    </comment>
    <comment ref="W260" authorId="0" shapeId="0" xr:uid="{3310EB5B-89D8-4FFE-85EA-685668388AD1}">
      <text>
        <r>
          <rPr>
            <b/>
            <sz val="9"/>
            <color indexed="81"/>
            <rFont val="Tahoma"/>
            <family val="2"/>
          </rPr>
          <t>&lt;[[DEVDeals] - [Associated TC Deal (Seq: 1)] - [TC Property Current Stage (Seq: 1)] - [Buildings (Seq: 70)] State - Both]&gt;</t>
        </r>
      </text>
    </comment>
    <comment ref="X260" authorId="0" shapeId="0" xr:uid="{D9DECBC0-FC10-4817-B048-4B0F4B020BEE}">
      <text>
        <r>
          <rPr>
            <b/>
            <sz val="9"/>
            <color indexed="81"/>
            <rFont val="Tahoma"/>
            <family val="2"/>
          </rPr>
          <t>&lt;[[DEVDeals] - [Associated TC Deal (Seq: 1)] - [TC Property Current Stage (Seq: 1)] - [Buildings (Seq: 70)] Zip Code - Both]&gt;</t>
        </r>
      </text>
    </comment>
    <comment ref="Y260" authorId="0" shapeId="0" xr:uid="{670F63C0-09C4-4FD1-B0E6-0D18908BE669}">
      <text>
        <r>
          <rPr>
            <b/>
            <sz val="9"/>
            <color indexed="81"/>
            <rFont val="Tahoma"/>
            <family val="2"/>
          </rPr>
          <t>&lt;[[DEVDeals] - [Associated TC Deal (Seq: 1)] - [TC Property Current Stage (Seq: 1)] - [Buildings (Seq: 70)] BIN - Both]&gt;</t>
        </r>
      </text>
    </comment>
    <comment ref="AA260" authorId="0" shapeId="0" xr:uid="{9649FDD0-3135-4020-A6A3-F62A19760418}">
      <text>
        <r>
          <rPr>
            <b/>
            <sz val="9"/>
            <color indexed="81"/>
            <rFont val="Tahoma"/>
            <family val="2"/>
          </rPr>
          <t>&lt;[[DEVDeals] - [Associated TC Deal (Seq: 1)] - [TC Property Current Stage (Seq: 1)] - [Buildings (Seq: 70)] Num TC Units - Both]&gt;</t>
        </r>
      </text>
    </comment>
    <comment ref="AB260" authorId="0" shapeId="0" xr:uid="{7D82F134-52D8-4568-90E6-4DBC82488D06}">
      <text>
        <r>
          <rPr>
            <b/>
            <sz val="9"/>
            <color indexed="81"/>
            <rFont val="Tahoma"/>
            <family val="2"/>
          </rPr>
          <t>&lt;[[DEVDeals] - [Associated TC Deal (Seq: 1)] - [TC Property Current Stage (Seq: 1)] - [Buildings (Seq: 70)] - [Buildings - User Defined Field Values (Seq: 1)] Building Info - Total Square Footage - Both]&gt;</t>
        </r>
      </text>
    </comment>
    <comment ref="AC260" authorId="0" shapeId="0" xr:uid="{0718B607-3163-44B5-9500-2B036DFFF0C0}">
      <text>
        <r>
          <rPr>
            <b/>
            <sz val="9"/>
            <color indexed="81"/>
            <rFont val="Tahoma"/>
            <family val="2"/>
          </rPr>
          <t>&lt;[[DEVDeals] - [Associated TC Deal (Seq: 1)] - [TC Property Current Stage (Seq: 1)] - [Buildings (Seq: 70)] - [Buildings - User Defined Field Values (Seq: 1)] Building Info - Restricted Unit Square Footage - Both]&gt;</t>
        </r>
      </text>
    </comment>
    <comment ref="AD260" authorId="0" shapeId="0" xr:uid="{939D1C3D-1504-4EE8-B84E-F3EC312E709F}">
      <text>
        <r>
          <rPr>
            <b/>
            <sz val="9"/>
            <color indexed="81"/>
            <rFont val="Tahoma"/>
            <family val="2"/>
          </rPr>
          <t>&lt;[[DEVDeals] - [Associated TC Deal (Seq: 1)] - [TC Property Current Stage (Seq: 1)] - [Buildings (Seq: 70)] Applicable Fraction - Both]&gt;</t>
        </r>
      </text>
    </comment>
    <comment ref="AE260" authorId="0" shapeId="0" xr:uid="{605D7037-C5C4-4479-9C69-0426DCE00B67}">
      <text>
        <r>
          <rPr>
            <b/>
            <sz val="9"/>
            <color indexed="81"/>
            <rFont val="Tahoma"/>
            <family val="2"/>
          </rPr>
          <t>&lt;[[DEVDeals] - [Associated TC Deal (Seq: 1)] - [TC Property Current Stage (Seq: 1)] - [Buildings (Seq: 70)] - [Buildings - User Defined Field Values (Seq: 1)] Building Info - Year Built - Both]&gt;</t>
        </r>
      </text>
    </comment>
    <comment ref="AF260" authorId="0" shapeId="0" xr:uid="{D074BC05-CD38-4BD8-84FC-CEE762D90DF4}">
      <text>
        <r>
          <rPr>
            <b/>
            <sz val="9"/>
            <color indexed="81"/>
            <rFont val="Tahoma"/>
            <family val="2"/>
          </rPr>
          <t>&lt;[[DEVDeals] - [Associated TC Deal (Seq: 1)] - [TC Property Current Stage (Seq: 1)] - [Buildings (Seq: 70)] - [Buildings - User Defined Field Values (Seq: 1)] Building Info - Building Type - Both]&gt;</t>
        </r>
      </text>
    </comment>
    <comment ref="AG260" authorId="0" shapeId="0" xr:uid="{E5CE34AC-9E11-48E9-8CB9-391F3F3F1FBB}">
      <text>
        <r>
          <rPr>
            <b/>
            <sz val="9"/>
            <color indexed="81"/>
            <rFont val="Tahoma"/>
            <family val="2"/>
          </rPr>
          <t>&lt;[[DEVDeals] - [Associated TC Deal (Seq: 1)] - [TC Property Current Stage (Seq: 1)] - [Buildings (Seq: 70)] Num Mkt Units - Both]&gt;</t>
        </r>
      </text>
    </comment>
    <comment ref="AH260" authorId="0" shapeId="0" xr:uid="{FE5D42C9-3521-40A3-A4FE-5666440FB7BC}">
      <text>
        <r>
          <rPr>
            <b/>
            <sz val="9"/>
            <color indexed="81"/>
            <rFont val="Tahoma"/>
            <family val="2"/>
          </rPr>
          <t>&lt;[[DEVDeals] - [Associated TC Deal (Seq: 1)] - [TC Property Current Stage (Seq: 1)] - [Buildings (Seq: 70)] - [Buildings - User Defined Field Values (Seq: 1)] Building Info - Date Last Placed in Service - Both]&gt;</t>
        </r>
      </text>
    </comment>
    <comment ref="AI260" authorId="0" shapeId="0" xr:uid="{923520D9-54D5-42C0-AF7C-9BE9FC0FDC8C}">
      <text>
        <r>
          <rPr>
            <b/>
            <sz val="9"/>
            <color indexed="81"/>
            <rFont val="Tahoma"/>
            <family val="2"/>
          </rPr>
          <t>&lt;[[DEVDeals] - [Associated TC Deal (Seq: 1)] - [TC Property Current Stage (Seq: 1)] - [Buildings (Seq: 70)] - [Buildings - User Defined Field Values (Seq: 1)] Building Info - Sponsor's Purchase Date - Both]&gt;</t>
        </r>
      </text>
    </comment>
    <comment ref="AJ260" authorId="0" shapeId="0" xr:uid="{11722A2C-7776-47E4-8FB5-7F8BDF7D2076}">
      <text>
        <r>
          <rPr>
            <b/>
            <sz val="9"/>
            <color indexed="81"/>
            <rFont val="Tahoma"/>
            <family val="2"/>
          </rPr>
          <t>&lt;[[DEVDeals] - [Associated TC Deal (Seq: 1)] - [TC Property Current Stage (Seq: 1)] - [Buildings (Seq: 70)] - [Buildings - User Defined Field Values (Seq: 1)] Building Info - Years Between PIS &amp; Purchase Date - Both]&gt;</t>
        </r>
      </text>
    </comment>
    <comment ref="AK260" authorId="0" shapeId="0" xr:uid="{84E365AD-00D3-4930-80F2-576FEE65710B}">
      <text>
        <r>
          <rPr>
            <b/>
            <sz val="9"/>
            <color indexed="81"/>
            <rFont val="Tahoma"/>
            <family val="2"/>
          </rPr>
          <t>&lt;[[DEVDeals] - [Associated TC Deal (Seq: 1)] - [TC Property Current Stage (Seq: 1)] - [Buildings (Seq: 70)] Federal Minimum Set Aside Id - Both]&gt;</t>
        </r>
      </text>
    </comment>
    <comment ref="U261" authorId="0" shapeId="0" xr:uid="{F3081A77-56F4-44C9-9CA6-CB16CC8D6929}">
      <text>
        <r>
          <rPr>
            <b/>
            <sz val="9"/>
            <color indexed="81"/>
            <rFont val="Tahoma"/>
            <family val="2"/>
          </rPr>
          <t>&lt;[[DEVDeals] - [Associated TC Deal (Seq: 1)] - [TC Property Current Stage (Seq: 1)] - [Buildings (Seq: 71)] Address 1 - Both]&gt;</t>
        </r>
      </text>
    </comment>
    <comment ref="V261" authorId="0" shapeId="0" xr:uid="{70FDC822-F31D-4DE3-B59C-525076A5E7DE}">
      <text>
        <r>
          <rPr>
            <b/>
            <sz val="9"/>
            <color indexed="81"/>
            <rFont val="Tahoma"/>
            <family val="2"/>
          </rPr>
          <t>&lt;[[DEVDeals] - [Associated TC Deal (Seq: 1)] - [TC Property Current Stage (Seq: 1)] - [Buildings (Seq: 71)] City - Both]&gt;</t>
        </r>
      </text>
    </comment>
    <comment ref="W261" authorId="0" shapeId="0" xr:uid="{8A00572F-4F2E-403A-9EE2-DD1EEF51E8E5}">
      <text>
        <r>
          <rPr>
            <b/>
            <sz val="9"/>
            <color indexed="81"/>
            <rFont val="Tahoma"/>
            <family val="2"/>
          </rPr>
          <t>&lt;[[DEVDeals] - [Associated TC Deal (Seq: 1)] - [TC Property Current Stage (Seq: 1)] - [Buildings (Seq: 71)] State - Both]&gt;</t>
        </r>
      </text>
    </comment>
    <comment ref="X261" authorId="0" shapeId="0" xr:uid="{C511A978-D183-4D67-8E51-4526E4C9D705}">
      <text>
        <r>
          <rPr>
            <b/>
            <sz val="9"/>
            <color indexed="81"/>
            <rFont val="Tahoma"/>
            <family val="2"/>
          </rPr>
          <t>&lt;[[DEVDeals] - [Associated TC Deal (Seq: 1)] - [TC Property Current Stage (Seq: 1)] - [Buildings (Seq: 71)] Zip Code - Both]&gt;</t>
        </r>
      </text>
    </comment>
    <comment ref="Y261" authorId="0" shapeId="0" xr:uid="{45BB8C01-0402-4C6C-B27C-36B27138EC98}">
      <text>
        <r>
          <rPr>
            <b/>
            <sz val="9"/>
            <color indexed="81"/>
            <rFont val="Tahoma"/>
            <family val="2"/>
          </rPr>
          <t>&lt;[[DEVDeals] - [Associated TC Deal (Seq: 1)] - [TC Property Current Stage (Seq: 1)] - [Buildings (Seq: 71)] BIN - Both]&gt;</t>
        </r>
      </text>
    </comment>
    <comment ref="AA261" authorId="0" shapeId="0" xr:uid="{3A977978-563D-4F27-97DB-91E4ACED9968}">
      <text>
        <r>
          <rPr>
            <b/>
            <sz val="9"/>
            <color indexed="81"/>
            <rFont val="Tahoma"/>
            <family val="2"/>
          </rPr>
          <t>&lt;[[DEVDeals] - [Associated TC Deal (Seq: 1)] - [TC Property Current Stage (Seq: 1)] - [Buildings (Seq: 71)] Num TC Units - Both]&gt;</t>
        </r>
      </text>
    </comment>
    <comment ref="AB261" authorId="0" shapeId="0" xr:uid="{81B15321-18C1-4FD3-9019-8E007FCA85C0}">
      <text>
        <r>
          <rPr>
            <b/>
            <sz val="9"/>
            <color indexed="81"/>
            <rFont val="Tahoma"/>
            <family val="2"/>
          </rPr>
          <t>&lt;[[DEVDeals] - [Associated TC Deal (Seq: 1)] - [TC Property Current Stage (Seq: 1)] - [Buildings (Seq: 71)] - [Buildings - User Defined Field Values (Seq: 1)] Building Info - Total Square Footage - Both]&gt;</t>
        </r>
      </text>
    </comment>
    <comment ref="AC261" authorId="0" shapeId="0" xr:uid="{33ED55B1-980B-4414-A19E-72DF7F6789F1}">
      <text>
        <r>
          <rPr>
            <b/>
            <sz val="9"/>
            <color indexed="81"/>
            <rFont val="Tahoma"/>
            <family val="2"/>
          </rPr>
          <t>&lt;[[DEVDeals] - [Associated TC Deal (Seq: 1)] - [TC Property Current Stage (Seq: 1)] - [Buildings (Seq: 71)] - [Buildings - User Defined Field Values (Seq: 1)] Building Info - Restricted Unit Square Footage - Both]&gt;</t>
        </r>
      </text>
    </comment>
    <comment ref="AD261" authorId="0" shapeId="0" xr:uid="{A0D1E046-9D02-486C-957D-9A0D47F2D4DA}">
      <text>
        <r>
          <rPr>
            <b/>
            <sz val="9"/>
            <color indexed="81"/>
            <rFont val="Tahoma"/>
            <family val="2"/>
          </rPr>
          <t>&lt;[[DEVDeals] - [Associated TC Deal (Seq: 1)] - [TC Property Current Stage (Seq: 1)] - [Buildings (Seq: 71)] Applicable Fraction - Both]&gt;</t>
        </r>
      </text>
    </comment>
    <comment ref="AE261" authorId="0" shapeId="0" xr:uid="{F4258DFC-EFE9-41B5-9787-28BE17D6DA03}">
      <text>
        <r>
          <rPr>
            <b/>
            <sz val="9"/>
            <color indexed="81"/>
            <rFont val="Tahoma"/>
            <family val="2"/>
          </rPr>
          <t>&lt;[[DEVDeals] - [Associated TC Deal (Seq: 1)] - [TC Property Current Stage (Seq: 1)] - [Buildings (Seq: 71)] - [Buildings - User Defined Field Values (Seq: 1)] Building Info - Year Built - Both]&gt;</t>
        </r>
      </text>
    </comment>
    <comment ref="AF261" authorId="0" shapeId="0" xr:uid="{1DCB22BB-64B8-40F1-ABE9-D2293ABCBAC7}">
      <text>
        <r>
          <rPr>
            <b/>
            <sz val="9"/>
            <color indexed="81"/>
            <rFont val="Tahoma"/>
            <family val="2"/>
          </rPr>
          <t>&lt;[[DEVDeals] - [Associated TC Deal (Seq: 1)] - [TC Property Current Stage (Seq: 1)] - [Buildings (Seq: 71)] - [Buildings - User Defined Field Values (Seq: 1)] Building Info - Building Type - Both]&gt;</t>
        </r>
      </text>
    </comment>
    <comment ref="AG261" authorId="0" shapeId="0" xr:uid="{8F932E7C-C9E6-44FC-913A-16D6FAF7E26D}">
      <text>
        <r>
          <rPr>
            <b/>
            <sz val="9"/>
            <color indexed="81"/>
            <rFont val="Tahoma"/>
            <family val="2"/>
          </rPr>
          <t>&lt;[[DEVDeals] - [Associated TC Deal (Seq: 1)] - [TC Property Current Stage (Seq: 1)] - [Buildings (Seq: 71)] Num Mkt Units - Both]&gt;</t>
        </r>
      </text>
    </comment>
    <comment ref="AH261" authorId="0" shapeId="0" xr:uid="{8854BA68-3122-4E42-BA76-20FD74C2FC41}">
      <text>
        <r>
          <rPr>
            <b/>
            <sz val="9"/>
            <color indexed="81"/>
            <rFont val="Tahoma"/>
            <family val="2"/>
          </rPr>
          <t>&lt;[[DEVDeals] - [Associated TC Deal (Seq: 1)] - [TC Property Current Stage (Seq: 1)] - [Buildings (Seq: 71)] - [Buildings - User Defined Field Values (Seq: 1)] Building Info - Date Last Placed in Service - Both]&gt;</t>
        </r>
      </text>
    </comment>
    <comment ref="AI261" authorId="0" shapeId="0" xr:uid="{3A21FC65-6B2D-476C-8927-D4E1AD5DAC0A}">
      <text>
        <r>
          <rPr>
            <b/>
            <sz val="9"/>
            <color indexed="81"/>
            <rFont val="Tahoma"/>
            <family val="2"/>
          </rPr>
          <t>&lt;[[DEVDeals] - [Associated TC Deal (Seq: 1)] - [TC Property Current Stage (Seq: 1)] - [Buildings (Seq: 71)] - [Buildings - User Defined Field Values (Seq: 1)] Building Info - Sponsor's Purchase Date - Both]&gt;</t>
        </r>
      </text>
    </comment>
    <comment ref="AJ261" authorId="0" shapeId="0" xr:uid="{C11B0820-2DCB-4FFB-8530-E939F3544259}">
      <text>
        <r>
          <rPr>
            <b/>
            <sz val="9"/>
            <color indexed="81"/>
            <rFont val="Tahoma"/>
            <family val="2"/>
          </rPr>
          <t>&lt;[[DEVDeals] - [Associated TC Deal (Seq: 1)] - [TC Property Current Stage (Seq: 1)] - [Buildings (Seq: 71)] - [Buildings - User Defined Field Values (Seq: 1)] Building Info - Years Between PIS &amp; Purchase Date - Both]&gt;</t>
        </r>
      </text>
    </comment>
    <comment ref="AK261" authorId="0" shapeId="0" xr:uid="{472E23DC-DF7F-49AF-B3DC-77188544F4D1}">
      <text>
        <r>
          <rPr>
            <b/>
            <sz val="9"/>
            <color indexed="81"/>
            <rFont val="Tahoma"/>
            <family val="2"/>
          </rPr>
          <t>&lt;[[DEVDeals] - [Associated TC Deal (Seq: 1)] - [TC Property Current Stage (Seq: 1)] - [Buildings (Seq: 71)] Federal Minimum Set Aside Id - Both]&gt;</t>
        </r>
      </text>
    </comment>
    <comment ref="U262" authorId="0" shapeId="0" xr:uid="{436EE600-EFD6-4DD8-BB05-F5FA512D3B47}">
      <text>
        <r>
          <rPr>
            <b/>
            <sz val="9"/>
            <color indexed="81"/>
            <rFont val="Tahoma"/>
            <family val="2"/>
          </rPr>
          <t>&lt;[[DEVDeals] - [Associated TC Deal (Seq: 1)] - [TC Property Current Stage (Seq: 1)] - [Buildings (Seq: 72)] Address 1 - Both]&gt;</t>
        </r>
      </text>
    </comment>
    <comment ref="V262" authorId="0" shapeId="0" xr:uid="{ABC2B1EB-B4B2-4877-8A33-1E97B7747982}">
      <text>
        <r>
          <rPr>
            <b/>
            <sz val="9"/>
            <color indexed="81"/>
            <rFont val="Tahoma"/>
            <family val="2"/>
          </rPr>
          <t>&lt;[[DEVDeals] - [Associated TC Deal (Seq: 1)] - [TC Property Current Stage (Seq: 1)] - [Buildings (Seq: 72)] City - Both]&gt;</t>
        </r>
      </text>
    </comment>
    <comment ref="W262" authorId="0" shapeId="0" xr:uid="{D1EC34DB-FED8-4AC2-9EA6-B12592AB4215}">
      <text>
        <r>
          <rPr>
            <b/>
            <sz val="9"/>
            <color indexed="81"/>
            <rFont val="Tahoma"/>
            <family val="2"/>
          </rPr>
          <t>&lt;[[DEVDeals] - [Associated TC Deal (Seq: 1)] - [TC Property Current Stage (Seq: 1)] - [Buildings (Seq: 72)] State - Both]&gt;</t>
        </r>
      </text>
    </comment>
    <comment ref="X262" authorId="0" shapeId="0" xr:uid="{2DF2282E-816C-491B-B9E2-AEF104444721}">
      <text>
        <r>
          <rPr>
            <b/>
            <sz val="9"/>
            <color indexed="81"/>
            <rFont val="Tahoma"/>
            <family val="2"/>
          </rPr>
          <t>&lt;[[DEVDeals] - [Associated TC Deal (Seq: 1)] - [TC Property Current Stage (Seq: 1)] - [Buildings (Seq: 72)] Zip Code - Both]&gt;</t>
        </r>
      </text>
    </comment>
    <comment ref="Y262" authorId="0" shapeId="0" xr:uid="{4E9DAC5F-B784-437E-B71E-D8F4B55E93C0}">
      <text>
        <r>
          <rPr>
            <b/>
            <sz val="9"/>
            <color indexed="81"/>
            <rFont val="Tahoma"/>
            <family val="2"/>
          </rPr>
          <t>&lt;[[DEVDeals] - [Associated TC Deal (Seq: 1)] - [TC Property Current Stage (Seq: 1)] - [Buildings (Seq: 72)] BIN - Both]&gt;</t>
        </r>
      </text>
    </comment>
    <comment ref="AA262" authorId="0" shapeId="0" xr:uid="{B11BCD22-77FD-4A74-B41C-541C45D5FCF6}">
      <text>
        <r>
          <rPr>
            <b/>
            <sz val="9"/>
            <color indexed="81"/>
            <rFont val="Tahoma"/>
            <family val="2"/>
          </rPr>
          <t>&lt;[[DEVDeals] - [Associated TC Deal (Seq: 1)] - [TC Property Current Stage (Seq: 1)] - [Buildings (Seq: 72)] Num TC Units - Both]&gt;</t>
        </r>
      </text>
    </comment>
    <comment ref="AB262" authorId="0" shapeId="0" xr:uid="{27E60FBC-A368-4E61-9202-C4C4BCBE0E96}">
      <text>
        <r>
          <rPr>
            <b/>
            <sz val="9"/>
            <color indexed="81"/>
            <rFont val="Tahoma"/>
            <family val="2"/>
          </rPr>
          <t>&lt;[[DEVDeals] - [Associated TC Deal (Seq: 1)] - [TC Property Current Stage (Seq: 1)] - [Buildings (Seq: 72)] - [Buildings - User Defined Field Values (Seq: 1)] Building Info - Total Square Footage - Both]&gt;</t>
        </r>
      </text>
    </comment>
    <comment ref="AC262" authorId="0" shapeId="0" xr:uid="{E2C991A0-A144-41C0-9F0B-D9FB71DFE2E5}">
      <text>
        <r>
          <rPr>
            <b/>
            <sz val="9"/>
            <color indexed="81"/>
            <rFont val="Tahoma"/>
            <family val="2"/>
          </rPr>
          <t>&lt;[[DEVDeals] - [Associated TC Deal (Seq: 1)] - [TC Property Current Stage (Seq: 1)] - [Buildings (Seq: 72)] - [Buildings - User Defined Field Values (Seq: 1)] Building Info - Restricted Unit Square Footage - Both]&gt;</t>
        </r>
      </text>
    </comment>
    <comment ref="AD262" authorId="0" shapeId="0" xr:uid="{572E2747-02DE-4EDD-B6ED-B72DE1E606E7}">
      <text>
        <r>
          <rPr>
            <b/>
            <sz val="9"/>
            <color indexed="81"/>
            <rFont val="Tahoma"/>
            <family val="2"/>
          </rPr>
          <t>&lt;[[DEVDeals] - [Associated TC Deal (Seq: 1)] - [TC Property Current Stage (Seq: 1)] - [Buildings (Seq: 72)] Applicable Fraction - Both]&gt;</t>
        </r>
      </text>
    </comment>
    <comment ref="AE262" authorId="0" shapeId="0" xr:uid="{524FA60F-D22D-4735-9859-2684AB397E05}">
      <text>
        <r>
          <rPr>
            <b/>
            <sz val="9"/>
            <color indexed="81"/>
            <rFont val="Tahoma"/>
            <family val="2"/>
          </rPr>
          <t>&lt;[[DEVDeals] - [Associated TC Deal (Seq: 1)] - [TC Property Current Stage (Seq: 1)] - [Buildings (Seq: 72)] - [Buildings - User Defined Field Values (Seq: 1)] Building Info - Year Built - Both]&gt;</t>
        </r>
      </text>
    </comment>
    <comment ref="AF262" authorId="0" shapeId="0" xr:uid="{6ED0E7A8-718E-44C0-BE61-9553C35B6CA2}">
      <text>
        <r>
          <rPr>
            <b/>
            <sz val="9"/>
            <color indexed="81"/>
            <rFont val="Tahoma"/>
            <family val="2"/>
          </rPr>
          <t>&lt;[[DEVDeals] - [Associated TC Deal (Seq: 1)] - [TC Property Current Stage (Seq: 1)] - [Buildings (Seq: 72)] - [Buildings - User Defined Field Values (Seq: 1)] Building Info - Building Type - Both]&gt;</t>
        </r>
      </text>
    </comment>
    <comment ref="AG262" authorId="0" shapeId="0" xr:uid="{D3DAE739-B786-44CD-85F1-B4BF1D0125FD}">
      <text>
        <r>
          <rPr>
            <b/>
            <sz val="9"/>
            <color indexed="81"/>
            <rFont val="Tahoma"/>
            <family val="2"/>
          </rPr>
          <t>&lt;[[DEVDeals] - [Associated TC Deal (Seq: 1)] - [TC Property Current Stage (Seq: 1)] - [Buildings (Seq: 72)] Num Mkt Units - Both]&gt;</t>
        </r>
      </text>
    </comment>
    <comment ref="AH262" authorId="0" shapeId="0" xr:uid="{DD353F5A-8B0D-401C-97DF-2F6875E036D2}">
      <text>
        <r>
          <rPr>
            <b/>
            <sz val="9"/>
            <color indexed="81"/>
            <rFont val="Tahoma"/>
            <family val="2"/>
          </rPr>
          <t>&lt;[[DEVDeals] - [Associated TC Deal (Seq: 1)] - [TC Property Current Stage (Seq: 1)] - [Buildings (Seq: 72)] - [Buildings - User Defined Field Values (Seq: 1)] Building Info - Date Last Placed in Service - Both]&gt;</t>
        </r>
      </text>
    </comment>
    <comment ref="AI262" authorId="0" shapeId="0" xr:uid="{E76C13F4-AFCB-4DDE-9544-F6A6C1FC7816}">
      <text>
        <r>
          <rPr>
            <b/>
            <sz val="9"/>
            <color indexed="81"/>
            <rFont val="Tahoma"/>
            <family val="2"/>
          </rPr>
          <t>&lt;[[DEVDeals] - [Associated TC Deal (Seq: 1)] - [TC Property Current Stage (Seq: 1)] - [Buildings (Seq: 72)] - [Buildings - User Defined Field Values (Seq: 1)] Building Info - Sponsor's Purchase Date - Both]&gt;</t>
        </r>
      </text>
    </comment>
    <comment ref="AJ262" authorId="0" shapeId="0" xr:uid="{50030D09-F630-4C4D-8FD7-E6AB2950D98E}">
      <text>
        <r>
          <rPr>
            <b/>
            <sz val="9"/>
            <color indexed="81"/>
            <rFont val="Tahoma"/>
            <family val="2"/>
          </rPr>
          <t>&lt;[[DEVDeals] - [Associated TC Deal (Seq: 1)] - [TC Property Current Stage (Seq: 1)] - [Buildings (Seq: 72)] - [Buildings - User Defined Field Values (Seq: 1)] Building Info - Years Between PIS &amp; Purchase Date - Both]&gt;</t>
        </r>
      </text>
    </comment>
    <comment ref="AK262" authorId="0" shapeId="0" xr:uid="{71F172D1-3B7B-4BC7-8C18-FFFC4433CCC1}">
      <text>
        <r>
          <rPr>
            <b/>
            <sz val="9"/>
            <color indexed="81"/>
            <rFont val="Tahoma"/>
            <family val="2"/>
          </rPr>
          <t>&lt;[[DEVDeals] - [Associated TC Deal (Seq: 1)] - [TC Property Current Stage (Seq: 1)] - [Buildings (Seq: 72)] Federal Minimum Set Aside Id - Both]&gt;</t>
        </r>
      </text>
    </comment>
    <comment ref="U263" authorId="0" shapeId="0" xr:uid="{FCC2AB63-69FA-461B-8E78-9F78EC6321C1}">
      <text>
        <r>
          <rPr>
            <b/>
            <sz val="9"/>
            <color indexed="81"/>
            <rFont val="Tahoma"/>
            <family val="2"/>
          </rPr>
          <t>&lt;[[DEVDeals] - [Associated TC Deal (Seq: 1)] - [TC Property Current Stage (Seq: 1)] - [Buildings (Seq: 73)] Address 1 - Both]&gt;</t>
        </r>
      </text>
    </comment>
    <comment ref="V263" authorId="0" shapeId="0" xr:uid="{176DE2B7-BF11-4CC7-A5A2-583CEB976120}">
      <text>
        <r>
          <rPr>
            <b/>
            <sz val="9"/>
            <color indexed="81"/>
            <rFont val="Tahoma"/>
            <family val="2"/>
          </rPr>
          <t>&lt;[[DEVDeals] - [Associated TC Deal (Seq: 1)] - [TC Property Current Stage (Seq: 1)] - [Buildings (Seq: 73)] City - Both]&gt;</t>
        </r>
      </text>
    </comment>
    <comment ref="W263" authorId="0" shapeId="0" xr:uid="{FE9DB213-E1B5-4A20-A120-190160A36DC7}">
      <text>
        <r>
          <rPr>
            <b/>
            <sz val="9"/>
            <color indexed="81"/>
            <rFont val="Tahoma"/>
            <family val="2"/>
          </rPr>
          <t>&lt;[[DEVDeals] - [Associated TC Deal (Seq: 1)] - [TC Property Current Stage (Seq: 1)] - [Buildings (Seq: 73)] State - Both]&gt;</t>
        </r>
      </text>
    </comment>
    <comment ref="X263" authorId="0" shapeId="0" xr:uid="{44CF4986-24E9-4B18-A426-A8620628D872}">
      <text>
        <r>
          <rPr>
            <b/>
            <sz val="9"/>
            <color indexed="81"/>
            <rFont val="Tahoma"/>
            <family val="2"/>
          </rPr>
          <t>&lt;[[DEVDeals] - [Associated TC Deal (Seq: 1)] - [TC Property Current Stage (Seq: 1)] - [Buildings (Seq: 73)] Zip Code - Both]&gt;</t>
        </r>
      </text>
    </comment>
    <comment ref="Y263" authorId="0" shapeId="0" xr:uid="{E4ACC809-F07D-446C-B42F-4393ABF723AF}">
      <text>
        <r>
          <rPr>
            <b/>
            <sz val="9"/>
            <color indexed="81"/>
            <rFont val="Tahoma"/>
            <family val="2"/>
          </rPr>
          <t>&lt;[[DEVDeals] - [Associated TC Deal (Seq: 1)] - [TC Property Current Stage (Seq: 1)] - [Buildings (Seq: 73)] BIN - Both]&gt;</t>
        </r>
      </text>
    </comment>
    <comment ref="AA263" authorId="0" shapeId="0" xr:uid="{AA45FF79-6C6E-4E15-AD07-ECC6E3BB1598}">
      <text>
        <r>
          <rPr>
            <b/>
            <sz val="9"/>
            <color indexed="81"/>
            <rFont val="Tahoma"/>
            <family val="2"/>
          </rPr>
          <t>&lt;[[DEVDeals] - [Associated TC Deal (Seq: 1)] - [TC Property Current Stage (Seq: 1)] - [Buildings (Seq: 73)] Num TC Units - Both]&gt;</t>
        </r>
      </text>
    </comment>
    <comment ref="AB263" authorId="0" shapeId="0" xr:uid="{D2E7E9FA-E2F9-45A8-9749-88AD2F58DE4F}">
      <text>
        <r>
          <rPr>
            <b/>
            <sz val="9"/>
            <color indexed="81"/>
            <rFont val="Tahoma"/>
            <family val="2"/>
          </rPr>
          <t>&lt;[[DEVDeals] - [Associated TC Deal (Seq: 1)] - [TC Property Current Stage (Seq: 1)] - [Buildings (Seq: 73)] - [Buildings - User Defined Field Values (Seq: 1)] Building Info - Total Square Footage - Both]&gt;</t>
        </r>
      </text>
    </comment>
    <comment ref="AC263" authorId="0" shapeId="0" xr:uid="{C224CD92-4DA9-4AAA-9335-3A6C75C12C1C}">
      <text>
        <r>
          <rPr>
            <b/>
            <sz val="9"/>
            <color indexed="81"/>
            <rFont val="Tahoma"/>
            <family val="2"/>
          </rPr>
          <t>&lt;[[DEVDeals] - [Associated TC Deal (Seq: 1)] - [TC Property Current Stage (Seq: 1)] - [Buildings (Seq: 73)] - [Buildings - User Defined Field Values (Seq: 1)] Building Info - Restricted Unit Square Footage - Both]&gt;</t>
        </r>
      </text>
    </comment>
    <comment ref="AD263" authorId="0" shapeId="0" xr:uid="{6C00F546-0A5F-4D9F-8496-88105C79A476}">
      <text>
        <r>
          <rPr>
            <b/>
            <sz val="9"/>
            <color indexed="81"/>
            <rFont val="Tahoma"/>
            <family val="2"/>
          </rPr>
          <t>&lt;[[DEVDeals] - [Associated TC Deal (Seq: 1)] - [TC Property Current Stage (Seq: 1)] - [Buildings (Seq: 73)] Applicable Fraction - Both]&gt;</t>
        </r>
      </text>
    </comment>
    <comment ref="AE263" authorId="0" shapeId="0" xr:uid="{D06AD5DA-AE50-4D42-9649-1246C60776CA}">
      <text>
        <r>
          <rPr>
            <b/>
            <sz val="9"/>
            <color indexed="81"/>
            <rFont val="Tahoma"/>
            <family val="2"/>
          </rPr>
          <t>&lt;[[DEVDeals] - [Associated TC Deal (Seq: 1)] - [TC Property Current Stage (Seq: 1)] - [Buildings (Seq: 73)] - [Buildings - User Defined Field Values (Seq: 1)] Building Info - Year Built - Both]&gt;</t>
        </r>
      </text>
    </comment>
    <comment ref="AF263" authorId="0" shapeId="0" xr:uid="{E8C94191-022D-4428-BC8B-39E6EB54F7A5}">
      <text>
        <r>
          <rPr>
            <b/>
            <sz val="9"/>
            <color indexed="81"/>
            <rFont val="Tahoma"/>
            <family val="2"/>
          </rPr>
          <t>&lt;[[DEVDeals] - [Associated TC Deal (Seq: 1)] - [TC Property Current Stage (Seq: 1)] - [Buildings (Seq: 73)] - [Buildings - User Defined Field Values (Seq: 1)] Building Info - Building Type - Both]&gt;</t>
        </r>
      </text>
    </comment>
    <comment ref="AG263" authorId="0" shapeId="0" xr:uid="{02D50DD4-D588-43A6-8A9B-77EA45E91EBC}">
      <text>
        <r>
          <rPr>
            <b/>
            <sz val="9"/>
            <color indexed="81"/>
            <rFont val="Tahoma"/>
            <family val="2"/>
          </rPr>
          <t>&lt;[[DEVDeals] - [Associated TC Deal (Seq: 1)] - [TC Property Current Stage (Seq: 1)] - [Buildings (Seq: 73)] Num Mkt Units - Both]&gt;</t>
        </r>
      </text>
    </comment>
    <comment ref="AH263" authorId="0" shapeId="0" xr:uid="{D6203010-D22B-45F6-AE44-C68E04344B88}">
      <text>
        <r>
          <rPr>
            <b/>
            <sz val="9"/>
            <color indexed="81"/>
            <rFont val="Tahoma"/>
            <family val="2"/>
          </rPr>
          <t>&lt;[[DEVDeals] - [Associated TC Deal (Seq: 1)] - [TC Property Current Stage (Seq: 1)] - [Buildings (Seq: 73)] - [Buildings - User Defined Field Values (Seq: 1)] Building Info - Date Last Placed in Service - Both]&gt;</t>
        </r>
      </text>
    </comment>
    <comment ref="AI263" authorId="0" shapeId="0" xr:uid="{7EDC7AA7-2B7C-4DE2-8159-A5B750C45D08}">
      <text>
        <r>
          <rPr>
            <b/>
            <sz val="9"/>
            <color indexed="81"/>
            <rFont val="Tahoma"/>
            <family val="2"/>
          </rPr>
          <t>&lt;[[DEVDeals] - [Associated TC Deal (Seq: 1)] - [TC Property Current Stage (Seq: 1)] - [Buildings (Seq: 73)] - [Buildings - User Defined Field Values (Seq: 1)] Building Info - Sponsor's Purchase Date - Both]&gt;</t>
        </r>
      </text>
    </comment>
    <comment ref="AJ263" authorId="0" shapeId="0" xr:uid="{33327569-3CBC-4246-ADA9-7E9D69D82038}">
      <text>
        <r>
          <rPr>
            <b/>
            <sz val="9"/>
            <color indexed="81"/>
            <rFont val="Tahoma"/>
            <family val="2"/>
          </rPr>
          <t>&lt;[[DEVDeals] - [Associated TC Deal (Seq: 1)] - [TC Property Current Stage (Seq: 1)] - [Buildings (Seq: 73)] - [Buildings - User Defined Field Values (Seq: 1)] Building Info - Years Between PIS &amp; Purchase Date - Both]&gt;</t>
        </r>
      </text>
    </comment>
    <comment ref="AK263" authorId="0" shapeId="0" xr:uid="{1B22F84A-5538-4CBD-9169-DCBA3355D003}">
      <text>
        <r>
          <rPr>
            <b/>
            <sz val="9"/>
            <color indexed="81"/>
            <rFont val="Tahoma"/>
            <family val="2"/>
          </rPr>
          <t>&lt;[[DEVDeals] - [Associated TC Deal (Seq: 1)] - [TC Property Current Stage (Seq: 1)] - [Buildings (Seq: 73)] Federal Minimum Set Aside Id - Both]&gt;</t>
        </r>
      </text>
    </comment>
    <comment ref="U264" authorId="0" shapeId="0" xr:uid="{02280A49-9845-4BA3-8348-B7277C7CEE30}">
      <text>
        <r>
          <rPr>
            <b/>
            <sz val="9"/>
            <color indexed="81"/>
            <rFont val="Tahoma"/>
            <family val="2"/>
          </rPr>
          <t>&lt;[[DEVDeals] - [Associated TC Deal (Seq: 1)] - [TC Property Current Stage (Seq: 1)] - [Buildings (Seq: 74)] Address 1 - Both]&gt;</t>
        </r>
      </text>
    </comment>
    <comment ref="V264" authorId="0" shapeId="0" xr:uid="{5D21C69E-5742-4B32-A49E-5E3398CE629C}">
      <text>
        <r>
          <rPr>
            <b/>
            <sz val="9"/>
            <color indexed="81"/>
            <rFont val="Tahoma"/>
            <family val="2"/>
          </rPr>
          <t>&lt;[[DEVDeals] - [Associated TC Deal (Seq: 1)] - [TC Property Current Stage (Seq: 1)] - [Buildings (Seq: 74)] City - Both]&gt;</t>
        </r>
      </text>
    </comment>
    <comment ref="W264" authorId="0" shapeId="0" xr:uid="{ACC2BED4-C76F-42FF-9313-36291FE24AD4}">
      <text>
        <r>
          <rPr>
            <b/>
            <sz val="9"/>
            <color indexed="81"/>
            <rFont val="Tahoma"/>
            <family val="2"/>
          </rPr>
          <t>&lt;[[DEVDeals] - [Associated TC Deal (Seq: 1)] - [TC Property Current Stage (Seq: 1)] - [Buildings (Seq: 74)] State - Both]&gt;</t>
        </r>
      </text>
    </comment>
    <comment ref="X264" authorId="0" shapeId="0" xr:uid="{1DBB9B7A-B140-4851-A7DC-592DF86F7FDC}">
      <text>
        <r>
          <rPr>
            <b/>
            <sz val="9"/>
            <color indexed="81"/>
            <rFont val="Tahoma"/>
            <family val="2"/>
          </rPr>
          <t>&lt;[[DEVDeals] - [Associated TC Deal (Seq: 1)] - [TC Property Current Stage (Seq: 1)] - [Buildings (Seq: 74)] Zip Code - Both]&gt;</t>
        </r>
      </text>
    </comment>
    <comment ref="Y264" authorId="0" shapeId="0" xr:uid="{6ACDA508-79AE-46F1-884D-5FB8ABD1EA1A}">
      <text>
        <r>
          <rPr>
            <b/>
            <sz val="9"/>
            <color indexed="81"/>
            <rFont val="Tahoma"/>
            <family val="2"/>
          </rPr>
          <t>&lt;[[DEVDeals] - [Associated TC Deal (Seq: 1)] - [TC Property Current Stage (Seq: 1)] - [Buildings (Seq: 74)] BIN - Both]&gt;</t>
        </r>
      </text>
    </comment>
    <comment ref="AA264" authorId="0" shapeId="0" xr:uid="{96B85D36-206F-4F42-B2E0-4E56A9A703A9}">
      <text>
        <r>
          <rPr>
            <b/>
            <sz val="9"/>
            <color indexed="81"/>
            <rFont val="Tahoma"/>
            <family val="2"/>
          </rPr>
          <t>&lt;[[DEVDeals] - [Associated TC Deal (Seq: 1)] - [TC Property Current Stage (Seq: 1)] - [Buildings (Seq: 74)] Num TC Units - Both]&gt;</t>
        </r>
      </text>
    </comment>
    <comment ref="AB264" authorId="0" shapeId="0" xr:uid="{7BDA32AE-D400-42D6-8DBB-4A6E89E148F2}">
      <text>
        <r>
          <rPr>
            <b/>
            <sz val="9"/>
            <color indexed="81"/>
            <rFont val="Tahoma"/>
            <family val="2"/>
          </rPr>
          <t>&lt;[[DEVDeals] - [Associated TC Deal (Seq: 1)] - [TC Property Current Stage (Seq: 1)] - [Buildings (Seq: 74)] - [Buildings - User Defined Field Values (Seq: 1)] Building Info - Total Square Footage - Both]&gt;</t>
        </r>
      </text>
    </comment>
    <comment ref="AC264" authorId="0" shapeId="0" xr:uid="{9E6C3FEA-C2F8-4C35-8E55-48EA64F95184}">
      <text>
        <r>
          <rPr>
            <b/>
            <sz val="9"/>
            <color indexed="81"/>
            <rFont val="Tahoma"/>
            <family val="2"/>
          </rPr>
          <t>&lt;[[DEVDeals] - [Associated TC Deal (Seq: 1)] - [TC Property Current Stage (Seq: 1)] - [Buildings (Seq: 74)] - [Buildings - User Defined Field Values (Seq: 1)] Building Info - Restricted Unit Square Footage - Both]&gt;</t>
        </r>
      </text>
    </comment>
    <comment ref="AD264" authorId="0" shapeId="0" xr:uid="{2E8FD143-642D-4B8A-A04A-E9B5300BA998}">
      <text>
        <r>
          <rPr>
            <b/>
            <sz val="9"/>
            <color indexed="81"/>
            <rFont val="Tahoma"/>
            <family val="2"/>
          </rPr>
          <t>&lt;[[DEVDeals] - [Associated TC Deal (Seq: 1)] - [TC Property Current Stage (Seq: 1)] - [Buildings (Seq: 74)] Applicable Fraction - Both]&gt;</t>
        </r>
      </text>
    </comment>
    <comment ref="AE264" authorId="0" shapeId="0" xr:uid="{6D3DEEE1-F0C3-413A-B379-F32364FBB496}">
      <text>
        <r>
          <rPr>
            <b/>
            <sz val="9"/>
            <color indexed="81"/>
            <rFont val="Tahoma"/>
            <family val="2"/>
          </rPr>
          <t>&lt;[[DEVDeals] - [Associated TC Deal (Seq: 1)] - [TC Property Current Stage (Seq: 1)] - [Buildings (Seq: 74)] - [Buildings - User Defined Field Values (Seq: 1)] Building Info - Year Built - Both]&gt;</t>
        </r>
      </text>
    </comment>
    <comment ref="AF264" authorId="0" shapeId="0" xr:uid="{9C906DCE-A941-4CF8-A92B-0AB3B639E3B3}">
      <text>
        <r>
          <rPr>
            <b/>
            <sz val="9"/>
            <color indexed="81"/>
            <rFont val="Tahoma"/>
            <family val="2"/>
          </rPr>
          <t>&lt;[[DEVDeals] - [Associated TC Deal (Seq: 1)] - [TC Property Current Stage (Seq: 1)] - [Buildings (Seq: 74)] - [Buildings - User Defined Field Values (Seq: 1)] Building Info - Building Type - Both]&gt;</t>
        </r>
      </text>
    </comment>
    <comment ref="AG264" authorId="0" shapeId="0" xr:uid="{E1FA5A85-2D6C-4B0F-8103-AE608487AF12}">
      <text>
        <r>
          <rPr>
            <b/>
            <sz val="9"/>
            <color indexed="81"/>
            <rFont val="Tahoma"/>
            <family val="2"/>
          </rPr>
          <t>&lt;[[DEVDeals] - [Associated TC Deal (Seq: 1)] - [TC Property Current Stage (Seq: 1)] - [Buildings (Seq: 74)] Num Mkt Units - Both]&gt;</t>
        </r>
      </text>
    </comment>
    <comment ref="AH264" authorId="0" shapeId="0" xr:uid="{5F0CB42A-D585-49FA-9623-6D93EFAF1793}">
      <text>
        <r>
          <rPr>
            <b/>
            <sz val="9"/>
            <color indexed="81"/>
            <rFont val="Tahoma"/>
            <family val="2"/>
          </rPr>
          <t>&lt;[[DEVDeals] - [Associated TC Deal (Seq: 1)] - [TC Property Current Stage (Seq: 1)] - [Buildings (Seq: 74)] - [Buildings - User Defined Field Values (Seq: 1)] Building Info - Date Last Placed in Service - Both]&gt;</t>
        </r>
      </text>
    </comment>
    <comment ref="AI264" authorId="0" shapeId="0" xr:uid="{5069A485-208B-41A2-A718-1F839A7AE3AC}">
      <text>
        <r>
          <rPr>
            <b/>
            <sz val="9"/>
            <color indexed="81"/>
            <rFont val="Tahoma"/>
            <family val="2"/>
          </rPr>
          <t>&lt;[[DEVDeals] - [Associated TC Deal (Seq: 1)] - [TC Property Current Stage (Seq: 1)] - [Buildings (Seq: 74)] - [Buildings - User Defined Field Values (Seq: 1)] Building Info - Sponsor's Purchase Date - Both]&gt;</t>
        </r>
      </text>
    </comment>
    <comment ref="AJ264" authorId="0" shapeId="0" xr:uid="{03D6261C-23BE-419C-B453-92B7523B36C6}">
      <text>
        <r>
          <rPr>
            <b/>
            <sz val="9"/>
            <color indexed="81"/>
            <rFont val="Tahoma"/>
            <family val="2"/>
          </rPr>
          <t>&lt;[[DEVDeals] - [Associated TC Deal (Seq: 1)] - [TC Property Current Stage (Seq: 1)] - [Buildings (Seq: 74)] - [Buildings - User Defined Field Values (Seq: 1)] Building Info - Years Between PIS &amp; Purchase Date - Both]&gt;</t>
        </r>
      </text>
    </comment>
    <comment ref="AK264" authorId="0" shapeId="0" xr:uid="{286CDF1B-1199-4C07-8617-CDF69D26E91A}">
      <text>
        <r>
          <rPr>
            <b/>
            <sz val="9"/>
            <color indexed="81"/>
            <rFont val="Tahoma"/>
            <family val="2"/>
          </rPr>
          <t>&lt;[[DEVDeals] - [Associated TC Deal (Seq: 1)] - [TC Property Current Stage (Seq: 1)] - [Buildings (Seq: 74)] Federal Minimum Set Aside Id - Both]&gt;</t>
        </r>
      </text>
    </comment>
    <comment ref="U265" authorId="0" shapeId="0" xr:uid="{587C4233-1A2C-4BB4-A362-1C34ECAB404B}">
      <text>
        <r>
          <rPr>
            <b/>
            <sz val="9"/>
            <color indexed="81"/>
            <rFont val="Tahoma"/>
            <family val="2"/>
          </rPr>
          <t>&lt;[[DEVDeals] - [Associated TC Deal (Seq: 1)] - [TC Property Current Stage (Seq: 1)] - [Buildings (Seq: 75)] Address 1 - Both]&gt;</t>
        </r>
      </text>
    </comment>
    <comment ref="V265" authorId="0" shapeId="0" xr:uid="{24816E90-1397-4BF0-B61F-48BF5FA151B5}">
      <text>
        <r>
          <rPr>
            <b/>
            <sz val="9"/>
            <color indexed="81"/>
            <rFont val="Tahoma"/>
            <family val="2"/>
          </rPr>
          <t>&lt;[[DEVDeals] - [Associated TC Deal (Seq: 1)] - [TC Property Current Stage (Seq: 1)] - [Buildings (Seq: 75)] City - Both]&gt;</t>
        </r>
      </text>
    </comment>
    <comment ref="W265" authorId="0" shapeId="0" xr:uid="{4F3D556D-19E0-4211-BA73-C9B55D800BB0}">
      <text>
        <r>
          <rPr>
            <b/>
            <sz val="9"/>
            <color indexed="81"/>
            <rFont val="Tahoma"/>
            <family val="2"/>
          </rPr>
          <t>&lt;[[DEVDeals] - [Associated TC Deal (Seq: 1)] - [TC Property Current Stage (Seq: 1)] - [Buildings (Seq: 75)] State - Both]&gt;</t>
        </r>
      </text>
    </comment>
    <comment ref="X265" authorId="0" shapeId="0" xr:uid="{9B21E1A4-E814-42B2-89A9-ED72853057EE}">
      <text>
        <r>
          <rPr>
            <b/>
            <sz val="9"/>
            <color indexed="81"/>
            <rFont val="Tahoma"/>
            <family val="2"/>
          </rPr>
          <t>&lt;[[DEVDeals] - [Associated TC Deal (Seq: 1)] - [TC Property Current Stage (Seq: 1)] - [Buildings (Seq: 75)] Zip Code - Both]&gt;</t>
        </r>
      </text>
    </comment>
    <comment ref="Y265" authorId="0" shapeId="0" xr:uid="{A1A80B52-A845-4A01-809E-C609488D4CE7}">
      <text>
        <r>
          <rPr>
            <b/>
            <sz val="9"/>
            <color indexed="81"/>
            <rFont val="Tahoma"/>
            <family val="2"/>
          </rPr>
          <t>&lt;[[DEVDeals] - [Associated TC Deal (Seq: 1)] - [TC Property Current Stage (Seq: 1)] - [Buildings (Seq: 75)] BIN - Both]&gt;</t>
        </r>
      </text>
    </comment>
    <comment ref="AA265" authorId="0" shapeId="0" xr:uid="{94AA9830-E0DF-4C34-9085-873748BED401}">
      <text>
        <r>
          <rPr>
            <b/>
            <sz val="9"/>
            <color indexed="81"/>
            <rFont val="Tahoma"/>
            <family val="2"/>
          </rPr>
          <t>&lt;[[DEVDeals] - [Associated TC Deal (Seq: 1)] - [TC Property Current Stage (Seq: 1)] - [Buildings (Seq: 75)] Num TC Units - Both]&gt;</t>
        </r>
      </text>
    </comment>
    <comment ref="AB265" authorId="0" shapeId="0" xr:uid="{FD04B9DB-CEAA-4677-8A0D-53614185A92A}">
      <text>
        <r>
          <rPr>
            <b/>
            <sz val="9"/>
            <color indexed="81"/>
            <rFont val="Tahoma"/>
            <family val="2"/>
          </rPr>
          <t>&lt;[[DEVDeals] - [Associated TC Deal (Seq: 1)] - [TC Property Current Stage (Seq: 1)] - [Buildings (Seq: 75)] - [Buildings - User Defined Field Values (Seq: 1)] Building Info - Total Square Footage - Both]&gt;</t>
        </r>
      </text>
    </comment>
    <comment ref="AC265" authorId="0" shapeId="0" xr:uid="{1088AC6B-2CDC-4372-A88A-F52EF50CEC7A}">
      <text>
        <r>
          <rPr>
            <b/>
            <sz val="9"/>
            <color indexed="81"/>
            <rFont val="Tahoma"/>
            <family val="2"/>
          </rPr>
          <t>&lt;[[DEVDeals] - [Associated TC Deal (Seq: 1)] - [TC Property Current Stage (Seq: 1)] - [Buildings (Seq: 75)] - [Buildings - User Defined Field Values (Seq: 1)] Building Info - Restricted Unit Square Footage - Both]&gt;</t>
        </r>
      </text>
    </comment>
    <comment ref="AD265" authorId="0" shapeId="0" xr:uid="{A44254F7-6A57-4DCE-BC7A-3166369AC8B2}">
      <text>
        <r>
          <rPr>
            <b/>
            <sz val="9"/>
            <color indexed="81"/>
            <rFont val="Tahoma"/>
            <family val="2"/>
          </rPr>
          <t>&lt;[[DEVDeals] - [Associated TC Deal (Seq: 1)] - [TC Property Current Stage (Seq: 1)] - [Buildings (Seq: 75)] Applicable Fraction - Both]&gt;</t>
        </r>
      </text>
    </comment>
    <comment ref="AE265" authorId="0" shapeId="0" xr:uid="{CB71AFB4-0E37-48E6-B1AA-385F4DC25187}">
      <text>
        <r>
          <rPr>
            <b/>
            <sz val="9"/>
            <color indexed="81"/>
            <rFont val="Tahoma"/>
            <family val="2"/>
          </rPr>
          <t>&lt;[[DEVDeals] - [Associated TC Deal (Seq: 1)] - [TC Property Current Stage (Seq: 1)] - [Buildings (Seq: 75)] - [Buildings - User Defined Field Values (Seq: 1)] Building Info - Year Built - Both]&gt;</t>
        </r>
      </text>
    </comment>
    <comment ref="AF265" authorId="0" shapeId="0" xr:uid="{29C564C1-C82B-49BB-939D-0518ECC10307}">
      <text>
        <r>
          <rPr>
            <b/>
            <sz val="9"/>
            <color indexed="81"/>
            <rFont val="Tahoma"/>
            <family val="2"/>
          </rPr>
          <t>&lt;[[DEVDeals] - [Associated TC Deal (Seq: 1)] - [TC Property Current Stage (Seq: 1)] - [Buildings (Seq: 75)] - [Buildings - User Defined Field Values (Seq: 1)] Building Info - Building Type - Both]&gt;</t>
        </r>
      </text>
    </comment>
    <comment ref="AG265" authorId="0" shapeId="0" xr:uid="{2EBDC6C1-C10C-490B-BAFC-6AAD31C4BDF2}">
      <text>
        <r>
          <rPr>
            <b/>
            <sz val="9"/>
            <color indexed="81"/>
            <rFont val="Tahoma"/>
            <family val="2"/>
          </rPr>
          <t>&lt;[[DEVDeals] - [Associated TC Deal (Seq: 1)] - [TC Property Current Stage (Seq: 1)] - [Buildings (Seq: 75)] Num Mkt Units - Both]&gt;</t>
        </r>
      </text>
    </comment>
    <comment ref="AH265" authorId="0" shapeId="0" xr:uid="{70205223-D64A-45CB-AE69-F2395EA27B2B}">
      <text>
        <r>
          <rPr>
            <b/>
            <sz val="9"/>
            <color indexed="81"/>
            <rFont val="Tahoma"/>
            <family val="2"/>
          </rPr>
          <t>&lt;[[DEVDeals] - [Associated TC Deal (Seq: 1)] - [TC Property Current Stage (Seq: 1)] - [Buildings (Seq: 75)] - [Buildings - User Defined Field Values (Seq: 1)] Building Info - Date Last Placed in Service - Both]&gt;</t>
        </r>
      </text>
    </comment>
    <comment ref="AI265" authorId="0" shapeId="0" xr:uid="{87A5E1FB-1C9B-4866-B60E-5F492B904133}">
      <text>
        <r>
          <rPr>
            <b/>
            <sz val="9"/>
            <color indexed="81"/>
            <rFont val="Tahoma"/>
            <family val="2"/>
          </rPr>
          <t>&lt;[[DEVDeals] - [Associated TC Deal (Seq: 1)] - [TC Property Current Stage (Seq: 1)] - [Buildings (Seq: 75)] - [Buildings - User Defined Field Values (Seq: 1)] Building Info - Sponsor's Purchase Date - Both]&gt;</t>
        </r>
      </text>
    </comment>
    <comment ref="AJ265" authorId="0" shapeId="0" xr:uid="{441F54B3-595E-400C-9499-E684C73E10BF}">
      <text>
        <r>
          <rPr>
            <b/>
            <sz val="9"/>
            <color indexed="81"/>
            <rFont val="Tahoma"/>
            <family val="2"/>
          </rPr>
          <t>&lt;[[DEVDeals] - [Associated TC Deal (Seq: 1)] - [TC Property Current Stage (Seq: 1)] - [Buildings (Seq: 75)] - [Buildings - User Defined Field Values (Seq: 1)] Building Info - Years Between PIS &amp; Purchase Date - Both]&gt;</t>
        </r>
      </text>
    </comment>
    <comment ref="AK265" authorId="0" shapeId="0" xr:uid="{E4159122-7A9E-4B0E-A027-4DE6D858D0FA}">
      <text>
        <r>
          <rPr>
            <b/>
            <sz val="9"/>
            <color indexed="81"/>
            <rFont val="Tahoma"/>
            <family val="2"/>
          </rPr>
          <t>&lt;[[DEVDeals] - [Associated TC Deal (Seq: 1)] - [TC Property Current Stage (Seq: 1)] - [Buildings (Seq: 75)] Federal Minimum Set Aside Id - Both]&gt;</t>
        </r>
      </text>
    </comment>
    <comment ref="U266" authorId="0" shapeId="0" xr:uid="{C36D9148-419F-41D3-930B-6ADF7125C330}">
      <text>
        <r>
          <rPr>
            <b/>
            <sz val="9"/>
            <color indexed="81"/>
            <rFont val="Tahoma"/>
            <family val="2"/>
          </rPr>
          <t>&lt;[[DEVDeals] - [Associated TC Deal (Seq: 1)] - [TC Property Current Stage (Seq: 1)] - [Buildings (Seq: 76)] Address 1 - Both]&gt;</t>
        </r>
      </text>
    </comment>
    <comment ref="V266" authorId="0" shapeId="0" xr:uid="{85EC2069-3833-4B47-8CCA-616199B6AB0A}">
      <text>
        <r>
          <rPr>
            <b/>
            <sz val="9"/>
            <color indexed="81"/>
            <rFont val="Tahoma"/>
            <family val="2"/>
          </rPr>
          <t>&lt;[[DEVDeals] - [Associated TC Deal (Seq: 1)] - [TC Property Current Stage (Seq: 1)] - [Buildings (Seq: 76)] City - Both]&gt;</t>
        </r>
      </text>
    </comment>
    <comment ref="W266" authorId="0" shapeId="0" xr:uid="{AEAA8CE5-BB3F-4CD4-A373-890BF5573B2A}">
      <text>
        <r>
          <rPr>
            <b/>
            <sz val="9"/>
            <color indexed="81"/>
            <rFont val="Tahoma"/>
            <family val="2"/>
          </rPr>
          <t>&lt;[[DEVDeals] - [Associated TC Deal (Seq: 1)] - [TC Property Current Stage (Seq: 1)] - [Buildings (Seq: 76)] State - Both]&gt;</t>
        </r>
      </text>
    </comment>
    <comment ref="X266" authorId="0" shapeId="0" xr:uid="{A73C1A0B-A3B3-4AE4-8C43-433526E9AE78}">
      <text>
        <r>
          <rPr>
            <b/>
            <sz val="9"/>
            <color indexed="81"/>
            <rFont val="Tahoma"/>
            <family val="2"/>
          </rPr>
          <t>&lt;[[DEVDeals] - [Associated TC Deal (Seq: 1)] - [TC Property Current Stage (Seq: 1)] - [Buildings (Seq: 76)] Zip Code - Both]&gt;</t>
        </r>
      </text>
    </comment>
    <comment ref="Y266" authorId="0" shapeId="0" xr:uid="{2D2F72B8-F845-4A6E-9217-9C81CDAA3FB8}">
      <text>
        <r>
          <rPr>
            <b/>
            <sz val="9"/>
            <color indexed="81"/>
            <rFont val="Tahoma"/>
            <family val="2"/>
          </rPr>
          <t>&lt;[[DEVDeals] - [Associated TC Deal (Seq: 1)] - [TC Property Current Stage (Seq: 1)] - [Buildings (Seq: 76)] BIN - Both]&gt;</t>
        </r>
      </text>
    </comment>
    <comment ref="AA266" authorId="0" shapeId="0" xr:uid="{F1978C16-9F32-463A-8BA6-2F588F4A6F2E}">
      <text>
        <r>
          <rPr>
            <b/>
            <sz val="9"/>
            <color indexed="81"/>
            <rFont val="Tahoma"/>
            <family val="2"/>
          </rPr>
          <t>&lt;[[DEVDeals] - [Associated TC Deal (Seq: 1)] - [TC Property Current Stage (Seq: 1)] - [Buildings (Seq: 76)] Num TC Units - Both]&gt;</t>
        </r>
      </text>
    </comment>
    <comment ref="AB266" authorId="0" shapeId="0" xr:uid="{BC65C93A-B95A-4852-B838-83062CA7CC46}">
      <text>
        <r>
          <rPr>
            <b/>
            <sz val="9"/>
            <color indexed="81"/>
            <rFont val="Tahoma"/>
            <family val="2"/>
          </rPr>
          <t>&lt;[[DEVDeals] - [Associated TC Deal (Seq: 1)] - [TC Property Current Stage (Seq: 1)] - [Buildings (Seq: 76)] - [Buildings - User Defined Field Values (Seq: 1)] Building Info - Total Square Footage - Both]&gt;</t>
        </r>
      </text>
    </comment>
    <comment ref="AC266" authorId="0" shapeId="0" xr:uid="{C57CD78E-EBB0-4081-AB6D-25C1B784335A}">
      <text>
        <r>
          <rPr>
            <b/>
            <sz val="9"/>
            <color indexed="81"/>
            <rFont val="Tahoma"/>
            <family val="2"/>
          </rPr>
          <t>&lt;[[DEVDeals] - [Associated TC Deal (Seq: 1)] - [TC Property Current Stage (Seq: 1)] - [Buildings (Seq: 76)] - [Buildings - User Defined Field Values (Seq: 1)] Building Info - Restricted Unit Square Footage - Both]&gt;</t>
        </r>
      </text>
    </comment>
    <comment ref="AD266" authorId="0" shapeId="0" xr:uid="{36791600-37E3-4456-A6F0-918BDC3309C0}">
      <text>
        <r>
          <rPr>
            <b/>
            <sz val="9"/>
            <color indexed="81"/>
            <rFont val="Tahoma"/>
            <family val="2"/>
          </rPr>
          <t>&lt;[[DEVDeals] - [Associated TC Deal (Seq: 1)] - [TC Property Current Stage (Seq: 1)] - [Buildings (Seq: 76)] Applicable Fraction - Both]&gt;</t>
        </r>
      </text>
    </comment>
    <comment ref="AE266" authorId="0" shapeId="0" xr:uid="{6EBCB2A5-AC33-4BC7-9C52-0D445149CCA1}">
      <text>
        <r>
          <rPr>
            <b/>
            <sz val="9"/>
            <color indexed="81"/>
            <rFont val="Tahoma"/>
            <family val="2"/>
          </rPr>
          <t>&lt;[[DEVDeals] - [Associated TC Deal (Seq: 1)] - [TC Property Current Stage (Seq: 1)] - [Buildings (Seq: 76)] - [Buildings - User Defined Field Values (Seq: 1)] Building Info - Year Built - Both]&gt;</t>
        </r>
      </text>
    </comment>
    <comment ref="AF266" authorId="0" shapeId="0" xr:uid="{D22E68B0-9087-4636-9CFC-96A67113C631}">
      <text>
        <r>
          <rPr>
            <b/>
            <sz val="9"/>
            <color indexed="81"/>
            <rFont val="Tahoma"/>
            <family val="2"/>
          </rPr>
          <t>&lt;[[DEVDeals] - [Associated TC Deal (Seq: 1)] - [TC Property Current Stage (Seq: 1)] - [Buildings (Seq: 76)] - [Buildings - User Defined Field Values (Seq: 1)] Building Info - Building Type - Both]&gt;</t>
        </r>
      </text>
    </comment>
    <comment ref="AG266" authorId="0" shapeId="0" xr:uid="{2374EA28-4B3B-4FCE-B5FD-7B59B4C91C7A}">
      <text>
        <r>
          <rPr>
            <b/>
            <sz val="9"/>
            <color indexed="81"/>
            <rFont val="Tahoma"/>
            <family val="2"/>
          </rPr>
          <t>&lt;[[DEVDeals] - [Associated TC Deal (Seq: 1)] - [TC Property Current Stage (Seq: 1)] - [Buildings (Seq: 76)] Num Mkt Units - Both]&gt;</t>
        </r>
      </text>
    </comment>
    <comment ref="AH266" authorId="0" shapeId="0" xr:uid="{ACFD5035-6322-421E-A65F-1BBCEF60B19A}">
      <text>
        <r>
          <rPr>
            <b/>
            <sz val="9"/>
            <color indexed="81"/>
            <rFont val="Tahoma"/>
            <family val="2"/>
          </rPr>
          <t>&lt;[[DEVDeals] - [Associated TC Deal (Seq: 1)] - [TC Property Current Stage (Seq: 1)] - [Buildings (Seq: 76)] - [Buildings - User Defined Field Values (Seq: 1)] Building Info - Date Last Placed in Service - Both]&gt;</t>
        </r>
      </text>
    </comment>
    <comment ref="AI266" authorId="0" shapeId="0" xr:uid="{03BE2044-396E-4540-8F29-C452FFA105AC}">
      <text>
        <r>
          <rPr>
            <b/>
            <sz val="9"/>
            <color indexed="81"/>
            <rFont val="Tahoma"/>
            <family val="2"/>
          </rPr>
          <t>&lt;[[DEVDeals] - [Associated TC Deal (Seq: 1)] - [TC Property Current Stage (Seq: 1)] - [Buildings (Seq: 76)] - [Buildings - User Defined Field Values (Seq: 1)] Building Info - Sponsor's Purchase Date - Both]&gt;</t>
        </r>
      </text>
    </comment>
    <comment ref="AJ266" authorId="0" shapeId="0" xr:uid="{99550ACB-DAEA-4316-B14A-4E5F0186A60E}">
      <text>
        <r>
          <rPr>
            <b/>
            <sz val="9"/>
            <color indexed="81"/>
            <rFont val="Tahoma"/>
            <family val="2"/>
          </rPr>
          <t>&lt;[[DEVDeals] - [Associated TC Deal (Seq: 1)] - [TC Property Current Stage (Seq: 1)] - [Buildings (Seq: 76)] - [Buildings - User Defined Field Values (Seq: 1)] Building Info - Years Between PIS &amp; Purchase Date - Both]&gt;</t>
        </r>
      </text>
    </comment>
    <comment ref="AK266" authorId="0" shapeId="0" xr:uid="{E9EC79CA-5037-4119-BE41-9D44DB235C66}">
      <text>
        <r>
          <rPr>
            <b/>
            <sz val="9"/>
            <color indexed="81"/>
            <rFont val="Tahoma"/>
            <family val="2"/>
          </rPr>
          <t>&lt;[[DEVDeals] - [Associated TC Deal (Seq: 1)] - [TC Property Current Stage (Seq: 1)] - [Buildings (Seq: 76)] Federal Minimum Set Aside Id - Both]&gt;</t>
        </r>
      </text>
    </comment>
    <comment ref="U267" authorId="0" shapeId="0" xr:uid="{E10E8472-903B-45B4-9E6E-F09670BFE927}">
      <text>
        <r>
          <rPr>
            <b/>
            <sz val="9"/>
            <color indexed="81"/>
            <rFont val="Tahoma"/>
            <family val="2"/>
          </rPr>
          <t>&lt;[[DEVDeals] - [Associated TC Deal (Seq: 1)] - [TC Property Current Stage (Seq: 1)] - [Buildings (Seq: 77)] Address 1 - Both]&gt;</t>
        </r>
      </text>
    </comment>
    <comment ref="V267" authorId="0" shapeId="0" xr:uid="{0CE68BB7-A771-4442-9C36-350652AB6FE8}">
      <text>
        <r>
          <rPr>
            <b/>
            <sz val="9"/>
            <color indexed="81"/>
            <rFont val="Tahoma"/>
            <family val="2"/>
          </rPr>
          <t>&lt;[[DEVDeals] - [Associated TC Deal (Seq: 1)] - [TC Property Current Stage (Seq: 1)] - [Buildings (Seq: 77)] City - Both]&gt;</t>
        </r>
      </text>
    </comment>
    <comment ref="W267" authorId="0" shapeId="0" xr:uid="{787EBA37-880E-4BC4-AF38-E87F85C4B612}">
      <text>
        <r>
          <rPr>
            <b/>
            <sz val="9"/>
            <color indexed="81"/>
            <rFont val="Tahoma"/>
            <family val="2"/>
          </rPr>
          <t>&lt;[[DEVDeals] - [Associated TC Deal (Seq: 1)] - [TC Property Current Stage (Seq: 1)] - [Buildings (Seq: 77)] State - Both]&gt;</t>
        </r>
      </text>
    </comment>
    <comment ref="X267" authorId="0" shapeId="0" xr:uid="{85018F6A-B368-48F1-B372-8126A9DF8E8E}">
      <text>
        <r>
          <rPr>
            <b/>
            <sz val="9"/>
            <color indexed="81"/>
            <rFont val="Tahoma"/>
            <family val="2"/>
          </rPr>
          <t>&lt;[[DEVDeals] - [Associated TC Deal (Seq: 1)] - [TC Property Current Stage (Seq: 1)] - [Buildings (Seq: 77)] Zip Code - Both]&gt;</t>
        </r>
      </text>
    </comment>
    <comment ref="Y267" authorId="0" shapeId="0" xr:uid="{BFC5E710-2E35-4CEB-BFC3-83887DE3E308}">
      <text>
        <r>
          <rPr>
            <b/>
            <sz val="9"/>
            <color indexed="81"/>
            <rFont val="Tahoma"/>
            <family val="2"/>
          </rPr>
          <t>&lt;[[DEVDeals] - [Associated TC Deal (Seq: 1)] - [TC Property Current Stage (Seq: 1)] - [Buildings (Seq: 77)] BIN - Both]&gt;</t>
        </r>
      </text>
    </comment>
    <comment ref="AA267" authorId="0" shapeId="0" xr:uid="{1B5F720C-9911-47CB-9EC4-BBAE30D624F8}">
      <text>
        <r>
          <rPr>
            <b/>
            <sz val="9"/>
            <color indexed="81"/>
            <rFont val="Tahoma"/>
            <family val="2"/>
          </rPr>
          <t>&lt;[[DEVDeals] - [Associated TC Deal (Seq: 1)] - [TC Property Current Stage (Seq: 1)] - [Buildings (Seq: 77)] Num TC Units - Both]&gt;</t>
        </r>
      </text>
    </comment>
    <comment ref="AB267" authorId="0" shapeId="0" xr:uid="{15B14396-688F-449A-A09D-CC0B08D2B2DF}">
      <text>
        <r>
          <rPr>
            <b/>
            <sz val="9"/>
            <color indexed="81"/>
            <rFont val="Tahoma"/>
            <family val="2"/>
          </rPr>
          <t>&lt;[[DEVDeals] - [Associated TC Deal (Seq: 1)] - [TC Property Current Stage (Seq: 1)] - [Buildings (Seq: 77)] - [Buildings - User Defined Field Values (Seq: 1)] Building Info - Total Square Footage - Both]&gt;</t>
        </r>
      </text>
    </comment>
    <comment ref="AC267" authorId="0" shapeId="0" xr:uid="{DC277471-0DD1-409C-8C1F-AEB463D0E376}">
      <text>
        <r>
          <rPr>
            <b/>
            <sz val="9"/>
            <color indexed="81"/>
            <rFont val="Tahoma"/>
            <family val="2"/>
          </rPr>
          <t>&lt;[[DEVDeals] - [Associated TC Deal (Seq: 1)] - [TC Property Current Stage (Seq: 1)] - [Buildings (Seq: 77)] - [Buildings - User Defined Field Values (Seq: 1)] Building Info - Restricted Unit Square Footage - Both]&gt;</t>
        </r>
      </text>
    </comment>
    <comment ref="AD267" authorId="0" shapeId="0" xr:uid="{69AED429-8687-4222-A873-119295DF5D2F}">
      <text>
        <r>
          <rPr>
            <b/>
            <sz val="9"/>
            <color indexed="81"/>
            <rFont val="Tahoma"/>
            <family val="2"/>
          </rPr>
          <t>&lt;[[DEVDeals] - [Associated TC Deal (Seq: 1)] - [TC Property Current Stage (Seq: 1)] - [Buildings (Seq: 77)] Applicable Fraction - Both]&gt;</t>
        </r>
      </text>
    </comment>
    <comment ref="AE267" authorId="0" shapeId="0" xr:uid="{D205FDDA-58FF-4F2C-AE07-4C15BFC73772}">
      <text>
        <r>
          <rPr>
            <b/>
            <sz val="9"/>
            <color indexed="81"/>
            <rFont val="Tahoma"/>
            <family val="2"/>
          </rPr>
          <t>&lt;[[DEVDeals] - [Associated TC Deal (Seq: 1)] - [TC Property Current Stage (Seq: 1)] - [Buildings (Seq: 77)] - [Buildings - User Defined Field Values (Seq: 1)] Building Info - Year Built - Both]&gt;</t>
        </r>
      </text>
    </comment>
    <comment ref="AF267" authorId="0" shapeId="0" xr:uid="{72115B80-E0AE-4049-B398-F3AEBA3098D2}">
      <text>
        <r>
          <rPr>
            <b/>
            <sz val="9"/>
            <color indexed="81"/>
            <rFont val="Tahoma"/>
            <family val="2"/>
          </rPr>
          <t>&lt;[[DEVDeals] - [Associated TC Deal (Seq: 1)] - [TC Property Current Stage (Seq: 1)] - [Buildings (Seq: 77)] - [Buildings - User Defined Field Values (Seq: 1)] Building Info - Building Type - Both]&gt;</t>
        </r>
      </text>
    </comment>
    <comment ref="AG267" authorId="0" shapeId="0" xr:uid="{81E31824-4FA7-4EE7-B5B2-AF2C09FECDAE}">
      <text>
        <r>
          <rPr>
            <b/>
            <sz val="9"/>
            <color indexed="81"/>
            <rFont val="Tahoma"/>
            <family val="2"/>
          </rPr>
          <t>&lt;[[DEVDeals] - [Associated TC Deal (Seq: 1)] - [TC Property Current Stage (Seq: 1)] - [Buildings (Seq: 77)] Num Mkt Units - Both]&gt;</t>
        </r>
      </text>
    </comment>
    <comment ref="AH267" authorId="0" shapeId="0" xr:uid="{54E9AF15-88AC-4F6C-853A-9A40AF047025}">
      <text>
        <r>
          <rPr>
            <b/>
            <sz val="9"/>
            <color indexed="81"/>
            <rFont val="Tahoma"/>
            <family val="2"/>
          </rPr>
          <t>&lt;[[DEVDeals] - [Associated TC Deal (Seq: 1)] - [TC Property Current Stage (Seq: 1)] - [Buildings (Seq: 77)] - [Buildings - User Defined Field Values (Seq: 1)] Building Info - Date Last Placed in Service - Both]&gt;</t>
        </r>
      </text>
    </comment>
    <comment ref="AI267" authorId="0" shapeId="0" xr:uid="{51B94208-8464-49DE-8704-86B09AD33B84}">
      <text>
        <r>
          <rPr>
            <b/>
            <sz val="9"/>
            <color indexed="81"/>
            <rFont val="Tahoma"/>
            <family val="2"/>
          </rPr>
          <t>&lt;[[DEVDeals] - [Associated TC Deal (Seq: 1)] - [TC Property Current Stage (Seq: 1)] - [Buildings (Seq: 77)] - [Buildings - User Defined Field Values (Seq: 1)] Building Info - Sponsor's Purchase Date - Both]&gt;</t>
        </r>
      </text>
    </comment>
    <comment ref="AJ267" authorId="0" shapeId="0" xr:uid="{D3BA5F83-B92A-4913-B53F-63E2008A2C54}">
      <text>
        <r>
          <rPr>
            <b/>
            <sz val="9"/>
            <color indexed="81"/>
            <rFont val="Tahoma"/>
            <family val="2"/>
          </rPr>
          <t>&lt;[[DEVDeals] - [Associated TC Deal (Seq: 1)] - [TC Property Current Stage (Seq: 1)] - [Buildings (Seq: 77)] - [Buildings - User Defined Field Values (Seq: 1)] Building Info - Years Between PIS &amp; Purchase Date - Both]&gt;</t>
        </r>
      </text>
    </comment>
    <comment ref="AK267" authorId="0" shapeId="0" xr:uid="{C0201EE1-7259-4BAE-81BA-3E3595324339}">
      <text>
        <r>
          <rPr>
            <b/>
            <sz val="9"/>
            <color indexed="81"/>
            <rFont val="Tahoma"/>
            <family val="2"/>
          </rPr>
          <t>&lt;[[DEVDeals] - [Associated TC Deal (Seq: 1)] - [TC Property Current Stage (Seq: 1)] - [Buildings (Seq: 77)] Federal Minimum Set Aside Id - Both]&gt;</t>
        </r>
      </text>
    </comment>
    <comment ref="U268" authorId="0" shapeId="0" xr:uid="{F959C301-57FE-4FEC-A13A-6C880CB08FC5}">
      <text>
        <r>
          <rPr>
            <b/>
            <sz val="9"/>
            <color indexed="81"/>
            <rFont val="Tahoma"/>
            <family val="2"/>
          </rPr>
          <t>&lt;[[DEVDeals] - [Associated TC Deal (Seq: 1)] - [TC Property Current Stage (Seq: 1)] - [Buildings (Seq: 78)] Address 1 - Both]&gt;</t>
        </r>
      </text>
    </comment>
    <comment ref="V268" authorId="0" shapeId="0" xr:uid="{B0A88F33-E1CE-4B18-9178-1010EB0ACFAD}">
      <text>
        <r>
          <rPr>
            <b/>
            <sz val="9"/>
            <color indexed="81"/>
            <rFont val="Tahoma"/>
            <family val="2"/>
          </rPr>
          <t>&lt;[[DEVDeals] - [Associated TC Deal (Seq: 1)] - [TC Property Current Stage (Seq: 1)] - [Buildings (Seq: 78)] City - Both]&gt;</t>
        </r>
      </text>
    </comment>
    <comment ref="W268" authorId="0" shapeId="0" xr:uid="{565EC8F9-6DF0-486F-9C7D-29B946E8CBDC}">
      <text>
        <r>
          <rPr>
            <b/>
            <sz val="9"/>
            <color indexed="81"/>
            <rFont val="Tahoma"/>
            <family val="2"/>
          </rPr>
          <t>&lt;[[DEVDeals] - [Associated TC Deal (Seq: 1)] - [TC Property Current Stage (Seq: 1)] - [Buildings (Seq: 78)] State - Both]&gt;</t>
        </r>
      </text>
    </comment>
    <comment ref="X268" authorId="0" shapeId="0" xr:uid="{B8433B35-DD74-431B-B943-512A9E356B4E}">
      <text>
        <r>
          <rPr>
            <b/>
            <sz val="9"/>
            <color indexed="81"/>
            <rFont val="Tahoma"/>
            <family val="2"/>
          </rPr>
          <t>&lt;[[DEVDeals] - [Associated TC Deal (Seq: 1)] - [TC Property Current Stage (Seq: 1)] - [Buildings (Seq: 78)] Zip Code - Both]&gt;</t>
        </r>
      </text>
    </comment>
    <comment ref="Y268" authorId="0" shapeId="0" xr:uid="{83E0C090-D8DA-4CD8-BAB5-7202E25EA682}">
      <text>
        <r>
          <rPr>
            <b/>
            <sz val="9"/>
            <color indexed="81"/>
            <rFont val="Tahoma"/>
            <family val="2"/>
          </rPr>
          <t>&lt;[[DEVDeals] - [Associated TC Deal (Seq: 1)] - [TC Property Current Stage (Seq: 1)] - [Buildings (Seq: 78)] BIN - Both]&gt;</t>
        </r>
      </text>
    </comment>
    <comment ref="AA268" authorId="0" shapeId="0" xr:uid="{E76BA42B-54EF-4916-8349-8FCE0407C9E4}">
      <text>
        <r>
          <rPr>
            <b/>
            <sz val="9"/>
            <color indexed="81"/>
            <rFont val="Tahoma"/>
            <family val="2"/>
          </rPr>
          <t>&lt;[[DEVDeals] - [Associated TC Deal (Seq: 1)] - [TC Property Current Stage (Seq: 1)] - [Buildings (Seq: 78)] Num TC Units - Both]&gt;</t>
        </r>
      </text>
    </comment>
    <comment ref="AB268" authorId="0" shapeId="0" xr:uid="{4DDF9228-FC24-4823-ACB5-65D7028C8F0A}">
      <text>
        <r>
          <rPr>
            <b/>
            <sz val="9"/>
            <color indexed="81"/>
            <rFont val="Tahoma"/>
            <family val="2"/>
          </rPr>
          <t>&lt;[[DEVDeals] - [Associated TC Deal (Seq: 1)] - [TC Property Current Stage (Seq: 1)] - [Buildings (Seq: 78)] - [Buildings - User Defined Field Values (Seq: 1)] Building Info - Total Square Footage - Both]&gt;</t>
        </r>
      </text>
    </comment>
    <comment ref="AC268" authorId="0" shapeId="0" xr:uid="{78CA38F3-2544-4436-9A55-255E7EA741E1}">
      <text>
        <r>
          <rPr>
            <b/>
            <sz val="9"/>
            <color indexed="81"/>
            <rFont val="Tahoma"/>
            <family val="2"/>
          </rPr>
          <t>&lt;[[DEVDeals] - [Associated TC Deal (Seq: 1)] - [TC Property Current Stage (Seq: 1)] - [Buildings (Seq: 78)] - [Buildings - User Defined Field Values (Seq: 1)] Building Info - Restricted Unit Square Footage - Both]&gt;</t>
        </r>
      </text>
    </comment>
    <comment ref="AD268" authorId="0" shapeId="0" xr:uid="{CF51D450-DD12-48CB-B622-34F894A59520}">
      <text>
        <r>
          <rPr>
            <b/>
            <sz val="9"/>
            <color indexed="81"/>
            <rFont val="Tahoma"/>
            <family val="2"/>
          </rPr>
          <t>&lt;[[DEVDeals] - [Associated TC Deal (Seq: 1)] - [TC Property Current Stage (Seq: 1)] - [Buildings (Seq: 78)] Applicable Fraction - Both]&gt;</t>
        </r>
      </text>
    </comment>
    <comment ref="AE268" authorId="0" shapeId="0" xr:uid="{8D72E4D7-0DAF-4575-AEB4-9137F353EE5A}">
      <text>
        <r>
          <rPr>
            <b/>
            <sz val="9"/>
            <color indexed="81"/>
            <rFont val="Tahoma"/>
            <family val="2"/>
          </rPr>
          <t>&lt;[[DEVDeals] - [Associated TC Deal (Seq: 1)] - [TC Property Current Stage (Seq: 1)] - [Buildings (Seq: 78)] - [Buildings - User Defined Field Values (Seq: 1)] Building Info - Year Built - Both]&gt;</t>
        </r>
      </text>
    </comment>
    <comment ref="AF268" authorId="0" shapeId="0" xr:uid="{D079B29E-8C17-4E2E-A5DB-3E12EA98B731}">
      <text>
        <r>
          <rPr>
            <b/>
            <sz val="9"/>
            <color indexed="81"/>
            <rFont val="Tahoma"/>
            <family val="2"/>
          </rPr>
          <t>&lt;[[DEVDeals] - [Associated TC Deal (Seq: 1)] - [TC Property Current Stage (Seq: 1)] - [Buildings (Seq: 78)] - [Buildings - User Defined Field Values (Seq: 1)] Building Info - Building Type - Both]&gt;</t>
        </r>
      </text>
    </comment>
    <comment ref="AG268" authorId="0" shapeId="0" xr:uid="{F616C69D-9127-48EB-B726-F97DB96B9443}">
      <text>
        <r>
          <rPr>
            <b/>
            <sz val="9"/>
            <color indexed="81"/>
            <rFont val="Tahoma"/>
            <family val="2"/>
          </rPr>
          <t>&lt;[[DEVDeals] - [Associated TC Deal (Seq: 1)] - [TC Property Current Stage (Seq: 1)] - [Buildings (Seq: 78)] Num Mkt Units - Both]&gt;</t>
        </r>
      </text>
    </comment>
    <comment ref="AH268" authorId="0" shapeId="0" xr:uid="{39C29BCE-CF0F-420E-A5FD-B2BCA1DCF91A}">
      <text>
        <r>
          <rPr>
            <b/>
            <sz val="9"/>
            <color indexed="81"/>
            <rFont val="Tahoma"/>
            <family val="2"/>
          </rPr>
          <t>&lt;[[DEVDeals] - [Associated TC Deal (Seq: 1)] - [TC Property Current Stage (Seq: 1)] - [Buildings (Seq: 78)] - [Buildings - User Defined Field Values (Seq: 1)] Building Info - Date Last Placed in Service - Both]&gt;</t>
        </r>
      </text>
    </comment>
    <comment ref="AI268" authorId="0" shapeId="0" xr:uid="{490BA4AA-D65B-40BA-B4B6-D3D05CCF4642}">
      <text>
        <r>
          <rPr>
            <b/>
            <sz val="9"/>
            <color indexed="81"/>
            <rFont val="Tahoma"/>
            <family val="2"/>
          </rPr>
          <t>&lt;[[DEVDeals] - [Associated TC Deal (Seq: 1)] - [TC Property Current Stage (Seq: 1)] - [Buildings (Seq: 78)] - [Buildings - User Defined Field Values (Seq: 1)] Building Info - Sponsor's Purchase Date - Both]&gt;</t>
        </r>
      </text>
    </comment>
    <comment ref="AJ268" authorId="0" shapeId="0" xr:uid="{89499A4C-D3F7-4A13-AA88-ACA5B43A2425}">
      <text>
        <r>
          <rPr>
            <b/>
            <sz val="9"/>
            <color indexed="81"/>
            <rFont val="Tahoma"/>
            <family val="2"/>
          </rPr>
          <t>&lt;[[DEVDeals] - [Associated TC Deal (Seq: 1)] - [TC Property Current Stage (Seq: 1)] - [Buildings (Seq: 78)] - [Buildings - User Defined Field Values (Seq: 1)] Building Info - Years Between PIS &amp; Purchase Date - Both]&gt;</t>
        </r>
      </text>
    </comment>
    <comment ref="AK268" authorId="0" shapeId="0" xr:uid="{0912603C-503E-43C9-9056-32634F85FE4D}">
      <text>
        <r>
          <rPr>
            <b/>
            <sz val="9"/>
            <color indexed="81"/>
            <rFont val="Tahoma"/>
            <family val="2"/>
          </rPr>
          <t>&lt;[[DEVDeals] - [Associated TC Deal (Seq: 1)] - [TC Property Current Stage (Seq: 1)] - [Buildings (Seq: 78)] Federal Minimum Set Aside Id - Both]&gt;</t>
        </r>
      </text>
    </comment>
    <comment ref="U269" authorId="0" shapeId="0" xr:uid="{2AAD08A3-4C13-46F3-9B77-33DF28EC74F2}">
      <text>
        <r>
          <rPr>
            <b/>
            <sz val="9"/>
            <color indexed="81"/>
            <rFont val="Tahoma"/>
            <family val="2"/>
          </rPr>
          <t>&lt;[[DEVDeals] - [Associated TC Deal (Seq: 1)] - [TC Property Current Stage (Seq: 1)] - [Buildings (Seq: 79)] Address 1 - Both]&gt;</t>
        </r>
      </text>
    </comment>
    <comment ref="V269" authorId="0" shapeId="0" xr:uid="{22063149-DBDD-4117-9D83-5CF20DAA502B}">
      <text>
        <r>
          <rPr>
            <b/>
            <sz val="9"/>
            <color indexed="81"/>
            <rFont val="Tahoma"/>
            <family val="2"/>
          </rPr>
          <t>&lt;[[DEVDeals] - [Associated TC Deal (Seq: 1)] - [TC Property Current Stage (Seq: 1)] - [Buildings (Seq: 79)] City - Both]&gt;</t>
        </r>
      </text>
    </comment>
    <comment ref="W269" authorId="0" shapeId="0" xr:uid="{D53D0EAC-1B72-42D2-92FD-4484925AD3C0}">
      <text>
        <r>
          <rPr>
            <b/>
            <sz val="9"/>
            <color indexed="81"/>
            <rFont val="Tahoma"/>
            <family val="2"/>
          </rPr>
          <t>&lt;[[DEVDeals] - [Associated TC Deal (Seq: 1)] - [TC Property Current Stage (Seq: 1)] - [Buildings (Seq: 79)] State - Both]&gt;</t>
        </r>
      </text>
    </comment>
    <comment ref="X269" authorId="0" shapeId="0" xr:uid="{A22D53E1-3CCA-4B63-A21E-BDCA7C0AC698}">
      <text>
        <r>
          <rPr>
            <b/>
            <sz val="9"/>
            <color indexed="81"/>
            <rFont val="Tahoma"/>
            <family val="2"/>
          </rPr>
          <t>&lt;[[DEVDeals] - [Associated TC Deal (Seq: 1)] - [TC Property Current Stage (Seq: 1)] - [Buildings (Seq: 79)] Zip Code - Both]&gt;</t>
        </r>
      </text>
    </comment>
    <comment ref="Y269" authorId="0" shapeId="0" xr:uid="{3B0DD5D1-CE71-406C-9135-62F40F125C4E}">
      <text>
        <r>
          <rPr>
            <b/>
            <sz val="9"/>
            <color indexed="81"/>
            <rFont val="Tahoma"/>
            <family val="2"/>
          </rPr>
          <t>&lt;[[DEVDeals] - [Associated TC Deal (Seq: 1)] - [TC Property Current Stage (Seq: 1)] - [Buildings (Seq: 79)] BIN - Both]&gt;</t>
        </r>
      </text>
    </comment>
    <comment ref="AA269" authorId="0" shapeId="0" xr:uid="{2CD5A088-EDF3-4BD0-A1F7-7D2938FFFE44}">
      <text>
        <r>
          <rPr>
            <b/>
            <sz val="9"/>
            <color indexed="81"/>
            <rFont val="Tahoma"/>
            <family val="2"/>
          </rPr>
          <t>&lt;[[DEVDeals] - [Associated TC Deal (Seq: 1)] - [TC Property Current Stage (Seq: 1)] - [Buildings (Seq: 79)] Num TC Units - Both]&gt;</t>
        </r>
      </text>
    </comment>
    <comment ref="AB269" authorId="0" shapeId="0" xr:uid="{C9201AAF-4D87-4916-AED8-3A4FFFAD4FAA}">
      <text>
        <r>
          <rPr>
            <b/>
            <sz val="9"/>
            <color indexed="81"/>
            <rFont val="Tahoma"/>
            <family val="2"/>
          </rPr>
          <t>&lt;[[DEVDeals] - [Associated TC Deal (Seq: 1)] - [TC Property Current Stage (Seq: 1)] - [Buildings (Seq: 79)] - [Buildings - User Defined Field Values (Seq: 1)] Building Info - Total Square Footage - Both]&gt;</t>
        </r>
      </text>
    </comment>
    <comment ref="AC269" authorId="0" shapeId="0" xr:uid="{CE85338D-B668-4679-A291-A28CCEC2ABD9}">
      <text>
        <r>
          <rPr>
            <b/>
            <sz val="9"/>
            <color indexed="81"/>
            <rFont val="Tahoma"/>
            <family val="2"/>
          </rPr>
          <t>&lt;[[DEVDeals] - [Associated TC Deal (Seq: 1)] - [TC Property Current Stage (Seq: 1)] - [Buildings (Seq: 79)] - [Buildings - User Defined Field Values (Seq: 1)] Building Info - Restricted Unit Square Footage - Both]&gt;</t>
        </r>
      </text>
    </comment>
    <comment ref="AD269" authorId="0" shapeId="0" xr:uid="{5C3E42DA-24CA-4B1B-BDED-7893FA1ACEE8}">
      <text>
        <r>
          <rPr>
            <b/>
            <sz val="9"/>
            <color indexed="81"/>
            <rFont val="Tahoma"/>
            <family val="2"/>
          </rPr>
          <t>&lt;[[DEVDeals] - [Associated TC Deal (Seq: 1)] - [TC Property Current Stage (Seq: 1)] - [Buildings (Seq: 79)] Applicable Fraction - Both]&gt;</t>
        </r>
      </text>
    </comment>
    <comment ref="AE269" authorId="0" shapeId="0" xr:uid="{A10F2BA8-9753-4FB4-93E5-16483CC80369}">
      <text>
        <r>
          <rPr>
            <b/>
            <sz val="9"/>
            <color indexed="81"/>
            <rFont val="Tahoma"/>
            <family val="2"/>
          </rPr>
          <t>&lt;[[DEVDeals] - [Associated TC Deal (Seq: 1)] - [TC Property Current Stage (Seq: 1)] - [Buildings (Seq: 79)] - [Buildings - User Defined Field Values (Seq: 1)] Building Info - Year Built - Both]&gt;</t>
        </r>
      </text>
    </comment>
    <comment ref="AF269" authorId="0" shapeId="0" xr:uid="{8490B4DB-DE63-447F-82D9-9A068E77E68D}">
      <text>
        <r>
          <rPr>
            <b/>
            <sz val="9"/>
            <color indexed="81"/>
            <rFont val="Tahoma"/>
            <family val="2"/>
          </rPr>
          <t>&lt;[[DEVDeals] - [Associated TC Deal (Seq: 1)] - [TC Property Current Stage (Seq: 1)] - [Buildings (Seq: 79)] - [Buildings - User Defined Field Values (Seq: 1)] Building Info - Building Type - Both]&gt;</t>
        </r>
      </text>
    </comment>
    <comment ref="AG269" authorId="0" shapeId="0" xr:uid="{66C348FF-4C78-4C9C-A5A6-854BC24AC981}">
      <text>
        <r>
          <rPr>
            <b/>
            <sz val="9"/>
            <color indexed="81"/>
            <rFont val="Tahoma"/>
            <family val="2"/>
          </rPr>
          <t>&lt;[[DEVDeals] - [Associated TC Deal (Seq: 1)] - [TC Property Current Stage (Seq: 1)] - [Buildings (Seq: 79)] Num Mkt Units - Both]&gt;</t>
        </r>
      </text>
    </comment>
    <comment ref="AH269" authorId="0" shapeId="0" xr:uid="{92F6A820-B72F-45C6-8C83-9D78B7C61DD7}">
      <text>
        <r>
          <rPr>
            <b/>
            <sz val="9"/>
            <color indexed="81"/>
            <rFont val="Tahoma"/>
            <family val="2"/>
          </rPr>
          <t>&lt;[[DEVDeals] - [Associated TC Deal (Seq: 1)] - [TC Property Current Stage (Seq: 1)] - [Buildings (Seq: 79)] - [Buildings - User Defined Field Values (Seq: 1)] Building Info - Date Last Placed in Service - Both]&gt;</t>
        </r>
      </text>
    </comment>
    <comment ref="AI269" authorId="0" shapeId="0" xr:uid="{CFF5CBE4-14EE-4D3A-9ED6-6867D07B6BA1}">
      <text>
        <r>
          <rPr>
            <b/>
            <sz val="9"/>
            <color indexed="81"/>
            <rFont val="Tahoma"/>
            <family val="2"/>
          </rPr>
          <t>&lt;[[DEVDeals] - [Associated TC Deal (Seq: 1)] - [TC Property Current Stage (Seq: 1)] - [Buildings (Seq: 79)] - [Buildings - User Defined Field Values (Seq: 1)] Building Info - Sponsor's Purchase Date - Both]&gt;</t>
        </r>
      </text>
    </comment>
    <comment ref="AJ269" authorId="0" shapeId="0" xr:uid="{35B9AAFD-8DA8-4FBC-85BB-648690A81BBB}">
      <text>
        <r>
          <rPr>
            <b/>
            <sz val="9"/>
            <color indexed="81"/>
            <rFont val="Tahoma"/>
            <family val="2"/>
          </rPr>
          <t>&lt;[[DEVDeals] - [Associated TC Deal (Seq: 1)] - [TC Property Current Stage (Seq: 1)] - [Buildings (Seq: 79)] - [Buildings - User Defined Field Values (Seq: 1)] Building Info - Years Between PIS &amp; Purchase Date - Both]&gt;</t>
        </r>
      </text>
    </comment>
    <comment ref="AK269" authorId="0" shapeId="0" xr:uid="{8CFEB276-45CD-43D7-A25C-BA88A6B0F3D4}">
      <text>
        <r>
          <rPr>
            <b/>
            <sz val="9"/>
            <color indexed="81"/>
            <rFont val="Tahoma"/>
            <family val="2"/>
          </rPr>
          <t>&lt;[[DEVDeals] - [Associated TC Deal (Seq: 1)] - [TC Property Current Stage (Seq: 1)] - [Buildings (Seq: 79)] Federal Minimum Set Aside Id - Both]&gt;</t>
        </r>
      </text>
    </comment>
    <comment ref="U270" authorId="0" shapeId="0" xr:uid="{170CA7B7-D62D-498C-A0FA-4F0A94C012C2}">
      <text>
        <r>
          <rPr>
            <b/>
            <sz val="9"/>
            <color indexed="81"/>
            <rFont val="Tahoma"/>
            <family val="2"/>
          </rPr>
          <t>&lt;[[DEVDeals] - [Associated TC Deal (Seq: 1)] - [TC Property Current Stage (Seq: 1)] - [Buildings (Seq: 80)] Address 1 - Both]&gt;</t>
        </r>
      </text>
    </comment>
    <comment ref="V270" authorId="0" shapeId="0" xr:uid="{268B3105-2FDE-46D8-9CD4-DAE4314169C7}">
      <text>
        <r>
          <rPr>
            <b/>
            <sz val="9"/>
            <color indexed="81"/>
            <rFont val="Tahoma"/>
            <family val="2"/>
          </rPr>
          <t>&lt;[[DEVDeals] - [Associated TC Deal (Seq: 1)] - [TC Property Current Stage (Seq: 1)] - [Buildings (Seq: 80)] City - Both]&gt;</t>
        </r>
      </text>
    </comment>
    <comment ref="W270" authorId="0" shapeId="0" xr:uid="{74916ECF-FDF8-4656-ABD4-0D1529543D9D}">
      <text>
        <r>
          <rPr>
            <b/>
            <sz val="9"/>
            <color indexed="81"/>
            <rFont val="Tahoma"/>
            <family val="2"/>
          </rPr>
          <t>&lt;[[DEVDeals] - [Associated TC Deal (Seq: 1)] - [TC Property Current Stage (Seq: 1)] - [Buildings (Seq: 80)] State - Both]&gt;</t>
        </r>
      </text>
    </comment>
    <comment ref="X270" authorId="0" shapeId="0" xr:uid="{EC2E733F-9894-464A-A812-B305ADA6E04D}">
      <text>
        <r>
          <rPr>
            <b/>
            <sz val="9"/>
            <color indexed="81"/>
            <rFont val="Tahoma"/>
            <family val="2"/>
          </rPr>
          <t>&lt;[[DEVDeals] - [Associated TC Deal (Seq: 1)] - [TC Property Current Stage (Seq: 1)] - [Buildings (Seq: 80)] Zip Code - Both]&gt;</t>
        </r>
      </text>
    </comment>
    <comment ref="Y270" authorId="0" shapeId="0" xr:uid="{BE4B70FA-2AE5-4083-9F58-6F7A4476E487}">
      <text>
        <r>
          <rPr>
            <b/>
            <sz val="9"/>
            <color indexed="81"/>
            <rFont val="Tahoma"/>
            <family val="2"/>
          </rPr>
          <t>&lt;[[DEVDeals] - [Associated TC Deal (Seq: 1)] - [TC Property Current Stage (Seq: 1)] - [Buildings (Seq: 80)] BIN - Both]&gt;</t>
        </r>
      </text>
    </comment>
    <comment ref="AA270" authorId="0" shapeId="0" xr:uid="{2B4436C3-8BEC-4C2B-86D3-29F8149568C8}">
      <text>
        <r>
          <rPr>
            <b/>
            <sz val="9"/>
            <color indexed="81"/>
            <rFont val="Tahoma"/>
            <family val="2"/>
          </rPr>
          <t>&lt;[[DEVDeals] - [Associated TC Deal (Seq: 1)] - [TC Property Current Stage (Seq: 1)] - [Buildings (Seq: 80)] Num TC Units - Both]&gt;</t>
        </r>
      </text>
    </comment>
    <comment ref="AB270" authorId="0" shapeId="0" xr:uid="{D89F04E9-0A12-49BB-8A32-A9AD3C6C933D}">
      <text>
        <r>
          <rPr>
            <b/>
            <sz val="9"/>
            <color indexed="81"/>
            <rFont val="Tahoma"/>
            <family val="2"/>
          </rPr>
          <t>&lt;[[DEVDeals] - [Associated TC Deal (Seq: 1)] - [TC Property Current Stage (Seq: 1)] - [Buildings (Seq: 80)] - [Buildings - User Defined Field Values (Seq: 1)] Building Info - Total Square Footage - Both]&gt;</t>
        </r>
      </text>
    </comment>
    <comment ref="AC270" authorId="0" shapeId="0" xr:uid="{6CFD70DB-3D71-47FF-AAAE-C20A554A367D}">
      <text>
        <r>
          <rPr>
            <b/>
            <sz val="9"/>
            <color indexed="81"/>
            <rFont val="Tahoma"/>
            <family val="2"/>
          </rPr>
          <t>&lt;[[DEVDeals] - [Associated TC Deal (Seq: 1)] - [TC Property Current Stage (Seq: 1)] - [Buildings (Seq: 80)] - [Buildings - User Defined Field Values (Seq: 1)] Building Info - Restricted Unit Square Footage - Both]&gt;</t>
        </r>
      </text>
    </comment>
    <comment ref="AD270" authorId="0" shapeId="0" xr:uid="{21E0EF70-2CDF-42EA-BF4C-A2ED41CCC1C9}">
      <text>
        <r>
          <rPr>
            <b/>
            <sz val="9"/>
            <color indexed="81"/>
            <rFont val="Tahoma"/>
            <family val="2"/>
          </rPr>
          <t>&lt;[[DEVDeals] - [Associated TC Deal (Seq: 1)] - [TC Property Current Stage (Seq: 1)] - [Buildings (Seq: 80)] Applicable Fraction - Both]&gt;</t>
        </r>
      </text>
    </comment>
    <comment ref="AE270" authorId="0" shapeId="0" xr:uid="{FAEA8AA0-1E4D-403D-B161-F360DABE95CB}">
      <text>
        <r>
          <rPr>
            <b/>
            <sz val="9"/>
            <color indexed="81"/>
            <rFont val="Tahoma"/>
            <family val="2"/>
          </rPr>
          <t>&lt;[[DEVDeals] - [Associated TC Deal (Seq: 1)] - [TC Property Current Stage (Seq: 1)] - [Buildings (Seq: 80)] - [Buildings - User Defined Field Values (Seq: 1)] Building Info - Year Built - Both]&gt;</t>
        </r>
      </text>
    </comment>
    <comment ref="AF270" authorId="0" shapeId="0" xr:uid="{97183B00-2811-4B2D-88FB-2A5240E9374F}">
      <text>
        <r>
          <rPr>
            <b/>
            <sz val="9"/>
            <color indexed="81"/>
            <rFont val="Tahoma"/>
            <family val="2"/>
          </rPr>
          <t>&lt;[[DEVDeals] - [Associated TC Deal (Seq: 1)] - [TC Property Current Stage (Seq: 1)] - [Buildings (Seq: 80)] - [Buildings - User Defined Field Values (Seq: 1)] Building Info - Building Type - Both]&gt;</t>
        </r>
      </text>
    </comment>
    <comment ref="AG270" authorId="0" shapeId="0" xr:uid="{6C4BC9DA-8684-4E58-9B6A-9C411289805E}">
      <text>
        <r>
          <rPr>
            <b/>
            <sz val="9"/>
            <color indexed="81"/>
            <rFont val="Tahoma"/>
            <family val="2"/>
          </rPr>
          <t>&lt;[[DEVDeals] - [Associated TC Deal (Seq: 1)] - [TC Property Current Stage (Seq: 1)] - [Buildings (Seq: 80)] Num Mkt Units - Both]&gt;</t>
        </r>
      </text>
    </comment>
    <comment ref="AH270" authorId="0" shapeId="0" xr:uid="{D6169AF1-1BCB-4A3C-9C5B-831CA019EF5F}">
      <text>
        <r>
          <rPr>
            <b/>
            <sz val="9"/>
            <color indexed="81"/>
            <rFont val="Tahoma"/>
            <family val="2"/>
          </rPr>
          <t>&lt;[[DEVDeals] - [Associated TC Deal (Seq: 1)] - [TC Property Current Stage (Seq: 1)] - [Buildings (Seq: 80)] - [Buildings - User Defined Field Values (Seq: 1)] Building Info - Date Last Placed in Service - Both]&gt;</t>
        </r>
      </text>
    </comment>
    <comment ref="AI270" authorId="0" shapeId="0" xr:uid="{9A9DF9AB-028B-4BEF-B830-2DE362C63584}">
      <text>
        <r>
          <rPr>
            <b/>
            <sz val="9"/>
            <color indexed="81"/>
            <rFont val="Tahoma"/>
            <family val="2"/>
          </rPr>
          <t>&lt;[[DEVDeals] - [Associated TC Deal (Seq: 1)] - [TC Property Current Stage (Seq: 1)] - [Buildings (Seq: 80)] - [Buildings - User Defined Field Values (Seq: 1)] Building Info - Sponsor's Purchase Date - Both]&gt;</t>
        </r>
      </text>
    </comment>
    <comment ref="AJ270" authorId="0" shapeId="0" xr:uid="{8EC6D8AD-2529-4D08-BF6B-33B5A3A7909F}">
      <text>
        <r>
          <rPr>
            <b/>
            <sz val="9"/>
            <color indexed="81"/>
            <rFont val="Tahoma"/>
            <family val="2"/>
          </rPr>
          <t>&lt;[[DEVDeals] - [Associated TC Deal (Seq: 1)] - [TC Property Current Stage (Seq: 1)] - [Buildings (Seq: 80)] - [Buildings - User Defined Field Values (Seq: 1)] Building Info - Years Between PIS &amp; Purchase Date - Both]&gt;</t>
        </r>
      </text>
    </comment>
    <comment ref="AK270" authorId="0" shapeId="0" xr:uid="{982C2817-2C42-445F-939E-F8E0E2262381}">
      <text>
        <r>
          <rPr>
            <b/>
            <sz val="9"/>
            <color indexed="81"/>
            <rFont val="Tahoma"/>
            <family val="2"/>
          </rPr>
          <t>&lt;[[DEVDeals] - [Associated TC Deal (Seq: 1)] - [TC Property Current Stage (Seq: 1)] - [Buildings (Seq: 80)] Federal Minimum Set Aside Id - Both]&gt;</t>
        </r>
      </text>
    </comment>
    <comment ref="U271" authorId="0" shapeId="0" xr:uid="{02B5C496-2F0A-4659-AF50-D64E7EFFC69C}">
      <text>
        <r>
          <rPr>
            <b/>
            <sz val="9"/>
            <color indexed="81"/>
            <rFont val="Tahoma"/>
            <family val="2"/>
          </rPr>
          <t>&lt;[[DEVDeals] - [Associated TC Deal (Seq: 1)] - [TC Property Current Stage (Seq: 1)] - [Buildings (Seq: 81)] Address 1 - Both]&gt;</t>
        </r>
      </text>
    </comment>
    <comment ref="V271" authorId="0" shapeId="0" xr:uid="{1B97ADCC-7F72-4558-93B3-7796B14DBCD4}">
      <text>
        <r>
          <rPr>
            <b/>
            <sz val="9"/>
            <color indexed="81"/>
            <rFont val="Tahoma"/>
            <family val="2"/>
          </rPr>
          <t>&lt;[[DEVDeals] - [Associated TC Deal (Seq: 1)] - [TC Property Current Stage (Seq: 1)] - [Buildings (Seq: 81)] City - Both]&gt;</t>
        </r>
      </text>
    </comment>
    <comment ref="W271" authorId="0" shapeId="0" xr:uid="{0144E7C4-BE70-4290-8E39-6CC22DAB9E0A}">
      <text>
        <r>
          <rPr>
            <b/>
            <sz val="9"/>
            <color indexed="81"/>
            <rFont val="Tahoma"/>
            <family val="2"/>
          </rPr>
          <t>&lt;[[DEVDeals] - [Associated TC Deal (Seq: 1)] - [TC Property Current Stage (Seq: 1)] - [Buildings (Seq: 81)] State - Both]&gt;</t>
        </r>
      </text>
    </comment>
    <comment ref="X271" authorId="0" shapeId="0" xr:uid="{1AB47C08-1D09-487A-A142-225E9632631C}">
      <text>
        <r>
          <rPr>
            <b/>
            <sz val="9"/>
            <color indexed="81"/>
            <rFont val="Tahoma"/>
            <family val="2"/>
          </rPr>
          <t>&lt;[[DEVDeals] - [Associated TC Deal (Seq: 1)] - [TC Property Current Stage (Seq: 1)] - [Buildings (Seq: 81)] Zip Code - Both]&gt;</t>
        </r>
      </text>
    </comment>
    <comment ref="Y271" authorId="0" shapeId="0" xr:uid="{A3926948-0222-4A46-8084-BA0897689F29}">
      <text>
        <r>
          <rPr>
            <b/>
            <sz val="9"/>
            <color indexed="81"/>
            <rFont val="Tahoma"/>
            <family val="2"/>
          </rPr>
          <t>&lt;[[DEVDeals] - [Associated TC Deal (Seq: 1)] - [TC Property Current Stage (Seq: 1)] - [Buildings (Seq: 81)] BIN - Both]&gt;</t>
        </r>
      </text>
    </comment>
    <comment ref="AA271" authorId="0" shapeId="0" xr:uid="{01DCB178-60D9-4A06-A69D-FB8F64DD9A05}">
      <text>
        <r>
          <rPr>
            <b/>
            <sz val="9"/>
            <color indexed="81"/>
            <rFont val="Tahoma"/>
            <family val="2"/>
          </rPr>
          <t>&lt;[[DEVDeals] - [Associated TC Deal (Seq: 1)] - [TC Property Current Stage (Seq: 1)] - [Buildings (Seq: 81)] Num TC Units - Both]&gt;</t>
        </r>
      </text>
    </comment>
    <comment ref="AB271" authorId="0" shapeId="0" xr:uid="{949AAA7B-5CF9-470D-9E89-7D4857B70FA1}">
      <text>
        <r>
          <rPr>
            <b/>
            <sz val="9"/>
            <color indexed="81"/>
            <rFont val="Tahoma"/>
            <family val="2"/>
          </rPr>
          <t>&lt;[[DEVDeals] - [Associated TC Deal (Seq: 1)] - [TC Property Current Stage (Seq: 1)] - [Buildings (Seq: 81)] - [Buildings - User Defined Field Values (Seq: 1)] Building Info - Total Square Footage - Both]&gt;</t>
        </r>
      </text>
    </comment>
    <comment ref="AC271" authorId="0" shapeId="0" xr:uid="{632A80D1-C275-4BBF-8836-F27892EC58C9}">
      <text>
        <r>
          <rPr>
            <b/>
            <sz val="9"/>
            <color indexed="81"/>
            <rFont val="Tahoma"/>
            <family val="2"/>
          </rPr>
          <t>&lt;[[DEVDeals] - [Associated TC Deal (Seq: 1)] - [TC Property Current Stage (Seq: 1)] - [Buildings (Seq: 81)] - [Buildings - User Defined Field Values (Seq: 1)] Building Info - Restricted Unit Square Footage - Both]&gt;</t>
        </r>
      </text>
    </comment>
    <comment ref="AD271" authorId="0" shapeId="0" xr:uid="{76E7B8B0-500F-47FB-A3B3-ED8A8B965FF3}">
      <text>
        <r>
          <rPr>
            <b/>
            <sz val="9"/>
            <color indexed="81"/>
            <rFont val="Tahoma"/>
            <family val="2"/>
          </rPr>
          <t>&lt;[[DEVDeals] - [Associated TC Deal (Seq: 1)] - [TC Property Current Stage (Seq: 1)] - [Buildings (Seq: 81)] Applicable Fraction - Both]&gt;</t>
        </r>
      </text>
    </comment>
    <comment ref="AE271" authorId="0" shapeId="0" xr:uid="{E1EA78A6-B8BC-4F62-BFA6-CD1EE6A33A67}">
      <text>
        <r>
          <rPr>
            <b/>
            <sz val="9"/>
            <color indexed="81"/>
            <rFont val="Tahoma"/>
            <family val="2"/>
          </rPr>
          <t>&lt;[[DEVDeals] - [Associated TC Deal (Seq: 1)] - [TC Property Current Stage (Seq: 1)] - [Buildings (Seq: 81)] - [Buildings - User Defined Field Values (Seq: 1)] Building Info - Year Built - Both]&gt;</t>
        </r>
      </text>
    </comment>
    <comment ref="AF271" authorId="0" shapeId="0" xr:uid="{750BB204-333F-4678-8846-AF12FB586F3F}">
      <text>
        <r>
          <rPr>
            <b/>
            <sz val="9"/>
            <color indexed="81"/>
            <rFont val="Tahoma"/>
            <family val="2"/>
          </rPr>
          <t>&lt;[[DEVDeals] - [Associated TC Deal (Seq: 1)] - [TC Property Current Stage (Seq: 1)] - [Buildings (Seq: 81)] - [Buildings - User Defined Field Values (Seq: 1)] Building Info - Building Type - Both]&gt;</t>
        </r>
      </text>
    </comment>
    <comment ref="AG271" authorId="0" shapeId="0" xr:uid="{7DDA6823-8D96-4695-8E59-1655B37B2DF1}">
      <text>
        <r>
          <rPr>
            <b/>
            <sz val="9"/>
            <color indexed="81"/>
            <rFont val="Tahoma"/>
            <family val="2"/>
          </rPr>
          <t>&lt;[[DEVDeals] - [Associated TC Deal (Seq: 1)] - [TC Property Current Stage (Seq: 1)] - [Buildings (Seq: 81)] Num Mkt Units - Both]&gt;</t>
        </r>
      </text>
    </comment>
    <comment ref="AH271" authorId="0" shapeId="0" xr:uid="{4EFF6C1E-47E7-4CEB-B81B-9F9157F4544F}">
      <text>
        <r>
          <rPr>
            <b/>
            <sz val="9"/>
            <color indexed="81"/>
            <rFont val="Tahoma"/>
            <family val="2"/>
          </rPr>
          <t>&lt;[[DEVDeals] - [Associated TC Deal (Seq: 1)] - [TC Property Current Stage (Seq: 1)] - [Buildings (Seq: 81)] - [Buildings - User Defined Field Values (Seq: 1)] Building Info - Date Last Placed in Service - Both]&gt;</t>
        </r>
      </text>
    </comment>
    <comment ref="AI271" authorId="0" shapeId="0" xr:uid="{18DE5516-7FDB-49A1-AD67-0E894971D5E3}">
      <text>
        <r>
          <rPr>
            <b/>
            <sz val="9"/>
            <color indexed="81"/>
            <rFont val="Tahoma"/>
            <family val="2"/>
          </rPr>
          <t>&lt;[[DEVDeals] - [Associated TC Deal (Seq: 1)] - [TC Property Current Stage (Seq: 1)] - [Buildings (Seq: 81)] - [Buildings - User Defined Field Values (Seq: 1)] Building Info - Sponsor's Purchase Date - Both]&gt;</t>
        </r>
      </text>
    </comment>
    <comment ref="AJ271" authorId="0" shapeId="0" xr:uid="{1ABD7332-DFBF-4324-BBB9-804A43720E00}">
      <text>
        <r>
          <rPr>
            <b/>
            <sz val="9"/>
            <color indexed="81"/>
            <rFont val="Tahoma"/>
            <family val="2"/>
          </rPr>
          <t>&lt;[[DEVDeals] - [Associated TC Deal (Seq: 1)] - [TC Property Current Stage (Seq: 1)] - [Buildings (Seq: 81)] - [Buildings - User Defined Field Values (Seq: 1)] Building Info - Years Between PIS &amp; Purchase Date - Both]&gt;</t>
        </r>
      </text>
    </comment>
    <comment ref="AK271" authorId="0" shapeId="0" xr:uid="{8F0DC00F-3AC8-41CA-A99E-7B2CDECD2208}">
      <text>
        <r>
          <rPr>
            <b/>
            <sz val="9"/>
            <color indexed="81"/>
            <rFont val="Tahoma"/>
            <family val="2"/>
          </rPr>
          <t>&lt;[[DEVDeals] - [Associated TC Deal (Seq: 1)] - [TC Property Current Stage (Seq: 1)] - [Buildings (Seq: 81)] Federal Minimum Set Aside Id - Both]&gt;</t>
        </r>
      </text>
    </comment>
    <comment ref="U272" authorId="0" shapeId="0" xr:uid="{855CC444-B6AA-4BB5-A3EB-FE40429D5DEC}">
      <text>
        <r>
          <rPr>
            <b/>
            <sz val="9"/>
            <color indexed="81"/>
            <rFont val="Tahoma"/>
            <family val="2"/>
          </rPr>
          <t>&lt;[[DEVDeals] - [Associated TC Deal (Seq: 1)] - [TC Property Current Stage (Seq: 1)] - [Buildings (Seq: 82)] Address 1 - Both]&gt;</t>
        </r>
      </text>
    </comment>
    <comment ref="V272" authorId="0" shapeId="0" xr:uid="{00C02934-BA42-4523-8A21-5191E8F22B01}">
      <text>
        <r>
          <rPr>
            <b/>
            <sz val="9"/>
            <color indexed="81"/>
            <rFont val="Tahoma"/>
            <family val="2"/>
          </rPr>
          <t>&lt;[[DEVDeals] - [Associated TC Deal (Seq: 1)] - [TC Property Current Stage (Seq: 1)] - [Buildings (Seq: 82)] City - Both]&gt;</t>
        </r>
      </text>
    </comment>
    <comment ref="W272" authorId="0" shapeId="0" xr:uid="{82A85073-5ED8-43EC-AA45-2FBDE95D3D6B}">
      <text>
        <r>
          <rPr>
            <b/>
            <sz val="9"/>
            <color indexed="81"/>
            <rFont val="Tahoma"/>
            <family val="2"/>
          </rPr>
          <t>&lt;[[DEVDeals] - [Associated TC Deal (Seq: 1)] - [TC Property Current Stage (Seq: 1)] - [Buildings (Seq: 82)] State - Both]&gt;</t>
        </r>
      </text>
    </comment>
    <comment ref="X272" authorId="0" shapeId="0" xr:uid="{239C8589-D012-4627-98D8-C24B31AA5861}">
      <text>
        <r>
          <rPr>
            <b/>
            <sz val="9"/>
            <color indexed="81"/>
            <rFont val="Tahoma"/>
            <family val="2"/>
          </rPr>
          <t>&lt;[[DEVDeals] - [Associated TC Deal (Seq: 1)] - [TC Property Current Stage (Seq: 1)] - [Buildings (Seq: 82)] Zip Code - Both]&gt;</t>
        </r>
      </text>
    </comment>
    <comment ref="Y272" authorId="0" shapeId="0" xr:uid="{EFA70483-9E96-4164-914C-6A2A0E0809C6}">
      <text>
        <r>
          <rPr>
            <b/>
            <sz val="9"/>
            <color indexed="81"/>
            <rFont val="Tahoma"/>
            <family val="2"/>
          </rPr>
          <t>&lt;[[DEVDeals] - [Associated TC Deal (Seq: 1)] - [TC Property Current Stage (Seq: 1)] - [Buildings (Seq: 82)] BIN - Both]&gt;</t>
        </r>
      </text>
    </comment>
    <comment ref="AA272" authorId="0" shapeId="0" xr:uid="{25B2478A-C42C-4E5F-9028-1C3770B3D780}">
      <text>
        <r>
          <rPr>
            <b/>
            <sz val="9"/>
            <color indexed="81"/>
            <rFont val="Tahoma"/>
            <family val="2"/>
          </rPr>
          <t>&lt;[[DEVDeals] - [Associated TC Deal (Seq: 1)] - [TC Property Current Stage (Seq: 1)] - [Buildings (Seq: 82)] Num TC Units - Both]&gt;</t>
        </r>
      </text>
    </comment>
    <comment ref="AB272" authorId="0" shapeId="0" xr:uid="{772884C8-0597-4E8C-B45B-55A21F3E9384}">
      <text>
        <r>
          <rPr>
            <b/>
            <sz val="9"/>
            <color indexed="81"/>
            <rFont val="Tahoma"/>
            <family val="2"/>
          </rPr>
          <t>&lt;[[DEVDeals] - [Associated TC Deal (Seq: 1)] - [TC Property Current Stage (Seq: 1)] - [Buildings (Seq: 82)] - [Buildings - User Defined Field Values (Seq: 1)] Building Info - Total Square Footage - Both]&gt;</t>
        </r>
      </text>
    </comment>
    <comment ref="AC272" authorId="0" shapeId="0" xr:uid="{101C1205-F4FF-4EBD-AB00-6E7C62E8C141}">
      <text>
        <r>
          <rPr>
            <b/>
            <sz val="9"/>
            <color indexed="81"/>
            <rFont val="Tahoma"/>
            <family val="2"/>
          </rPr>
          <t>&lt;[[DEVDeals] - [Associated TC Deal (Seq: 1)] - [TC Property Current Stage (Seq: 1)] - [Buildings (Seq: 82)] - [Buildings - User Defined Field Values (Seq: 1)] Building Info - Restricted Unit Square Footage - Both]&gt;</t>
        </r>
      </text>
    </comment>
    <comment ref="AD272" authorId="0" shapeId="0" xr:uid="{22DD5162-53D2-4AB8-A367-73F05E5D30C6}">
      <text>
        <r>
          <rPr>
            <b/>
            <sz val="9"/>
            <color indexed="81"/>
            <rFont val="Tahoma"/>
            <family val="2"/>
          </rPr>
          <t>&lt;[[DEVDeals] - [Associated TC Deal (Seq: 1)] - [TC Property Current Stage (Seq: 1)] - [Buildings (Seq: 82)] Applicable Fraction - Both]&gt;</t>
        </r>
      </text>
    </comment>
    <comment ref="AE272" authorId="0" shapeId="0" xr:uid="{D2BFAC69-9E73-477E-9F95-CF305925A0D5}">
      <text>
        <r>
          <rPr>
            <b/>
            <sz val="9"/>
            <color indexed="81"/>
            <rFont val="Tahoma"/>
            <family val="2"/>
          </rPr>
          <t>&lt;[[DEVDeals] - [Associated TC Deal (Seq: 1)] - [TC Property Current Stage (Seq: 1)] - [Buildings (Seq: 82)] - [Buildings - User Defined Field Values (Seq: 1)] Building Info - Year Built - Both]&gt;</t>
        </r>
      </text>
    </comment>
    <comment ref="AF272" authorId="0" shapeId="0" xr:uid="{1F353966-7F0A-4F38-98AA-03413B470F92}">
      <text>
        <r>
          <rPr>
            <b/>
            <sz val="9"/>
            <color indexed="81"/>
            <rFont val="Tahoma"/>
            <family val="2"/>
          </rPr>
          <t>&lt;[[DEVDeals] - [Associated TC Deal (Seq: 1)] - [TC Property Current Stage (Seq: 1)] - [Buildings (Seq: 82)] - [Buildings - User Defined Field Values (Seq: 1)] Building Info - Building Type - Both]&gt;</t>
        </r>
      </text>
    </comment>
    <comment ref="AG272" authorId="0" shapeId="0" xr:uid="{F6E6475E-C2F1-4011-B73C-BA607524CF8B}">
      <text>
        <r>
          <rPr>
            <b/>
            <sz val="9"/>
            <color indexed="81"/>
            <rFont val="Tahoma"/>
            <family val="2"/>
          </rPr>
          <t>&lt;[[DEVDeals] - [Associated TC Deal (Seq: 1)] - [TC Property Current Stage (Seq: 1)] - [Buildings (Seq: 82)] Num Mkt Units - Both]&gt;</t>
        </r>
      </text>
    </comment>
    <comment ref="AH272" authorId="0" shapeId="0" xr:uid="{E7012197-692E-40B4-81FE-114E08574DFF}">
      <text>
        <r>
          <rPr>
            <b/>
            <sz val="9"/>
            <color indexed="81"/>
            <rFont val="Tahoma"/>
            <family val="2"/>
          </rPr>
          <t>&lt;[[DEVDeals] - [Associated TC Deal (Seq: 1)] - [TC Property Current Stage (Seq: 1)] - [Buildings (Seq: 82)] - [Buildings - User Defined Field Values (Seq: 1)] Building Info - Date Last Placed in Service - Both]&gt;</t>
        </r>
      </text>
    </comment>
    <comment ref="AI272" authorId="0" shapeId="0" xr:uid="{8A0236FF-F85F-472F-A768-BC0743CC2908}">
      <text>
        <r>
          <rPr>
            <b/>
            <sz val="9"/>
            <color indexed="81"/>
            <rFont val="Tahoma"/>
            <family val="2"/>
          </rPr>
          <t>&lt;[[DEVDeals] - [Associated TC Deal (Seq: 1)] - [TC Property Current Stage (Seq: 1)] - [Buildings (Seq: 82)] - [Buildings - User Defined Field Values (Seq: 1)] Building Info - Sponsor's Purchase Date - Both]&gt;</t>
        </r>
      </text>
    </comment>
    <comment ref="AJ272" authorId="0" shapeId="0" xr:uid="{AE039A8C-E4D3-454C-8CB5-E7AEA475C53B}">
      <text>
        <r>
          <rPr>
            <b/>
            <sz val="9"/>
            <color indexed="81"/>
            <rFont val="Tahoma"/>
            <family val="2"/>
          </rPr>
          <t>&lt;[[DEVDeals] - [Associated TC Deal (Seq: 1)] - [TC Property Current Stage (Seq: 1)] - [Buildings (Seq: 82)] - [Buildings - User Defined Field Values (Seq: 1)] Building Info - Years Between PIS &amp; Purchase Date - Both]&gt;</t>
        </r>
      </text>
    </comment>
    <comment ref="AK272" authorId="0" shapeId="0" xr:uid="{A3797886-85C3-4B3D-96FD-5821BC4C1057}">
      <text>
        <r>
          <rPr>
            <b/>
            <sz val="9"/>
            <color indexed="81"/>
            <rFont val="Tahoma"/>
            <family val="2"/>
          </rPr>
          <t>&lt;[[DEVDeals] - [Associated TC Deal (Seq: 1)] - [TC Property Current Stage (Seq: 1)] - [Buildings (Seq: 82)] Federal Minimum Set Aside Id - Both]&gt;</t>
        </r>
      </text>
    </comment>
    <comment ref="U273" authorId="0" shapeId="0" xr:uid="{320FC3AA-EC9B-402D-847B-889FFD0CAAEA}">
      <text>
        <r>
          <rPr>
            <b/>
            <sz val="9"/>
            <color indexed="81"/>
            <rFont val="Tahoma"/>
            <family val="2"/>
          </rPr>
          <t>&lt;[[DEVDeals] - [Associated TC Deal (Seq: 1)] - [TC Property Current Stage (Seq: 1)] - [Buildings (Seq: 83)] Address 1 - Both]&gt;</t>
        </r>
      </text>
    </comment>
    <comment ref="V273" authorId="0" shapeId="0" xr:uid="{72547AEA-76A7-4D39-BC18-0491D6DDF0D1}">
      <text>
        <r>
          <rPr>
            <b/>
            <sz val="9"/>
            <color indexed="81"/>
            <rFont val="Tahoma"/>
            <family val="2"/>
          </rPr>
          <t>&lt;[[DEVDeals] - [Associated TC Deal (Seq: 1)] - [TC Property Current Stage (Seq: 1)] - [Buildings (Seq: 83)] City - Both]&gt;</t>
        </r>
      </text>
    </comment>
    <comment ref="W273" authorId="0" shapeId="0" xr:uid="{E08B3EB6-D3FC-4813-8BFF-936F7DF6B417}">
      <text>
        <r>
          <rPr>
            <b/>
            <sz val="9"/>
            <color indexed="81"/>
            <rFont val="Tahoma"/>
            <family val="2"/>
          </rPr>
          <t>&lt;[[DEVDeals] - [Associated TC Deal (Seq: 1)] - [TC Property Current Stage (Seq: 1)] - [Buildings (Seq: 83)] State - Both]&gt;</t>
        </r>
      </text>
    </comment>
    <comment ref="X273" authorId="0" shapeId="0" xr:uid="{7DB2463C-9BF2-4A9A-A915-D986B787F3BE}">
      <text>
        <r>
          <rPr>
            <b/>
            <sz val="9"/>
            <color indexed="81"/>
            <rFont val="Tahoma"/>
            <family val="2"/>
          </rPr>
          <t>&lt;[[DEVDeals] - [Associated TC Deal (Seq: 1)] - [TC Property Current Stage (Seq: 1)] - [Buildings (Seq: 83)] Zip Code - Both]&gt;</t>
        </r>
      </text>
    </comment>
    <comment ref="Y273" authorId="0" shapeId="0" xr:uid="{4316FB56-357E-4C3C-A7AB-6716ED9462CD}">
      <text>
        <r>
          <rPr>
            <b/>
            <sz val="9"/>
            <color indexed="81"/>
            <rFont val="Tahoma"/>
            <family val="2"/>
          </rPr>
          <t>&lt;[[DEVDeals] - [Associated TC Deal (Seq: 1)] - [TC Property Current Stage (Seq: 1)] - [Buildings (Seq: 83)] BIN - Both]&gt;</t>
        </r>
      </text>
    </comment>
    <comment ref="AA273" authorId="0" shapeId="0" xr:uid="{FD57DAC8-A8A7-4C6B-AA88-A4DD5F6013EC}">
      <text>
        <r>
          <rPr>
            <b/>
            <sz val="9"/>
            <color indexed="81"/>
            <rFont val="Tahoma"/>
            <family val="2"/>
          </rPr>
          <t>&lt;[[DEVDeals] - [Associated TC Deal (Seq: 1)] - [TC Property Current Stage (Seq: 1)] - [Buildings (Seq: 83)] Num TC Units - Both]&gt;</t>
        </r>
      </text>
    </comment>
    <comment ref="AB273" authorId="0" shapeId="0" xr:uid="{3399169A-8BF4-4F53-BC5F-207EE81C2BEF}">
      <text>
        <r>
          <rPr>
            <b/>
            <sz val="9"/>
            <color indexed="81"/>
            <rFont val="Tahoma"/>
            <family val="2"/>
          </rPr>
          <t>&lt;[[DEVDeals] - [Associated TC Deal (Seq: 1)] - [TC Property Current Stage (Seq: 1)] - [Buildings (Seq: 83)] - [Buildings - User Defined Field Values (Seq: 1)] Building Info - Total Square Footage - Both]&gt;</t>
        </r>
      </text>
    </comment>
    <comment ref="AC273" authorId="0" shapeId="0" xr:uid="{893F870E-D7B6-4BC7-8E40-A933B5BEAC46}">
      <text>
        <r>
          <rPr>
            <b/>
            <sz val="9"/>
            <color indexed="81"/>
            <rFont val="Tahoma"/>
            <family val="2"/>
          </rPr>
          <t>&lt;[[DEVDeals] - [Associated TC Deal (Seq: 1)] - [TC Property Current Stage (Seq: 1)] - [Buildings (Seq: 83)] - [Buildings - User Defined Field Values (Seq: 1)] Building Info - Restricted Unit Square Footage - Both]&gt;</t>
        </r>
      </text>
    </comment>
    <comment ref="AD273" authorId="0" shapeId="0" xr:uid="{C8266E45-D6EF-42A1-951C-71C8AF61D730}">
      <text>
        <r>
          <rPr>
            <b/>
            <sz val="9"/>
            <color indexed="81"/>
            <rFont val="Tahoma"/>
            <family val="2"/>
          </rPr>
          <t>&lt;[[DEVDeals] - [Associated TC Deal (Seq: 1)] - [TC Property Current Stage (Seq: 1)] - [Buildings (Seq: 83)] Applicable Fraction - Both]&gt;</t>
        </r>
      </text>
    </comment>
    <comment ref="AE273" authorId="0" shapeId="0" xr:uid="{DFD99B0E-5C82-40CB-B9E7-98C2BD2714D2}">
      <text>
        <r>
          <rPr>
            <b/>
            <sz val="9"/>
            <color indexed="81"/>
            <rFont val="Tahoma"/>
            <family val="2"/>
          </rPr>
          <t>&lt;[[DEVDeals] - [Associated TC Deal (Seq: 1)] - [TC Property Current Stage (Seq: 1)] - [Buildings (Seq: 83)] - [Buildings - User Defined Field Values (Seq: 1)] Building Info - Year Built - Both]&gt;</t>
        </r>
      </text>
    </comment>
    <comment ref="AF273" authorId="0" shapeId="0" xr:uid="{98A948CB-45C8-4EDE-BD19-C98B3F8358BC}">
      <text>
        <r>
          <rPr>
            <b/>
            <sz val="9"/>
            <color indexed="81"/>
            <rFont val="Tahoma"/>
            <family val="2"/>
          </rPr>
          <t>&lt;[[DEVDeals] - [Associated TC Deal (Seq: 1)] - [TC Property Current Stage (Seq: 1)] - [Buildings (Seq: 83)] - [Buildings - User Defined Field Values (Seq: 1)] Building Info - Building Type - Both]&gt;</t>
        </r>
      </text>
    </comment>
    <comment ref="AG273" authorId="0" shapeId="0" xr:uid="{1411A76C-D3C7-4E74-AA00-49668C85CDB0}">
      <text>
        <r>
          <rPr>
            <b/>
            <sz val="9"/>
            <color indexed="81"/>
            <rFont val="Tahoma"/>
            <family val="2"/>
          </rPr>
          <t>&lt;[[DEVDeals] - [Associated TC Deal (Seq: 1)] - [TC Property Current Stage (Seq: 1)] - [Buildings (Seq: 83)] Num Mkt Units - Both]&gt;</t>
        </r>
      </text>
    </comment>
    <comment ref="AH273" authorId="0" shapeId="0" xr:uid="{41AA1A97-33FA-4B28-9DD3-5232C6D4448A}">
      <text>
        <r>
          <rPr>
            <b/>
            <sz val="9"/>
            <color indexed="81"/>
            <rFont val="Tahoma"/>
            <family val="2"/>
          </rPr>
          <t>&lt;[[DEVDeals] - [Associated TC Deal (Seq: 1)] - [TC Property Current Stage (Seq: 1)] - [Buildings (Seq: 83)] - [Buildings - User Defined Field Values (Seq: 1)] Building Info - Date Last Placed in Service - Both]&gt;</t>
        </r>
      </text>
    </comment>
    <comment ref="AI273" authorId="0" shapeId="0" xr:uid="{4D9206A1-D497-4242-995F-133C2585A93D}">
      <text>
        <r>
          <rPr>
            <b/>
            <sz val="9"/>
            <color indexed="81"/>
            <rFont val="Tahoma"/>
            <family val="2"/>
          </rPr>
          <t>&lt;[[DEVDeals] - [Associated TC Deal (Seq: 1)] - [TC Property Current Stage (Seq: 1)] - [Buildings (Seq: 83)] - [Buildings - User Defined Field Values (Seq: 1)] Building Info - Sponsor's Purchase Date - Both]&gt;</t>
        </r>
      </text>
    </comment>
    <comment ref="AJ273" authorId="0" shapeId="0" xr:uid="{60718155-4378-4FFA-9B57-64098516D40D}">
      <text>
        <r>
          <rPr>
            <b/>
            <sz val="9"/>
            <color indexed="81"/>
            <rFont val="Tahoma"/>
            <family val="2"/>
          </rPr>
          <t>&lt;[[DEVDeals] - [Associated TC Deal (Seq: 1)] - [TC Property Current Stage (Seq: 1)] - [Buildings (Seq: 83)] - [Buildings - User Defined Field Values (Seq: 1)] Building Info - Years Between PIS &amp; Purchase Date - Both]&gt;</t>
        </r>
      </text>
    </comment>
    <comment ref="AK273" authorId="0" shapeId="0" xr:uid="{FB8EFE23-65C7-4D26-A6AC-EAACA74C19FC}">
      <text>
        <r>
          <rPr>
            <b/>
            <sz val="9"/>
            <color indexed="81"/>
            <rFont val="Tahoma"/>
            <family val="2"/>
          </rPr>
          <t>&lt;[[DEVDeals] - [Associated TC Deal (Seq: 1)] - [TC Property Current Stage (Seq: 1)] - [Buildings (Seq: 83)] Federal Minimum Set Aside Id - Both]&gt;</t>
        </r>
      </text>
    </comment>
    <comment ref="U274" authorId="0" shapeId="0" xr:uid="{8911E9CB-B21E-44EA-94A0-9F1BA8B799D9}">
      <text>
        <r>
          <rPr>
            <b/>
            <sz val="9"/>
            <color indexed="81"/>
            <rFont val="Tahoma"/>
            <family val="2"/>
          </rPr>
          <t>&lt;[[DEVDeals] - [Associated TC Deal (Seq: 1)] - [TC Property Current Stage (Seq: 1)] - [Buildings (Seq: 84)] Address 1 - Both]&gt;</t>
        </r>
      </text>
    </comment>
    <comment ref="V274" authorId="0" shapeId="0" xr:uid="{B364B805-D29B-4812-B7D8-99D132C55B03}">
      <text>
        <r>
          <rPr>
            <b/>
            <sz val="9"/>
            <color indexed="81"/>
            <rFont val="Tahoma"/>
            <family val="2"/>
          </rPr>
          <t>&lt;[[DEVDeals] - [Associated TC Deal (Seq: 1)] - [TC Property Current Stage (Seq: 1)] - [Buildings (Seq: 84)] City - Both]&gt;</t>
        </r>
      </text>
    </comment>
    <comment ref="W274" authorId="0" shapeId="0" xr:uid="{B2772E5C-ADFA-4142-B09A-7C0F3411903A}">
      <text>
        <r>
          <rPr>
            <b/>
            <sz val="9"/>
            <color indexed="81"/>
            <rFont val="Tahoma"/>
            <family val="2"/>
          </rPr>
          <t>&lt;[[DEVDeals] - [Associated TC Deal (Seq: 1)] - [TC Property Current Stage (Seq: 1)] - [Buildings (Seq: 84)] State - Both]&gt;</t>
        </r>
      </text>
    </comment>
    <comment ref="X274" authorId="0" shapeId="0" xr:uid="{9BEC9AAC-71AC-4B2F-A7B1-369DD6E95164}">
      <text>
        <r>
          <rPr>
            <b/>
            <sz val="9"/>
            <color indexed="81"/>
            <rFont val="Tahoma"/>
            <family val="2"/>
          </rPr>
          <t>&lt;[[DEVDeals] - [Associated TC Deal (Seq: 1)] - [TC Property Current Stage (Seq: 1)] - [Buildings (Seq: 84)] Zip Code - Both]&gt;</t>
        </r>
      </text>
    </comment>
    <comment ref="Y274" authorId="0" shapeId="0" xr:uid="{5598A9D6-92C6-4527-B4BC-525224FF6B1D}">
      <text>
        <r>
          <rPr>
            <b/>
            <sz val="9"/>
            <color indexed="81"/>
            <rFont val="Tahoma"/>
            <family val="2"/>
          </rPr>
          <t>&lt;[[DEVDeals] - [Associated TC Deal (Seq: 1)] - [TC Property Current Stage (Seq: 1)] - [Buildings (Seq: 84)] BIN - Both]&gt;</t>
        </r>
      </text>
    </comment>
    <comment ref="AA274" authorId="0" shapeId="0" xr:uid="{D566139E-48A6-41E4-8B7A-3E5CBBF9204D}">
      <text>
        <r>
          <rPr>
            <b/>
            <sz val="9"/>
            <color indexed="81"/>
            <rFont val="Tahoma"/>
            <family val="2"/>
          </rPr>
          <t>&lt;[[DEVDeals] - [Associated TC Deal (Seq: 1)] - [TC Property Current Stage (Seq: 1)] - [Buildings (Seq: 84)] Num TC Units - Both]&gt;</t>
        </r>
      </text>
    </comment>
    <comment ref="AB274" authorId="0" shapeId="0" xr:uid="{94765563-1D67-42AF-8C6B-26BFE9A1977E}">
      <text>
        <r>
          <rPr>
            <b/>
            <sz val="9"/>
            <color indexed="81"/>
            <rFont val="Tahoma"/>
            <family val="2"/>
          </rPr>
          <t>&lt;[[DEVDeals] - [Associated TC Deal (Seq: 1)] - [TC Property Current Stage (Seq: 1)] - [Buildings (Seq: 84)] - [Buildings - User Defined Field Values (Seq: 1)] Building Info - Total Square Footage - Both]&gt;</t>
        </r>
      </text>
    </comment>
    <comment ref="AC274" authorId="0" shapeId="0" xr:uid="{3BE99FED-B38C-4101-9B77-372A12B4C7BB}">
      <text>
        <r>
          <rPr>
            <b/>
            <sz val="9"/>
            <color indexed="81"/>
            <rFont val="Tahoma"/>
            <family val="2"/>
          </rPr>
          <t>&lt;[[DEVDeals] - [Associated TC Deal (Seq: 1)] - [TC Property Current Stage (Seq: 1)] - [Buildings (Seq: 84)] - [Buildings - User Defined Field Values (Seq: 1)] Building Info - Restricted Unit Square Footage - Both]&gt;</t>
        </r>
      </text>
    </comment>
    <comment ref="AD274" authorId="0" shapeId="0" xr:uid="{250DDEFC-7A72-4E08-93B2-BA120829C6CE}">
      <text>
        <r>
          <rPr>
            <b/>
            <sz val="9"/>
            <color indexed="81"/>
            <rFont val="Tahoma"/>
            <family val="2"/>
          </rPr>
          <t>&lt;[[DEVDeals] - [Associated TC Deal (Seq: 1)] - [TC Property Current Stage (Seq: 1)] - [Buildings (Seq: 84)] Applicable Fraction - Both]&gt;</t>
        </r>
      </text>
    </comment>
    <comment ref="AE274" authorId="0" shapeId="0" xr:uid="{68242695-6CFB-44B8-B319-D0882ABF3B3E}">
      <text>
        <r>
          <rPr>
            <b/>
            <sz val="9"/>
            <color indexed="81"/>
            <rFont val="Tahoma"/>
            <family val="2"/>
          </rPr>
          <t>&lt;[[DEVDeals] - [Associated TC Deal (Seq: 1)] - [TC Property Current Stage (Seq: 1)] - [Buildings (Seq: 84)] - [Buildings - User Defined Field Values (Seq: 1)] Building Info - Year Built - Both]&gt;</t>
        </r>
      </text>
    </comment>
    <comment ref="AF274" authorId="0" shapeId="0" xr:uid="{260BB574-52F0-4DEF-B7F2-97BE4987FB9E}">
      <text>
        <r>
          <rPr>
            <b/>
            <sz val="9"/>
            <color indexed="81"/>
            <rFont val="Tahoma"/>
            <family val="2"/>
          </rPr>
          <t>&lt;[[DEVDeals] - [Associated TC Deal (Seq: 1)] - [TC Property Current Stage (Seq: 1)] - [Buildings (Seq: 84)] - [Buildings - User Defined Field Values (Seq: 1)] Building Info - Building Type - Both]&gt;</t>
        </r>
      </text>
    </comment>
    <comment ref="AG274" authorId="0" shapeId="0" xr:uid="{2C64A084-B187-468D-9D6E-D546D2EFCB17}">
      <text>
        <r>
          <rPr>
            <b/>
            <sz val="9"/>
            <color indexed="81"/>
            <rFont val="Tahoma"/>
            <family val="2"/>
          </rPr>
          <t>&lt;[[DEVDeals] - [Associated TC Deal (Seq: 1)] - [TC Property Current Stage (Seq: 1)] - [Buildings (Seq: 84)] Num Mkt Units - Both]&gt;</t>
        </r>
      </text>
    </comment>
    <comment ref="AH274" authorId="0" shapeId="0" xr:uid="{D89507DB-EA04-45C1-9A9E-16448F9A8DE6}">
      <text>
        <r>
          <rPr>
            <b/>
            <sz val="9"/>
            <color indexed="81"/>
            <rFont val="Tahoma"/>
            <family val="2"/>
          </rPr>
          <t>&lt;[[DEVDeals] - [Associated TC Deal (Seq: 1)] - [TC Property Current Stage (Seq: 1)] - [Buildings (Seq: 84)] - [Buildings - User Defined Field Values (Seq: 1)] Building Info - Date Last Placed in Service - Both]&gt;</t>
        </r>
      </text>
    </comment>
    <comment ref="AI274" authorId="0" shapeId="0" xr:uid="{4E34BE3D-B076-4C72-9640-CA23330A27FA}">
      <text>
        <r>
          <rPr>
            <b/>
            <sz val="9"/>
            <color indexed="81"/>
            <rFont val="Tahoma"/>
            <family val="2"/>
          </rPr>
          <t>&lt;[[DEVDeals] - [Associated TC Deal (Seq: 1)] - [TC Property Current Stage (Seq: 1)] - [Buildings (Seq: 84)] - [Buildings - User Defined Field Values (Seq: 1)] Building Info - Sponsor's Purchase Date - Both]&gt;</t>
        </r>
      </text>
    </comment>
    <comment ref="AJ274" authorId="0" shapeId="0" xr:uid="{713978B3-1EB2-4F8D-B428-4FB8DFEAEEE2}">
      <text>
        <r>
          <rPr>
            <b/>
            <sz val="9"/>
            <color indexed="81"/>
            <rFont val="Tahoma"/>
            <family val="2"/>
          </rPr>
          <t>&lt;[[DEVDeals] - [Associated TC Deal (Seq: 1)] - [TC Property Current Stage (Seq: 1)] - [Buildings (Seq: 84)] - [Buildings - User Defined Field Values (Seq: 1)] Building Info - Years Between PIS &amp; Purchase Date - Both]&gt;</t>
        </r>
      </text>
    </comment>
    <comment ref="AK274" authorId="0" shapeId="0" xr:uid="{7A9F97AE-0C74-435F-8C16-4F44FDECF016}">
      <text>
        <r>
          <rPr>
            <b/>
            <sz val="9"/>
            <color indexed="81"/>
            <rFont val="Tahoma"/>
            <family val="2"/>
          </rPr>
          <t>&lt;[[DEVDeals] - [Associated TC Deal (Seq: 1)] - [TC Property Current Stage (Seq: 1)] - [Buildings (Seq: 84)] Federal Minimum Set Aside Id - Both]&gt;</t>
        </r>
      </text>
    </comment>
    <comment ref="U275" authorId="0" shapeId="0" xr:uid="{D1F8410A-307D-4613-BD4A-579FF3538B79}">
      <text>
        <r>
          <rPr>
            <b/>
            <sz val="9"/>
            <color indexed="81"/>
            <rFont val="Tahoma"/>
            <family val="2"/>
          </rPr>
          <t>&lt;[[DEVDeals] - [Associated TC Deal (Seq: 1)] - [TC Property Current Stage (Seq: 1)] - [Buildings (Seq: 85)] Address 1 - Both]&gt;</t>
        </r>
      </text>
    </comment>
    <comment ref="V275" authorId="0" shapeId="0" xr:uid="{5CCEBB02-834A-4FB6-BBBC-FAE02C6AB8A1}">
      <text>
        <r>
          <rPr>
            <b/>
            <sz val="9"/>
            <color indexed="81"/>
            <rFont val="Tahoma"/>
            <family val="2"/>
          </rPr>
          <t>&lt;[[DEVDeals] - [Associated TC Deal (Seq: 1)] - [TC Property Current Stage (Seq: 1)] - [Buildings (Seq: 85)] City - Both]&gt;</t>
        </r>
      </text>
    </comment>
    <comment ref="W275" authorId="0" shapeId="0" xr:uid="{C7A9772E-BF74-4132-A542-5285D480C171}">
      <text>
        <r>
          <rPr>
            <b/>
            <sz val="9"/>
            <color indexed="81"/>
            <rFont val="Tahoma"/>
            <family val="2"/>
          </rPr>
          <t>&lt;[[DEVDeals] - [Associated TC Deal (Seq: 1)] - [TC Property Current Stage (Seq: 1)] - [Buildings (Seq: 85)] State - Both]&gt;</t>
        </r>
      </text>
    </comment>
    <comment ref="X275" authorId="0" shapeId="0" xr:uid="{DCC7EF47-41DB-4354-83B7-C3E21F871132}">
      <text>
        <r>
          <rPr>
            <b/>
            <sz val="9"/>
            <color indexed="81"/>
            <rFont val="Tahoma"/>
            <family val="2"/>
          </rPr>
          <t>&lt;[[DEVDeals] - [Associated TC Deal (Seq: 1)] - [TC Property Current Stage (Seq: 1)] - [Buildings (Seq: 85)] Zip Code - Both]&gt;</t>
        </r>
      </text>
    </comment>
    <comment ref="Y275" authorId="0" shapeId="0" xr:uid="{F48259C5-0FDD-41C7-BB8F-B8E0AA084722}">
      <text>
        <r>
          <rPr>
            <b/>
            <sz val="9"/>
            <color indexed="81"/>
            <rFont val="Tahoma"/>
            <family val="2"/>
          </rPr>
          <t>&lt;[[DEVDeals] - [Associated TC Deal (Seq: 1)] - [TC Property Current Stage (Seq: 1)] - [Buildings (Seq: 85)] BIN - Both]&gt;</t>
        </r>
      </text>
    </comment>
    <comment ref="AA275" authorId="0" shapeId="0" xr:uid="{D6D27D7D-F63F-422C-BD33-8C007088EAD8}">
      <text>
        <r>
          <rPr>
            <b/>
            <sz val="9"/>
            <color indexed="81"/>
            <rFont val="Tahoma"/>
            <family val="2"/>
          </rPr>
          <t>&lt;[[DEVDeals] - [Associated TC Deal (Seq: 1)] - [TC Property Current Stage (Seq: 1)] - [Buildings (Seq: 85)] Num TC Units - Both]&gt;</t>
        </r>
      </text>
    </comment>
    <comment ref="AB275" authorId="0" shapeId="0" xr:uid="{AE12EF22-8C87-4D1D-8A65-F2E56233A021}">
      <text>
        <r>
          <rPr>
            <b/>
            <sz val="9"/>
            <color indexed="81"/>
            <rFont val="Tahoma"/>
            <family val="2"/>
          </rPr>
          <t>&lt;[[DEVDeals] - [Associated TC Deal (Seq: 1)] - [TC Property Current Stage (Seq: 1)] - [Buildings (Seq: 85)] - [Buildings - User Defined Field Values (Seq: 1)] Building Info - Total Square Footage - Both]&gt;</t>
        </r>
      </text>
    </comment>
    <comment ref="AC275" authorId="0" shapeId="0" xr:uid="{9C4DA445-D827-4843-ADA6-778A825D0F01}">
      <text>
        <r>
          <rPr>
            <b/>
            <sz val="9"/>
            <color indexed="81"/>
            <rFont val="Tahoma"/>
            <family val="2"/>
          </rPr>
          <t>&lt;[[DEVDeals] - [Associated TC Deal (Seq: 1)] - [TC Property Current Stage (Seq: 1)] - [Buildings (Seq: 85)] - [Buildings - User Defined Field Values (Seq: 1)] Building Info - Restricted Unit Square Footage - Both]&gt;</t>
        </r>
      </text>
    </comment>
    <comment ref="AD275" authorId="0" shapeId="0" xr:uid="{CF8CA05F-29B5-41B1-8418-F27828157EFE}">
      <text>
        <r>
          <rPr>
            <b/>
            <sz val="9"/>
            <color indexed="81"/>
            <rFont val="Tahoma"/>
            <family val="2"/>
          </rPr>
          <t>&lt;[[DEVDeals] - [Associated TC Deal (Seq: 1)] - [TC Property Current Stage (Seq: 1)] - [Buildings (Seq: 85)] Applicable Fraction - Both]&gt;</t>
        </r>
      </text>
    </comment>
    <comment ref="AE275" authorId="0" shapeId="0" xr:uid="{53A34E5F-86BE-4601-97B9-9F9768E1A66A}">
      <text>
        <r>
          <rPr>
            <b/>
            <sz val="9"/>
            <color indexed="81"/>
            <rFont val="Tahoma"/>
            <family val="2"/>
          </rPr>
          <t>&lt;[[DEVDeals] - [Associated TC Deal (Seq: 1)] - [TC Property Current Stage (Seq: 1)] - [Buildings (Seq: 85)] - [Buildings - User Defined Field Values (Seq: 1)] Building Info - Year Built - Both]&gt;</t>
        </r>
      </text>
    </comment>
    <comment ref="AF275" authorId="0" shapeId="0" xr:uid="{5927E125-7F4F-4898-9A78-307E431C0A30}">
      <text>
        <r>
          <rPr>
            <b/>
            <sz val="9"/>
            <color indexed="81"/>
            <rFont val="Tahoma"/>
            <family val="2"/>
          </rPr>
          <t>&lt;[[DEVDeals] - [Associated TC Deal (Seq: 1)] - [TC Property Current Stage (Seq: 1)] - [Buildings (Seq: 85)] - [Buildings - User Defined Field Values (Seq: 1)] Building Info - Building Type - Both]&gt;</t>
        </r>
      </text>
    </comment>
    <comment ref="AG275" authorId="0" shapeId="0" xr:uid="{5454F74D-60FE-4C37-A745-3EDCA688D030}">
      <text>
        <r>
          <rPr>
            <b/>
            <sz val="9"/>
            <color indexed="81"/>
            <rFont val="Tahoma"/>
            <family val="2"/>
          </rPr>
          <t>&lt;[[DEVDeals] - [Associated TC Deal (Seq: 1)] - [TC Property Current Stage (Seq: 1)] - [Buildings (Seq: 85)] Num Mkt Units - Both]&gt;</t>
        </r>
      </text>
    </comment>
    <comment ref="AH275" authorId="0" shapeId="0" xr:uid="{0342DE53-E711-400D-9F76-2FD35E52A394}">
      <text>
        <r>
          <rPr>
            <b/>
            <sz val="9"/>
            <color indexed="81"/>
            <rFont val="Tahoma"/>
            <family val="2"/>
          </rPr>
          <t>&lt;[[DEVDeals] - [Associated TC Deal (Seq: 1)] - [TC Property Current Stage (Seq: 1)] - [Buildings (Seq: 85)] - [Buildings - User Defined Field Values (Seq: 1)] Building Info - Date Last Placed in Service - Both]&gt;</t>
        </r>
      </text>
    </comment>
    <comment ref="AI275" authorId="0" shapeId="0" xr:uid="{32CFD3C8-5F52-45D8-8389-F167A95B4245}">
      <text>
        <r>
          <rPr>
            <b/>
            <sz val="9"/>
            <color indexed="81"/>
            <rFont val="Tahoma"/>
            <family val="2"/>
          </rPr>
          <t>&lt;[[DEVDeals] - [Associated TC Deal (Seq: 1)] - [TC Property Current Stage (Seq: 1)] - [Buildings (Seq: 85)] - [Buildings - User Defined Field Values (Seq: 1)] Building Info - Sponsor's Purchase Date - Both]&gt;</t>
        </r>
      </text>
    </comment>
    <comment ref="AJ275" authorId="0" shapeId="0" xr:uid="{EDAAD7CE-3995-4365-AB82-C69D1BDFD15F}">
      <text>
        <r>
          <rPr>
            <b/>
            <sz val="9"/>
            <color indexed="81"/>
            <rFont val="Tahoma"/>
            <family val="2"/>
          </rPr>
          <t>&lt;[[DEVDeals] - [Associated TC Deal (Seq: 1)] - [TC Property Current Stage (Seq: 1)] - [Buildings (Seq: 85)] - [Buildings - User Defined Field Values (Seq: 1)] Building Info - Years Between PIS &amp; Purchase Date - Both]&gt;</t>
        </r>
      </text>
    </comment>
    <comment ref="AK275" authorId="0" shapeId="0" xr:uid="{8FB2DB45-FF57-46C9-ABBD-3750083C19F0}">
      <text>
        <r>
          <rPr>
            <b/>
            <sz val="9"/>
            <color indexed="81"/>
            <rFont val="Tahoma"/>
            <family val="2"/>
          </rPr>
          <t>&lt;[[DEVDeals] - [Associated TC Deal (Seq: 1)] - [TC Property Current Stage (Seq: 1)] - [Buildings (Seq: 85)] Federal Minimum Set Aside Id - Both]&gt;</t>
        </r>
      </text>
    </comment>
    <comment ref="U276" authorId="0" shapeId="0" xr:uid="{F3CB31F3-55C9-4F3D-9626-59FE820CAC8F}">
      <text>
        <r>
          <rPr>
            <b/>
            <sz val="9"/>
            <color indexed="81"/>
            <rFont val="Tahoma"/>
            <family val="2"/>
          </rPr>
          <t>&lt;[[DEVDeals] - [Associated TC Deal (Seq: 1)] - [TC Property Current Stage (Seq: 1)] - [Buildings (Seq: 86)] Address 1 - Both]&gt;</t>
        </r>
      </text>
    </comment>
    <comment ref="V276" authorId="0" shapeId="0" xr:uid="{E7B38209-C4BF-4FA5-AFE7-929B743541B4}">
      <text>
        <r>
          <rPr>
            <b/>
            <sz val="9"/>
            <color indexed="81"/>
            <rFont val="Tahoma"/>
            <family val="2"/>
          </rPr>
          <t>&lt;[[DEVDeals] - [Associated TC Deal (Seq: 1)] - [TC Property Current Stage (Seq: 1)] - [Buildings (Seq: 86)] City - Both]&gt;</t>
        </r>
      </text>
    </comment>
    <comment ref="W276" authorId="0" shapeId="0" xr:uid="{5245E278-32A3-43C6-8B53-4EDF85E3EA6F}">
      <text>
        <r>
          <rPr>
            <b/>
            <sz val="9"/>
            <color indexed="81"/>
            <rFont val="Tahoma"/>
            <family val="2"/>
          </rPr>
          <t>&lt;[[DEVDeals] - [Associated TC Deal (Seq: 1)] - [TC Property Current Stage (Seq: 1)] - [Buildings (Seq: 86)] State - Both]&gt;</t>
        </r>
      </text>
    </comment>
    <comment ref="X276" authorId="0" shapeId="0" xr:uid="{DA982E85-271A-4265-9A40-FC739570509D}">
      <text>
        <r>
          <rPr>
            <b/>
            <sz val="9"/>
            <color indexed="81"/>
            <rFont val="Tahoma"/>
            <family val="2"/>
          </rPr>
          <t>&lt;[[DEVDeals] - [Associated TC Deal (Seq: 1)] - [TC Property Current Stage (Seq: 1)] - [Buildings (Seq: 86)] Zip Code - Both]&gt;</t>
        </r>
      </text>
    </comment>
    <comment ref="Y276" authorId="0" shapeId="0" xr:uid="{18FC1925-BF2B-4312-B767-F74BC2F65076}">
      <text>
        <r>
          <rPr>
            <b/>
            <sz val="9"/>
            <color indexed="81"/>
            <rFont val="Tahoma"/>
            <family val="2"/>
          </rPr>
          <t>&lt;[[DEVDeals] - [Associated TC Deal (Seq: 1)] - [TC Property Current Stage (Seq: 1)] - [Buildings (Seq: 86)] BIN - Both]&gt;</t>
        </r>
      </text>
    </comment>
    <comment ref="AA276" authorId="0" shapeId="0" xr:uid="{73DB67CD-4B1F-4872-9B1A-4735F2F1339C}">
      <text>
        <r>
          <rPr>
            <b/>
            <sz val="9"/>
            <color indexed="81"/>
            <rFont val="Tahoma"/>
            <family val="2"/>
          </rPr>
          <t>&lt;[[DEVDeals] - [Associated TC Deal (Seq: 1)] - [TC Property Current Stage (Seq: 1)] - [Buildings (Seq: 86)] Num TC Units - Both]&gt;</t>
        </r>
      </text>
    </comment>
    <comment ref="AB276" authorId="0" shapeId="0" xr:uid="{91EEECDA-DF9D-4787-BDB5-E63DDDE507C8}">
      <text>
        <r>
          <rPr>
            <b/>
            <sz val="9"/>
            <color indexed="81"/>
            <rFont val="Tahoma"/>
            <family val="2"/>
          </rPr>
          <t>&lt;[[DEVDeals] - [Associated TC Deal (Seq: 1)] - [TC Property Current Stage (Seq: 1)] - [Buildings (Seq: 86)] - [Buildings - User Defined Field Values (Seq: 1)] Building Info - Total Square Footage - Both]&gt;</t>
        </r>
      </text>
    </comment>
    <comment ref="AC276" authorId="0" shapeId="0" xr:uid="{8D23DE71-26B4-45B4-A893-CF2DC0076D2E}">
      <text>
        <r>
          <rPr>
            <b/>
            <sz val="9"/>
            <color indexed="81"/>
            <rFont val="Tahoma"/>
            <family val="2"/>
          </rPr>
          <t>&lt;[[DEVDeals] - [Associated TC Deal (Seq: 1)] - [TC Property Current Stage (Seq: 1)] - [Buildings (Seq: 86)] - [Buildings - User Defined Field Values (Seq: 1)] Building Info - Restricted Unit Square Footage - Both]&gt;</t>
        </r>
      </text>
    </comment>
    <comment ref="AD276" authorId="0" shapeId="0" xr:uid="{B6A95FFA-BFD6-47DF-A5A6-64499B9F66E4}">
      <text>
        <r>
          <rPr>
            <b/>
            <sz val="9"/>
            <color indexed="81"/>
            <rFont val="Tahoma"/>
            <family val="2"/>
          </rPr>
          <t>&lt;[[DEVDeals] - [Associated TC Deal (Seq: 1)] - [TC Property Current Stage (Seq: 1)] - [Buildings (Seq: 86)] Applicable Fraction - Both]&gt;</t>
        </r>
      </text>
    </comment>
    <comment ref="AE276" authorId="0" shapeId="0" xr:uid="{99F73EE6-A365-4F70-81B7-ECC047749868}">
      <text>
        <r>
          <rPr>
            <b/>
            <sz val="9"/>
            <color indexed="81"/>
            <rFont val="Tahoma"/>
            <family val="2"/>
          </rPr>
          <t>&lt;[[DEVDeals] - [Associated TC Deal (Seq: 1)] - [TC Property Current Stage (Seq: 1)] - [Buildings (Seq: 86)] - [Buildings - User Defined Field Values (Seq: 1)] Building Info - Year Built - Both]&gt;</t>
        </r>
      </text>
    </comment>
    <comment ref="AF276" authorId="0" shapeId="0" xr:uid="{F70E1DD0-CADF-49E4-9901-AE7F954FFADE}">
      <text>
        <r>
          <rPr>
            <b/>
            <sz val="9"/>
            <color indexed="81"/>
            <rFont val="Tahoma"/>
            <family val="2"/>
          </rPr>
          <t>&lt;[[DEVDeals] - [Associated TC Deal (Seq: 1)] - [TC Property Current Stage (Seq: 1)] - [Buildings (Seq: 86)] - [Buildings - User Defined Field Values (Seq: 1)] Building Info - Building Type - Both]&gt;</t>
        </r>
      </text>
    </comment>
    <comment ref="AG276" authorId="0" shapeId="0" xr:uid="{023C1739-4A4E-42ED-A15A-7E7DB1046423}">
      <text>
        <r>
          <rPr>
            <b/>
            <sz val="9"/>
            <color indexed="81"/>
            <rFont val="Tahoma"/>
            <family val="2"/>
          </rPr>
          <t>&lt;[[DEVDeals] - [Associated TC Deal (Seq: 1)] - [TC Property Current Stage (Seq: 1)] - [Buildings (Seq: 86)] Num Mkt Units - Both]&gt;</t>
        </r>
      </text>
    </comment>
    <comment ref="AH276" authorId="0" shapeId="0" xr:uid="{9A1F0558-4A1B-4103-A975-CD199D59D5C9}">
      <text>
        <r>
          <rPr>
            <b/>
            <sz val="9"/>
            <color indexed="81"/>
            <rFont val="Tahoma"/>
            <family val="2"/>
          </rPr>
          <t>&lt;[[DEVDeals] - [Associated TC Deal (Seq: 1)] - [TC Property Current Stage (Seq: 1)] - [Buildings (Seq: 86)] - [Buildings - User Defined Field Values (Seq: 1)] Building Info - Date Last Placed in Service - Both]&gt;</t>
        </r>
      </text>
    </comment>
    <comment ref="AI276" authorId="0" shapeId="0" xr:uid="{B41F39D1-5F46-4355-A8D9-C7D103B3FB84}">
      <text>
        <r>
          <rPr>
            <b/>
            <sz val="9"/>
            <color indexed="81"/>
            <rFont val="Tahoma"/>
            <family val="2"/>
          </rPr>
          <t>&lt;[[DEVDeals] - [Associated TC Deal (Seq: 1)] - [TC Property Current Stage (Seq: 1)] - [Buildings (Seq: 86)] - [Buildings - User Defined Field Values (Seq: 1)] Building Info - Sponsor's Purchase Date - Both]&gt;</t>
        </r>
      </text>
    </comment>
    <comment ref="AJ276" authorId="0" shapeId="0" xr:uid="{D0DDF01E-521C-4D22-9FE8-0CF5456503BC}">
      <text>
        <r>
          <rPr>
            <b/>
            <sz val="9"/>
            <color indexed="81"/>
            <rFont val="Tahoma"/>
            <family val="2"/>
          </rPr>
          <t>&lt;[[DEVDeals] - [Associated TC Deal (Seq: 1)] - [TC Property Current Stage (Seq: 1)] - [Buildings (Seq: 86)] - [Buildings - User Defined Field Values (Seq: 1)] Building Info - Years Between PIS &amp; Purchase Date - Both]&gt;</t>
        </r>
      </text>
    </comment>
    <comment ref="AK276" authorId="0" shapeId="0" xr:uid="{C4A7B56B-9D7D-49AC-AF00-194F3B417AA2}">
      <text>
        <r>
          <rPr>
            <b/>
            <sz val="9"/>
            <color indexed="81"/>
            <rFont val="Tahoma"/>
            <family val="2"/>
          </rPr>
          <t>&lt;[[DEVDeals] - [Associated TC Deal (Seq: 1)] - [TC Property Current Stage (Seq: 1)] - [Buildings (Seq: 86)] Federal Minimum Set Aside Id - Both]&gt;</t>
        </r>
      </text>
    </comment>
    <comment ref="U277" authorId="0" shapeId="0" xr:uid="{2F7FFDFE-6C46-493B-BE4F-02DA28763345}">
      <text>
        <r>
          <rPr>
            <b/>
            <sz val="9"/>
            <color indexed="81"/>
            <rFont val="Tahoma"/>
            <family val="2"/>
          </rPr>
          <t>&lt;[[DEVDeals] - [Associated TC Deal (Seq: 1)] - [TC Property Current Stage (Seq: 1)] - [Buildings (Seq: 87)] Address 1 - Both]&gt;</t>
        </r>
      </text>
    </comment>
    <comment ref="V277" authorId="0" shapeId="0" xr:uid="{99E4A671-6CAE-4638-B245-D5C1AA98BD11}">
      <text>
        <r>
          <rPr>
            <b/>
            <sz val="9"/>
            <color indexed="81"/>
            <rFont val="Tahoma"/>
            <family val="2"/>
          </rPr>
          <t>&lt;[[DEVDeals] - [Associated TC Deal (Seq: 1)] - [TC Property Current Stage (Seq: 1)] - [Buildings (Seq: 87)] City - Both]&gt;</t>
        </r>
      </text>
    </comment>
    <comment ref="W277" authorId="0" shapeId="0" xr:uid="{9CFFE24D-1295-4596-A85A-2CA7C8343FF7}">
      <text>
        <r>
          <rPr>
            <b/>
            <sz val="9"/>
            <color indexed="81"/>
            <rFont val="Tahoma"/>
            <family val="2"/>
          </rPr>
          <t>&lt;[[DEVDeals] - [Associated TC Deal (Seq: 1)] - [TC Property Current Stage (Seq: 1)] - [Buildings (Seq: 87)] State - Both]&gt;</t>
        </r>
      </text>
    </comment>
    <comment ref="X277" authorId="0" shapeId="0" xr:uid="{EC65D9D8-3654-4EE1-8AF8-531349FC6F7A}">
      <text>
        <r>
          <rPr>
            <b/>
            <sz val="9"/>
            <color indexed="81"/>
            <rFont val="Tahoma"/>
            <family val="2"/>
          </rPr>
          <t>&lt;[[DEVDeals] - [Associated TC Deal (Seq: 1)] - [TC Property Current Stage (Seq: 1)] - [Buildings (Seq: 87)] Zip Code - Both]&gt;</t>
        </r>
      </text>
    </comment>
    <comment ref="Y277" authorId="0" shapeId="0" xr:uid="{A3A72495-8D3F-42B8-89DB-F548A2113052}">
      <text>
        <r>
          <rPr>
            <b/>
            <sz val="9"/>
            <color indexed="81"/>
            <rFont val="Tahoma"/>
            <family val="2"/>
          </rPr>
          <t>&lt;[[DEVDeals] - [Associated TC Deal (Seq: 1)] - [TC Property Current Stage (Seq: 1)] - [Buildings (Seq: 87)] BIN - Both]&gt;</t>
        </r>
      </text>
    </comment>
    <comment ref="AA277" authorId="0" shapeId="0" xr:uid="{00C7AAB3-C326-44D4-9D9A-488B500479B5}">
      <text>
        <r>
          <rPr>
            <b/>
            <sz val="9"/>
            <color indexed="81"/>
            <rFont val="Tahoma"/>
            <family val="2"/>
          </rPr>
          <t>&lt;[[DEVDeals] - [Associated TC Deal (Seq: 1)] - [TC Property Current Stage (Seq: 1)] - [Buildings (Seq: 87)] Num TC Units - Both]&gt;</t>
        </r>
      </text>
    </comment>
    <comment ref="AB277" authorId="0" shapeId="0" xr:uid="{2E95D7A2-41E8-4683-8CFA-402C0E862ECF}">
      <text>
        <r>
          <rPr>
            <b/>
            <sz val="9"/>
            <color indexed="81"/>
            <rFont val="Tahoma"/>
            <family val="2"/>
          </rPr>
          <t>&lt;[[DEVDeals] - [Associated TC Deal (Seq: 1)] - [TC Property Current Stage (Seq: 1)] - [Buildings (Seq: 87)] - [Buildings - User Defined Field Values (Seq: 1)] Building Info - Total Square Footage - Both]&gt;</t>
        </r>
      </text>
    </comment>
    <comment ref="AC277" authorId="0" shapeId="0" xr:uid="{A9068CA2-C435-41A6-9C32-B00D163A4DD3}">
      <text>
        <r>
          <rPr>
            <b/>
            <sz val="9"/>
            <color indexed="81"/>
            <rFont val="Tahoma"/>
            <family val="2"/>
          </rPr>
          <t>&lt;[[DEVDeals] - [Associated TC Deal (Seq: 1)] - [TC Property Current Stage (Seq: 1)] - [Buildings (Seq: 87)] - [Buildings - User Defined Field Values (Seq: 1)] Building Info - Restricted Unit Square Footage - Both]&gt;</t>
        </r>
      </text>
    </comment>
    <comment ref="AD277" authorId="0" shapeId="0" xr:uid="{0B7C866A-E6EC-4148-896B-0420299F3CE3}">
      <text>
        <r>
          <rPr>
            <b/>
            <sz val="9"/>
            <color indexed="81"/>
            <rFont val="Tahoma"/>
            <family val="2"/>
          </rPr>
          <t>&lt;[[DEVDeals] - [Associated TC Deal (Seq: 1)] - [TC Property Current Stage (Seq: 1)] - [Buildings (Seq: 87)] Applicable Fraction - Both]&gt;</t>
        </r>
      </text>
    </comment>
    <comment ref="AE277" authorId="0" shapeId="0" xr:uid="{5765B8ED-1EE1-4653-896E-BD198C160179}">
      <text>
        <r>
          <rPr>
            <b/>
            <sz val="9"/>
            <color indexed="81"/>
            <rFont val="Tahoma"/>
            <family val="2"/>
          </rPr>
          <t>&lt;[[DEVDeals] - [Associated TC Deal (Seq: 1)] - [TC Property Current Stage (Seq: 1)] - [Buildings (Seq: 87)] - [Buildings - User Defined Field Values (Seq: 1)] Building Info - Year Built - Both]&gt;</t>
        </r>
      </text>
    </comment>
    <comment ref="AF277" authorId="0" shapeId="0" xr:uid="{56140F62-16A3-47F7-BC99-53977B151614}">
      <text>
        <r>
          <rPr>
            <b/>
            <sz val="9"/>
            <color indexed="81"/>
            <rFont val="Tahoma"/>
            <family val="2"/>
          </rPr>
          <t>&lt;[[DEVDeals] - [Associated TC Deal (Seq: 1)] - [TC Property Current Stage (Seq: 1)] - [Buildings (Seq: 87)] - [Buildings - User Defined Field Values (Seq: 1)] Building Info - Building Type - Both]&gt;</t>
        </r>
      </text>
    </comment>
    <comment ref="AG277" authorId="0" shapeId="0" xr:uid="{AA1CBFCB-F8EC-406C-AB78-70DBD62631C9}">
      <text>
        <r>
          <rPr>
            <b/>
            <sz val="9"/>
            <color indexed="81"/>
            <rFont val="Tahoma"/>
            <family val="2"/>
          </rPr>
          <t>&lt;[[DEVDeals] - [Associated TC Deal (Seq: 1)] - [TC Property Current Stage (Seq: 1)] - [Buildings (Seq: 87)] Num Mkt Units - Both]&gt;</t>
        </r>
      </text>
    </comment>
    <comment ref="AH277" authorId="0" shapeId="0" xr:uid="{BE2AAD99-5736-4E76-ACE3-85BDCD4FFA09}">
      <text>
        <r>
          <rPr>
            <b/>
            <sz val="9"/>
            <color indexed="81"/>
            <rFont val="Tahoma"/>
            <family val="2"/>
          </rPr>
          <t>&lt;[[DEVDeals] - [Associated TC Deal (Seq: 1)] - [TC Property Current Stage (Seq: 1)] - [Buildings (Seq: 87)] - [Buildings - User Defined Field Values (Seq: 1)] Building Info - Date Last Placed in Service - Both]&gt;</t>
        </r>
      </text>
    </comment>
    <comment ref="AI277" authorId="0" shapeId="0" xr:uid="{64765982-E0C5-4A0A-A82A-3FB703FB511C}">
      <text>
        <r>
          <rPr>
            <b/>
            <sz val="9"/>
            <color indexed="81"/>
            <rFont val="Tahoma"/>
            <family val="2"/>
          </rPr>
          <t>&lt;[[DEVDeals] - [Associated TC Deal (Seq: 1)] - [TC Property Current Stage (Seq: 1)] - [Buildings (Seq: 87)] - [Buildings - User Defined Field Values (Seq: 1)] Building Info - Sponsor's Purchase Date - Both]&gt;</t>
        </r>
      </text>
    </comment>
    <comment ref="AJ277" authorId="0" shapeId="0" xr:uid="{A00545DC-6FDA-4518-B560-2BCFEF236282}">
      <text>
        <r>
          <rPr>
            <b/>
            <sz val="9"/>
            <color indexed="81"/>
            <rFont val="Tahoma"/>
            <family val="2"/>
          </rPr>
          <t>&lt;[[DEVDeals] - [Associated TC Deal (Seq: 1)] - [TC Property Current Stage (Seq: 1)] - [Buildings (Seq: 87)] - [Buildings - User Defined Field Values (Seq: 1)] Building Info - Years Between PIS &amp; Purchase Date - Both]&gt;</t>
        </r>
      </text>
    </comment>
    <comment ref="AK277" authorId="0" shapeId="0" xr:uid="{297B4D7C-A490-4F60-9E71-5458B8E81C61}">
      <text>
        <r>
          <rPr>
            <b/>
            <sz val="9"/>
            <color indexed="81"/>
            <rFont val="Tahoma"/>
            <family val="2"/>
          </rPr>
          <t>&lt;[[DEVDeals] - [Associated TC Deal (Seq: 1)] - [TC Property Current Stage (Seq: 1)] - [Buildings (Seq: 87)] Federal Minimum Set Aside Id - Both]&gt;</t>
        </r>
      </text>
    </comment>
    <comment ref="U278" authorId="0" shapeId="0" xr:uid="{2A052745-02C5-422A-B108-EE92FA1157A2}">
      <text>
        <r>
          <rPr>
            <b/>
            <sz val="9"/>
            <color indexed="81"/>
            <rFont val="Tahoma"/>
            <family val="2"/>
          </rPr>
          <t>&lt;[[DEVDeals] - [Associated TC Deal (Seq: 1)] - [TC Property Current Stage (Seq: 1)] - [Buildings (Seq: 88)] Address 1 - Both]&gt;</t>
        </r>
      </text>
    </comment>
    <comment ref="V278" authorId="0" shapeId="0" xr:uid="{99950B47-1CB0-47DA-AB92-B8DC5D5F18EA}">
      <text>
        <r>
          <rPr>
            <b/>
            <sz val="9"/>
            <color indexed="81"/>
            <rFont val="Tahoma"/>
            <family val="2"/>
          </rPr>
          <t>&lt;[[DEVDeals] - [Associated TC Deal (Seq: 1)] - [TC Property Current Stage (Seq: 1)] - [Buildings (Seq: 88)] City - Both]&gt;</t>
        </r>
      </text>
    </comment>
    <comment ref="W278" authorId="0" shapeId="0" xr:uid="{3A196C23-4B92-4283-89B7-F84C421613BE}">
      <text>
        <r>
          <rPr>
            <b/>
            <sz val="9"/>
            <color indexed="81"/>
            <rFont val="Tahoma"/>
            <family val="2"/>
          </rPr>
          <t>&lt;[[DEVDeals] - [Associated TC Deal (Seq: 1)] - [TC Property Current Stage (Seq: 1)] - [Buildings (Seq: 88)] State - Both]&gt;</t>
        </r>
      </text>
    </comment>
    <comment ref="X278" authorId="0" shapeId="0" xr:uid="{817DF47C-9AA9-4086-B992-726B13A1826E}">
      <text>
        <r>
          <rPr>
            <b/>
            <sz val="9"/>
            <color indexed="81"/>
            <rFont val="Tahoma"/>
            <family val="2"/>
          </rPr>
          <t>&lt;[[DEVDeals] - [Associated TC Deal (Seq: 1)] - [TC Property Current Stage (Seq: 1)] - [Buildings (Seq: 88)] Zip Code - Both]&gt;</t>
        </r>
      </text>
    </comment>
    <comment ref="Y278" authorId="0" shapeId="0" xr:uid="{78EDAFC6-E954-4876-B5F4-37C5B0BB70DE}">
      <text>
        <r>
          <rPr>
            <b/>
            <sz val="9"/>
            <color indexed="81"/>
            <rFont val="Tahoma"/>
            <family val="2"/>
          </rPr>
          <t>&lt;[[DEVDeals] - [Associated TC Deal (Seq: 1)] - [TC Property Current Stage (Seq: 1)] - [Buildings (Seq: 88)] BIN - Both]&gt;</t>
        </r>
      </text>
    </comment>
    <comment ref="AA278" authorId="0" shapeId="0" xr:uid="{AEA23809-833E-4524-BD0C-22F5605B8722}">
      <text>
        <r>
          <rPr>
            <b/>
            <sz val="9"/>
            <color indexed="81"/>
            <rFont val="Tahoma"/>
            <family val="2"/>
          </rPr>
          <t>&lt;[[DEVDeals] - [Associated TC Deal (Seq: 1)] - [TC Property Current Stage (Seq: 1)] - [Buildings (Seq: 88)] Num TC Units - Both]&gt;</t>
        </r>
      </text>
    </comment>
    <comment ref="AB278" authorId="0" shapeId="0" xr:uid="{9CBDC0A7-3ABA-44E2-9C45-B24B069507CA}">
      <text>
        <r>
          <rPr>
            <b/>
            <sz val="9"/>
            <color indexed="81"/>
            <rFont val="Tahoma"/>
            <family val="2"/>
          </rPr>
          <t>&lt;[[DEVDeals] - [Associated TC Deal (Seq: 1)] - [TC Property Current Stage (Seq: 1)] - [Buildings (Seq: 88)] - [Buildings - User Defined Field Values (Seq: 1)] Building Info - Total Square Footage - Both]&gt;</t>
        </r>
      </text>
    </comment>
    <comment ref="AC278" authorId="0" shapeId="0" xr:uid="{1EDC7BBA-1A0D-450F-9301-D9B04CA76994}">
      <text>
        <r>
          <rPr>
            <b/>
            <sz val="9"/>
            <color indexed="81"/>
            <rFont val="Tahoma"/>
            <family val="2"/>
          </rPr>
          <t>&lt;[[DEVDeals] - [Associated TC Deal (Seq: 1)] - [TC Property Current Stage (Seq: 1)] - [Buildings (Seq: 88)] - [Buildings - User Defined Field Values (Seq: 1)] Building Info - Restricted Unit Square Footage - Both]&gt;</t>
        </r>
      </text>
    </comment>
    <comment ref="AD278" authorId="0" shapeId="0" xr:uid="{63C14026-5D48-40E9-A14E-6BE5349AF9E5}">
      <text>
        <r>
          <rPr>
            <b/>
            <sz val="9"/>
            <color indexed="81"/>
            <rFont val="Tahoma"/>
            <family val="2"/>
          </rPr>
          <t>&lt;[[DEVDeals] - [Associated TC Deal (Seq: 1)] - [TC Property Current Stage (Seq: 1)] - [Buildings (Seq: 88)] Applicable Fraction - Both]&gt;</t>
        </r>
      </text>
    </comment>
    <comment ref="AE278" authorId="0" shapeId="0" xr:uid="{73D8612B-8A09-4F12-9594-EFBE923D28B9}">
      <text>
        <r>
          <rPr>
            <b/>
            <sz val="9"/>
            <color indexed="81"/>
            <rFont val="Tahoma"/>
            <family val="2"/>
          </rPr>
          <t>&lt;[[DEVDeals] - [Associated TC Deal (Seq: 1)] - [TC Property Current Stage (Seq: 1)] - [Buildings (Seq: 88)] - [Buildings - User Defined Field Values (Seq: 1)] Building Info - Year Built - Both]&gt;</t>
        </r>
      </text>
    </comment>
    <comment ref="AF278" authorId="0" shapeId="0" xr:uid="{AE7E0EC2-A991-4C80-867C-CC445D1DA0E3}">
      <text>
        <r>
          <rPr>
            <b/>
            <sz val="9"/>
            <color indexed="81"/>
            <rFont val="Tahoma"/>
            <family val="2"/>
          </rPr>
          <t>&lt;[[DEVDeals] - [Associated TC Deal (Seq: 1)] - [TC Property Current Stage (Seq: 1)] - [Buildings (Seq: 88)] - [Buildings - User Defined Field Values (Seq: 1)] Building Info - Building Type - Both]&gt;</t>
        </r>
      </text>
    </comment>
    <comment ref="AG278" authorId="0" shapeId="0" xr:uid="{20CC6403-A47B-4492-B81D-586D7304BE59}">
      <text>
        <r>
          <rPr>
            <b/>
            <sz val="9"/>
            <color indexed="81"/>
            <rFont val="Tahoma"/>
            <family val="2"/>
          </rPr>
          <t>&lt;[[DEVDeals] - [Associated TC Deal (Seq: 1)] - [TC Property Current Stage (Seq: 1)] - [Buildings (Seq: 88)] Num Mkt Units - Both]&gt;</t>
        </r>
      </text>
    </comment>
    <comment ref="AH278" authorId="0" shapeId="0" xr:uid="{95D74266-CBF6-4BEB-A8DE-EE4AEC102D73}">
      <text>
        <r>
          <rPr>
            <b/>
            <sz val="9"/>
            <color indexed="81"/>
            <rFont val="Tahoma"/>
            <family val="2"/>
          </rPr>
          <t>&lt;[[DEVDeals] - [Associated TC Deal (Seq: 1)] - [TC Property Current Stage (Seq: 1)] - [Buildings (Seq: 88)] - [Buildings - User Defined Field Values (Seq: 1)] Building Info - Date Last Placed in Service - Both]&gt;</t>
        </r>
      </text>
    </comment>
    <comment ref="AI278" authorId="0" shapeId="0" xr:uid="{16BAC419-7CBE-441B-ACBC-B897183F71F9}">
      <text>
        <r>
          <rPr>
            <b/>
            <sz val="9"/>
            <color indexed="81"/>
            <rFont val="Tahoma"/>
            <family val="2"/>
          </rPr>
          <t>&lt;[[DEVDeals] - [Associated TC Deal (Seq: 1)] - [TC Property Current Stage (Seq: 1)] - [Buildings (Seq: 88)] - [Buildings - User Defined Field Values (Seq: 1)] Building Info - Sponsor's Purchase Date - Both]&gt;</t>
        </r>
      </text>
    </comment>
    <comment ref="AJ278" authorId="0" shapeId="0" xr:uid="{9C62B98E-3778-4109-87FC-3ED1DAFC14E8}">
      <text>
        <r>
          <rPr>
            <b/>
            <sz val="9"/>
            <color indexed="81"/>
            <rFont val="Tahoma"/>
            <family val="2"/>
          </rPr>
          <t>&lt;[[DEVDeals] - [Associated TC Deal (Seq: 1)] - [TC Property Current Stage (Seq: 1)] - [Buildings (Seq: 88)] - [Buildings - User Defined Field Values (Seq: 1)] Building Info - Years Between PIS &amp; Purchase Date - Both]&gt;</t>
        </r>
      </text>
    </comment>
    <comment ref="AK278" authorId="0" shapeId="0" xr:uid="{838E9AAF-C177-49BF-8101-782D3A93703F}">
      <text>
        <r>
          <rPr>
            <b/>
            <sz val="9"/>
            <color indexed="81"/>
            <rFont val="Tahoma"/>
            <family val="2"/>
          </rPr>
          <t>&lt;[[DEVDeals] - [Associated TC Deal (Seq: 1)] - [TC Property Current Stage (Seq: 1)] - [Buildings (Seq: 88)] Federal Minimum Set Aside Id - Both]&gt;</t>
        </r>
      </text>
    </comment>
    <comment ref="U279" authorId="0" shapeId="0" xr:uid="{3DC20721-0021-479A-9590-E8D5E52C357E}">
      <text>
        <r>
          <rPr>
            <b/>
            <sz val="9"/>
            <color indexed="81"/>
            <rFont val="Tahoma"/>
            <family val="2"/>
          </rPr>
          <t>&lt;[[DEVDeals] - [Associated TC Deal (Seq: 1)] - [TC Property Current Stage (Seq: 1)] - [Buildings (Seq: 89)] Address 1 - Both]&gt;</t>
        </r>
      </text>
    </comment>
    <comment ref="V279" authorId="0" shapeId="0" xr:uid="{EF3400C2-B752-417C-A734-7393CC0FBA8D}">
      <text>
        <r>
          <rPr>
            <b/>
            <sz val="9"/>
            <color indexed="81"/>
            <rFont val="Tahoma"/>
            <family val="2"/>
          </rPr>
          <t>&lt;[[DEVDeals] - [Associated TC Deal (Seq: 1)] - [TC Property Current Stage (Seq: 1)] - [Buildings (Seq: 89)] City - Both]&gt;</t>
        </r>
      </text>
    </comment>
    <comment ref="W279" authorId="0" shapeId="0" xr:uid="{D6FE2919-17C7-4D86-AF99-9E7F714D4D19}">
      <text>
        <r>
          <rPr>
            <b/>
            <sz val="9"/>
            <color indexed="81"/>
            <rFont val="Tahoma"/>
            <family val="2"/>
          </rPr>
          <t>&lt;[[DEVDeals] - [Associated TC Deal (Seq: 1)] - [TC Property Current Stage (Seq: 1)] - [Buildings (Seq: 89)] State - Both]&gt;</t>
        </r>
      </text>
    </comment>
    <comment ref="X279" authorId="0" shapeId="0" xr:uid="{3F01CCF3-93C9-44B0-8259-E1C852115AE6}">
      <text>
        <r>
          <rPr>
            <b/>
            <sz val="9"/>
            <color indexed="81"/>
            <rFont val="Tahoma"/>
            <family val="2"/>
          </rPr>
          <t>&lt;[[DEVDeals] - [Associated TC Deal (Seq: 1)] - [TC Property Current Stage (Seq: 1)] - [Buildings (Seq: 89)] Zip Code - Both]&gt;</t>
        </r>
      </text>
    </comment>
    <comment ref="Y279" authorId="0" shapeId="0" xr:uid="{86C9EBF6-B831-49DB-BEE5-1EE484D5F9B3}">
      <text>
        <r>
          <rPr>
            <b/>
            <sz val="9"/>
            <color indexed="81"/>
            <rFont val="Tahoma"/>
            <family val="2"/>
          </rPr>
          <t>&lt;[[DEVDeals] - [Associated TC Deal (Seq: 1)] - [TC Property Current Stage (Seq: 1)] - [Buildings (Seq: 89)] BIN - Both]&gt;</t>
        </r>
      </text>
    </comment>
    <comment ref="AA279" authorId="0" shapeId="0" xr:uid="{2F79BB44-78AC-44A0-8375-6016D9CB29C9}">
      <text>
        <r>
          <rPr>
            <b/>
            <sz val="9"/>
            <color indexed="81"/>
            <rFont val="Tahoma"/>
            <family val="2"/>
          </rPr>
          <t>&lt;[[DEVDeals] - [Associated TC Deal (Seq: 1)] - [TC Property Current Stage (Seq: 1)] - [Buildings (Seq: 89)] Num TC Units - Both]&gt;</t>
        </r>
      </text>
    </comment>
    <comment ref="AB279" authorId="0" shapeId="0" xr:uid="{53B0008B-C828-494B-B462-2DE06791DC9A}">
      <text>
        <r>
          <rPr>
            <b/>
            <sz val="9"/>
            <color indexed="81"/>
            <rFont val="Tahoma"/>
            <family val="2"/>
          </rPr>
          <t>&lt;[[DEVDeals] - [Associated TC Deal (Seq: 1)] - [TC Property Current Stage (Seq: 1)] - [Buildings (Seq: 89)] - [Buildings - User Defined Field Values (Seq: 1)] Building Info - Total Square Footage - Both]&gt;</t>
        </r>
      </text>
    </comment>
    <comment ref="AC279" authorId="0" shapeId="0" xr:uid="{E127FE26-4247-45D4-B20E-615C4D3A2598}">
      <text>
        <r>
          <rPr>
            <b/>
            <sz val="9"/>
            <color indexed="81"/>
            <rFont val="Tahoma"/>
            <family val="2"/>
          </rPr>
          <t>&lt;[[DEVDeals] - [Associated TC Deal (Seq: 1)] - [TC Property Current Stage (Seq: 1)] - [Buildings (Seq: 89)] - [Buildings - User Defined Field Values (Seq: 1)] Building Info - Restricted Unit Square Footage - Both]&gt;</t>
        </r>
      </text>
    </comment>
    <comment ref="AD279" authorId="0" shapeId="0" xr:uid="{AD79F1E3-0D4B-4A86-BE05-D567F5F64089}">
      <text>
        <r>
          <rPr>
            <b/>
            <sz val="9"/>
            <color indexed="81"/>
            <rFont val="Tahoma"/>
            <family val="2"/>
          </rPr>
          <t>&lt;[[DEVDeals] - [Associated TC Deal (Seq: 1)] - [TC Property Current Stage (Seq: 1)] - [Buildings (Seq: 89)] Applicable Fraction - Both]&gt;</t>
        </r>
      </text>
    </comment>
    <comment ref="AE279" authorId="0" shapeId="0" xr:uid="{A64940B1-2A74-4779-9E37-D1077BDC68F0}">
      <text>
        <r>
          <rPr>
            <b/>
            <sz val="9"/>
            <color indexed="81"/>
            <rFont val="Tahoma"/>
            <family val="2"/>
          </rPr>
          <t>&lt;[[DEVDeals] - [Associated TC Deal (Seq: 1)] - [TC Property Current Stage (Seq: 1)] - [Buildings (Seq: 89)] - [Buildings - User Defined Field Values (Seq: 1)] Building Info - Year Built - Both]&gt;</t>
        </r>
      </text>
    </comment>
    <comment ref="AF279" authorId="0" shapeId="0" xr:uid="{A1D2A792-D150-4D3B-AC5C-A8BEA45325D2}">
      <text>
        <r>
          <rPr>
            <b/>
            <sz val="9"/>
            <color indexed="81"/>
            <rFont val="Tahoma"/>
            <family val="2"/>
          </rPr>
          <t>&lt;[[DEVDeals] - [Associated TC Deal (Seq: 1)] - [TC Property Current Stage (Seq: 1)] - [Buildings (Seq: 89)] - [Buildings - User Defined Field Values (Seq: 1)] Building Info - Building Type - Both]&gt;</t>
        </r>
      </text>
    </comment>
    <comment ref="AG279" authorId="0" shapeId="0" xr:uid="{256BEE5C-18DD-4E8B-89F4-8CBC2BD20058}">
      <text>
        <r>
          <rPr>
            <b/>
            <sz val="9"/>
            <color indexed="81"/>
            <rFont val="Tahoma"/>
            <family val="2"/>
          </rPr>
          <t>&lt;[[DEVDeals] - [Associated TC Deal (Seq: 1)] - [TC Property Current Stage (Seq: 1)] - [Buildings (Seq: 89)] Num Mkt Units - Both]&gt;</t>
        </r>
      </text>
    </comment>
    <comment ref="AH279" authorId="0" shapeId="0" xr:uid="{59004B33-2E5E-401A-ADE1-64FBE08E46E1}">
      <text>
        <r>
          <rPr>
            <b/>
            <sz val="9"/>
            <color indexed="81"/>
            <rFont val="Tahoma"/>
            <family val="2"/>
          </rPr>
          <t>&lt;[[DEVDeals] - [Associated TC Deal (Seq: 1)] - [TC Property Current Stage (Seq: 1)] - [Buildings (Seq: 89)] - [Buildings - User Defined Field Values (Seq: 1)] Building Info - Date Last Placed in Service - Both]&gt;</t>
        </r>
      </text>
    </comment>
    <comment ref="AI279" authorId="0" shapeId="0" xr:uid="{7B27E1EB-1EFB-48C3-AEA9-8DC373A91AC6}">
      <text>
        <r>
          <rPr>
            <b/>
            <sz val="9"/>
            <color indexed="81"/>
            <rFont val="Tahoma"/>
            <family val="2"/>
          </rPr>
          <t>&lt;[[DEVDeals] - [Associated TC Deal (Seq: 1)] - [TC Property Current Stage (Seq: 1)] - [Buildings (Seq: 89)] - [Buildings - User Defined Field Values (Seq: 1)] Building Info - Sponsor's Purchase Date - Both]&gt;</t>
        </r>
      </text>
    </comment>
    <comment ref="AJ279" authorId="0" shapeId="0" xr:uid="{D1CB5E9B-9A0E-4947-B64C-683D9DEFFD95}">
      <text>
        <r>
          <rPr>
            <b/>
            <sz val="9"/>
            <color indexed="81"/>
            <rFont val="Tahoma"/>
            <family val="2"/>
          </rPr>
          <t>&lt;[[DEVDeals] - [Associated TC Deal (Seq: 1)] - [TC Property Current Stage (Seq: 1)] - [Buildings (Seq: 89)] - [Buildings - User Defined Field Values (Seq: 1)] Building Info - Years Between PIS &amp; Purchase Date - Both]&gt;</t>
        </r>
      </text>
    </comment>
    <comment ref="AK279" authorId="0" shapeId="0" xr:uid="{12999763-6A71-48E8-AD77-8EDFAF881D77}">
      <text>
        <r>
          <rPr>
            <b/>
            <sz val="9"/>
            <color indexed="81"/>
            <rFont val="Tahoma"/>
            <family val="2"/>
          </rPr>
          <t>&lt;[[DEVDeals] - [Associated TC Deal (Seq: 1)] - [TC Property Current Stage (Seq: 1)] - [Buildings (Seq: 89)] Federal Minimum Set Aside Id - Both]&gt;</t>
        </r>
      </text>
    </comment>
    <comment ref="U280" authorId="0" shapeId="0" xr:uid="{02E6950E-01E5-4A74-8AC7-38228EA1872E}">
      <text>
        <r>
          <rPr>
            <b/>
            <sz val="9"/>
            <color indexed="81"/>
            <rFont val="Tahoma"/>
            <family val="2"/>
          </rPr>
          <t>&lt;[[DEVDeals] - [Associated TC Deal (Seq: 1)] - [TC Property Current Stage (Seq: 1)] - [Buildings (Seq: 90)] Address 1 - Both]&gt;</t>
        </r>
      </text>
    </comment>
    <comment ref="V280" authorId="0" shapeId="0" xr:uid="{F98C5676-EAD5-40B6-8510-6A245BA0A871}">
      <text>
        <r>
          <rPr>
            <b/>
            <sz val="9"/>
            <color indexed="81"/>
            <rFont val="Tahoma"/>
            <family val="2"/>
          </rPr>
          <t>&lt;[[DEVDeals] - [Associated TC Deal (Seq: 1)] - [TC Property Current Stage (Seq: 1)] - [Buildings (Seq: 90)] City - Both]&gt;</t>
        </r>
      </text>
    </comment>
    <comment ref="W280" authorId="0" shapeId="0" xr:uid="{28E0F1E6-D14D-4DD5-B433-0149DB37388A}">
      <text>
        <r>
          <rPr>
            <b/>
            <sz val="9"/>
            <color indexed="81"/>
            <rFont val="Tahoma"/>
            <family val="2"/>
          </rPr>
          <t>&lt;[[DEVDeals] - [Associated TC Deal (Seq: 1)] - [TC Property Current Stage (Seq: 1)] - [Buildings (Seq: 90)] State - Both]&gt;</t>
        </r>
      </text>
    </comment>
    <comment ref="X280" authorId="0" shapeId="0" xr:uid="{C2C419E6-6CE3-4372-B4AE-F7240EF40A8F}">
      <text>
        <r>
          <rPr>
            <b/>
            <sz val="9"/>
            <color indexed="81"/>
            <rFont val="Tahoma"/>
            <family val="2"/>
          </rPr>
          <t>&lt;[[DEVDeals] - [Associated TC Deal (Seq: 1)] - [TC Property Current Stage (Seq: 1)] - [Buildings (Seq: 90)] Zip Code - Both]&gt;</t>
        </r>
      </text>
    </comment>
    <comment ref="Y280" authorId="0" shapeId="0" xr:uid="{B2B94E22-9CA4-4970-8207-208A2A898526}">
      <text>
        <r>
          <rPr>
            <b/>
            <sz val="9"/>
            <color indexed="81"/>
            <rFont val="Tahoma"/>
            <family val="2"/>
          </rPr>
          <t>&lt;[[DEVDeals] - [Associated TC Deal (Seq: 1)] - [TC Property Current Stage (Seq: 1)] - [Buildings (Seq: 90)] BIN - Both]&gt;</t>
        </r>
      </text>
    </comment>
    <comment ref="AA280" authorId="0" shapeId="0" xr:uid="{3C2860C8-37C7-49E2-8968-92CC55849F3E}">
      <text>
        <r>
          <rPr>
            <b/>
            <sz val="9"/>
            <color indexed="81"/>
            <rFont val="Tahoma"/>
            <family val="2"/>
          </rPr>
          <t>&lt;[[DEVDeals] - [Associated TC Deal (Seq: 1)] - [TC Property Current Stage (Seq: 1)] - [Buildings (Seq: 90)] Num TC Units - Both]&gt;</t>
        </r>
      </text>
    </comment>
    <comment ref="AB280" authorId="0" shapeId="0" xr:uid="{1BD5B3AF-0DFB-4C98-8C65-AE6FC13865B0}">
      <text>
        <r>
          <rPr>
            <b/>
            <sz val="9"/>
            <color indexed="81"/>
            <rFont val="Tahoma"/>
            <family val="2"/>
          </rPr>
          <t>&lt;[[DEVDeals] - [Associated TC Deal (Seq: 1)] - [TC Property Current Stage (Seq: 1)] - [Buildings (Seq: 90)] - [Buildings - User Defined Field Values (Seq: 1)] Building Info - Total Square Footage - Both]&gt;</t>
        </r>
      </text>
    </comment>
    <comment ref="AC280" authorId="0" shapeId="0" xr:uid="{5E7645B3-3A65-4040-8699-856D7357DE9E}">
      <text>
        <r>
          <rPr>
            <b/>
            <sz val="9"/>
            <color indexed="81"/>
            <rFont val="Tahoma"/>
            <family val="2"/>
          </rPr>
          <t>&lt;[[DEVDeals] - [Associated TC Deal (Seq: 1)] - [TC Property Current Stage (Seq: 1)] - [Buildings (Seq: 90)] - [Buildings - User Defined Field Values (Seq: 1)] Building Info - Restricted Unit Square Footage - Both]&gt;</t>
        </r>
      </text>
    </comment>
    <comment ref="AD280" authorId="0" shapeId="0" xr:uid="{3BECEC51-5E3B-46A8-A13E-C09A24B69BFB}">
      <text>
        <r>
          <rPr>
            <b/>
            <sz val="9"/>
            <color indexed="81"/>
            <rFont val="Tahoma"/>
            <family val="2"/>
          </rPr>
          <t>&lt;[[DEVDeals] - [Associated TC Deal (Seq: 1)] - [TC Property Current Stage (Seq: 1)] - [Buildings (Seq: 90)] Applicable Fraction - Both]&gt;</t>
        </r>
      </text>
    </comment>
    <comment ref="AE280" authorId="0" shapeId="0" xr:uid="{3967CDB2-3316-4035-A03F-3ABB02AFED1E}">
      <text>
        <r>
          <rPr>
            <b/>
            <sz val="9"/>
            <color indexed="81"/>
            <rFont val="Tahoma"/>
            <family val="2"/>
          </rPr>
          <t>&lt;[[DEVDeals] - [Associated TC Deal (Seq: 1)] - [TC Property Current Stage (Seq: 1)] - [Buildings (Seq: 90)] - [Buildings - User Defined Field Values (Seq: 1)] Building Info - Year Built - Both]&gt;</t>
        </r>
      </text>
    </comment>
    <comment ref="AF280" authorId="0" shapeId="0" xr:uid="{EACEC168-FC5D-41B9-AAD0-73BC92D7E2BA}">
      <text>
        <r>
          <rPr>
            <b/>
            <sz val="9"/>
            <color indexed="81"/>
            <rFont val="Tahoma"/>
            <family val="2"/>
          </rPr>
          <t>&lt;[[DEVDeals] - [Associated TC Deal (Seq: 1)] - [TC Property Current Stage (Seq: 1)] - [Buildings (Seq: 90)] - [Buildings - User Defined Field Values (Seq: 1)] Building Info - Building Type - Both]&gt;</t>
        </r>
      </text>
    </comment>
    <comment ref="AG280" authorId="0" shapeId="0" xr:uid="{A7C347B1-3DA7-4C2A-8763-B8869E9F4E09}">
      <text>
        <r>
          <rPr>
            <b/>
            <sz val="9"/>
            <color indexed="81"/>
            <rFont val="Tahoma"/>
            <family val="2"/>
          </rPr>
          <t>&lt;[[DEVDeals] - [Associated TC Deal (Seq: 1)] - [TC Property Current Stage (Seq: 1)] - [Buildings (Seq: 90)] Num Mkt Units - Both]&gt;</t>
        </r>
      </text>
    </comment>
    <comment ref="AH280" authorId="0" shapeId="0" xr:uid="{B04074DB-F550-4E36-B0CC-4CF57D6E7DC2}">
      <text>
        <r>
          <rPr>
            <b/>
            <sz val="9"/>
            <color indexed="81"/>
            <rFont val="Tahoma"/>
            <family val="2"/>
          </rPr>
          <t>&lt;[[DEVDeals] - [Associated TC Deal (Seq: 1)] - [TC Property Current Stage (Seq: 1)] - [Buildings (Seq: 90)] - [Buildings - User Defined Field Values (Seq: 1)] Building Info - Date Last Placed in Service - Both]&gt;</t>
        </r>
      </text>
    </comment>
    <comment ref="AI280" authorId="0" shapeId="0" xr:uid="{E048ABF6-6D0E-44E9-8C38-9B078D816D40}">
      <text>
        <r>
          <rPr>
            <b/>
            <sz val="9"/>
            <color indexed="81"/>
            <rFont val="Tahoma"/>
            <family val="2"/>
          </rPr>
          <t>&lt;[[DEVDeals] - [Associated TC Deal (Seq: 1)] - [TC Property Current Stage (Seq: 1)] - [Buildings (Seq: 90)] - [Buildings - User Defined Field Values (Seq: 1)] Building Info - Sponsor's Purchase Date - Both]&gt;</t>
        </r>
      </text>
    </comment>
    <comment ref="AJ280" authorId="0" shapeId="0" xr:uid="{10A70A10-C692-4C03-9285-6C3626D92871}">
      <text>
        <r>
          <rPr>
            <b/>
            <sz val="9"/>
            <color indexed="81"/>
            <rFont val="Tahoma"/>
            <family val="2"/>
          </rPr>
          <t>&lt;[[DEVDeals] - [Associated TC Deal (Seq: 1)] - [TC Property Current Stage (Seq: 1)] - [Buildings (Seq: 90)] - [Buildings - User Defined Field Values (Seq: 1)] Building Info - Years Between PIS &amp; Purchase Date - Both]&gt;</t>
        </r>
      </text>
    </comment>
    <comment ref="AK280" authorId="0" shapeId="0" xr:uid="{4BCEDAF6-F891-48B1-937B-FD45A1FF1D12}">
      <text>
        <r>
          <rPr>
            <b/>
            <sz val="9"/>
            <color indexed="81"/>
            <rFont val="Tahoma"/>
            <family val="2"/>
          </rPr>
          <t>&lt;[[DEVDeals] - [Associated TC Deal (Seq: 1)] - [TC Property Current Stage (Seq: 1)] - [Buildings (Seq: 90)] Federal Minimum Set Aside Id - Both]&gt;</t>
        </r>
      </text>
    </comment>
    <comment ref="U281" authorId="0" shapeId="0" xr:uid="{7F19EE02-4B3C-465A-A328-6477041A780A}">
      <text>
        <r>
          <rPr>
            <b/>
            <sz val="9"/>
            <color indexed="81"/>
            <rFont val="Tahoma"/>
            <family val="2"/>
          </rPr>
          <t>&lt;[[DEVDeals] - [Associated TC Deal (Seq: 1)] - [TC Property Current Stage (Seq: 1)] - [Buildings (Seq: 91)] Address 1 - Both]&gt;</t>
        </r>
      </text>
    </comment>
    <comment ref="V281" authorId="0" shapeId="0" xr:uid="{C2AB27BF-7724-4ADA-863D-BB76F54AA18D}">
      <text>
        <r>
          <rPr>
            <b/>
            <sz val="9"/>
            <color indexed="81"/>
            <rFont val="Tahoma"/>
            <family val="2"/>
          </rPr>
          <t>&lt;[[DEVDeals] - [Associated TC Deal (Seq: 1)] - [TC Property Current Stage (Seq: 1)] - [Buildings (Seq: 91)] City - Both]&gt;</t>
        </r>
      </text>
    </comment>
    <comment ref="W281" authorId="0" shapeId="0" xr:uid="{DFFB1CCB-8D23-4897-BB20-FA7C4109A87C}">
      <text>
        <r>
          <rPr>
            <b/>
            <sz val="9"/>
            <color indexed="81"/>
            <rFont val="Tahoma"/>
            <family val="2"/>
          </rPr>
          <t>&lt;[[DEVDeals] - [Associated TC Deal (Seq: 1)] - [TC Property Current Stage (Seq: 1)] - [Buildings (Seq: 91)] State - Both]&gt;</t>
        </r>
      </text>
    </comment>
    <comment ref="X281" authorId="0" shapeId="0" xr:uid="{C2F9EB9B-8CC0-4C46-8285-19ECDED8BED9}">
      <text>
        <r>
          <rPr>
            <b/>
            <sz val="9"/>
            <color indexed="81"/>
            <rFont val="Tahoma"/>
            <family val="2"/>
          </rPr>
          <t>&lt;[[DEVDeals] - [Associated TC Deal (Seq: 1)] - [TC Property Current Stage (Seq: 1)] - [Buildings (Seq: 91)] Zip Code - Both]&gt;</t>
        </r>
      </text>
    </comment>
    <comment ref="Y281" authorId="0" shapeId="0" xr:uid="{13AAD09C-E55C-4E95-B16D-3FE750A917FE}">
      <text>
        <r>
          <rPr>
            <b/>
            <sz val="9"/>
            <color indexed="81"/>
            <rFont val="Tahoma"/>
            <family val="2"/>
          </rPr>
          <t>&lt;[[DEVDeals] - [Associated TC Deal (Seq: 1)] - [TC Property Current Stage (Seq: 1)] - [Buildings (Seq: 91)] BIN - Both]&gt;</t>
        </r>
      </text>
    </comment>
    <comment ref="AA281" authorId="0" shapeId="0" xr:uid="{34C83681-873C-4618-BD12-BA1FCF0706D3}">
      <text>
        <r>
          <rPr>
            <b/>
            <sz val="9"/>
            <color indexed="81"/>
            <rFont val="Tahoma"/>
            <family val="2"/>
          </rPr>
          <t>&lt;[[DEVDeals] - [Associated TC Deal (Seq: 1)] - [TC Property Current Stage (Seq: 1)] - [Buildings (Seq: 91)] Num TC Units - Both]&gt;</t>
        </r>
      </text>
    </comment>
    <comment ref="AB281" authorId="0" shapeId="0" xr:uid="{B8BB7C25-EDE6-47C7-A7AC-C4DC36319DA7}">
      <text>
        <r>
          <rPr>
            <b/>
            <sz val="9"/>
            <color indexed="81"/>
            <rFont val="Tahoma"/>
            <family val="2"/>
          </rPr>
          <t>&lt;[[DEVDeals] - [Associated TC Deal (Seq: 1)] - [TC Property Current Stage (Seq: 1)] - [Buildings (Seq: 91)] - [Buildings - User Defined Field Values (Seq: 1)] Building Info - Total Square Footage - Both]&gt;</t>
        </r>
      </text>
    </comment>
    <comment ref="AC281" authorId="0" shapeId="0" xr:uid="{C0971606-FC47-4174-AAB3-D4F3C00BE610}">
      <text>
        <r>
          <rPr>
            <b/>
            <sz val="9"/>
            <color indexed="81"/>
            <rFont val="Tahoma"/>
            <family val="2"/>
          </rPr>
          <t>&lt;[[DEVDeals] - [Associated TC Deal (Seq: 1)] - [TC Property Current Stage (Seq: 1)] - [Buildings (Seq: 91)] - [Buildings - User Defined Field Values (Seq: 1)] Building Info - Restricted Unit Square Footage - Both]&gt;</t>
        </r>
      </text>
    </comment>
    <comment ref="AD281" authorId="0" shapeId="0" xr:uid="{EBEF1BF1-F3B9-4F8A-976B-D2F76B9CB742}">
      <text>
        <r>
          <rPr>
            <b/>
            <sz val="9"/>
            <color indexed="81"/>
            <rFont val="Tahoma"/>
            <family val="2"/>
          </rPr>
          <t>&lt;[[DEVDeals] - [Associated TC Deal (Seq: 1)] - [TC Property Current Stage (Seq: 1)] - [Buildings (Seq: 91)] Applicable Fraction - Both]&gt;</t>
        </r>
      </text>
    </comment>
    <comment ref="AE281" authorId="0" shapeId="0" xr:uid="{1015C484-B1B6-4744-AF06-B8D4D5C8C62B}">
      <text>
        <r>
          <rPr>
            <b/>
            <sz val="9"/>
            <color indexed="81"/>
            <rFont val="Tahoma"/>
            <family val="2"/>
          </rPr>
          <t>&lt;[[DEVDeals] - [Associated TC Deal (Seq: 1)] - [TC Property Current Stage (Seq: 1)] - [Buildings (Seq: 91)] - [Buildings - User Defined Field Values (Seq: 1)] Building Info - Year Built - Both]&gt;</t>
        </r>
      </text>
    </comment>
    <comment ref="AF281" authorId="0" shapeId="0" xr:uid="{40E4994B-444B-4372-A322-6D0C8EE37856}">
      <text>
        <r>
          <rPr>
            <b/>
            <sz val="9"/>
            <color indexed="81"/>
            <rFont val="Tahoma"/>
            <family val="2"/>
          </rPr>
          <t>&lt;[[DEVDeals] - [Associated TC Deal (Seq: 1)] - [TC Property Current Stage (Seq: 1)] - [Buildings (Seq: 91)] - [Buildings - User Defined Field Values (Seq: 1)] Building Info - Building Type - Both]&gt;</t>
        </r>
      </text>
    </comment>
    <comment ref="AG281" authorId="0" shapeId="0" xr:uid="{A2ABBAE3-320F-4AA4-B730-D7315584038D}">
      <text>
        <r>
          <rPr>
            <b/>
            <sz val="9"/>
            <color indexed="81"/>
            <rFont val="Tahoma"/>
            <family val="2"/>
          </rPr>
          <t>&lt;[[DEVDeals] - [Associated TC Deal (Seq: 1)] - [TC Property Current Stage (Seq: 1)] - [Buildings (Seq: 91)] Num Mkt Units - Both]&gt;</t>
        </r>
      </text>
    </comment>
    <comment ref="AH281" authorId="0" shapeId="0" xr:uid="{4CF9BC08-407D-463E-BDE0-48611E812777}">
      <text>
        <r>
          <rPr>
            <b/>
            <sz val="9"/>
            <color indexed="81"/>
            <rFont val="Tahoma"/>
            <family val="2"/>
          </rPr>
          <t>&lt;[[DEVDeals] - [Associated TC Deal (Seq: 1)] - [TC Property Current Stage (Seq: 1)] - [Buildings (Seq: 91)] - [Buildings - User Defined Field Values (Seq: 1)] Building Info - Date Last Placed in Service - Both]&gt;</t>
        </r>
      </text>
    </comment>
    <comment ref="AI281" authorId="0" shapeId="0" xr:uid="{D2FA0F19-66B1-4DC2-9A82-BBDEF6C57E6E}">
      <text>
        <r>
          <rPr>
            <b/>
            <sz val="9"/>
            <color indexed="81"/>
            <rFont val="Tahoma"/>
            <family val="2"/>
          </rPr>
          <t>&lt;[[DEVDeals] - [Associated TC Deal (Seq: 1)] - [TC Property Current Stage (Seq: 1)] - [Buildings (Seq: 91)] - [Buildings - User Defined Field Values (Seq: 1)] Building Info - Sponsor's Purchase Date - Both]&gt;</t>
        </r>
      </text>
    </comment>
    <comment ref="AJ281" authorId="0" shapeId="0" xr:uid="{B1AE040E-DF0F-41A8-AA7F-53ADCC044651}">
      <text>
        <r>
          <rPr>
            <b/>
            <sz val="9"/>
            <color indexed="81"/>
            <rFont val="Tahoma"/>
            <family val="2"/>
          </rPr>
          <t>&lt;[[DEVDeals] - [Associated TC Deal (Seq: 1)] - [TC Property Current Stage (Seq: 1)] - [Buildings (Seq: 91)] - [Buildings - User Defined Field Values (Seq: 1)] Building Info - Years Between PIS &amp; Purchase Date - Both]&gt;</t>
        </r>
      </text>
    </comment>
    <comment ref="AK281" authorId="0" shapeId="0" xr:uid="{BAB5FD31-59BA-4053-BFD6-74AA4137CB72}">
      <text>
        <r>
          <rPr>
            <b/>
            <sz val="9"/>
            <color indexed="81"/>
            <rFont val="Tahoma"/>
            <family val="2"/>
          </rPr>
          <t>&lt;[[DEVDeals] - [Associated TC Deal (Seq: 1)] - [TC Property Current Stage (Seq: 1)] - [Buildings (Seq: 91)] Federal Minimum Set Aside Id - Both]&gt;</t>
        </r>
      </text>
    </comment>
    <comment ref="U282" authorId="0" shapeId="0" xr:uid="{37472539-7ED6-48CB-98DD-D38A6C09F47A}">
      <text>
        <r>
          <rPr>
            <b/>
            <sz val="9"/>
            <color indexed="81"/>
            <rFont val="Tahoma"/>
            <family val="2"/>
          </rPr>
          <t>&lt;[[DEVDeals] - [Associated TC Deal (Seq: 1)] - [TC Property Current Stage (Seq: 1)] - [Buildings (Seq: 92)] Address 1 - Both]&gt;</t>
        </r>
      </text>
    </comment>
    <comment ref="V282" authorId="0" shapeId="0" xr:uid="{4D95E037-7693-404E-A424-BF718441FBC6}">
      <text>
        <r>
          <rPr>
            <b/>
            <sz val="9"/>
            <color indexed="81"/>
            <rFont val="Tahoma"/>
            <family val="2"/>
          </rPr>
          <t>&lt;[[DEVDeals] - [Associated TC Deal (Seq: 1)] - [TC Property Current Stage (Seq: 1)] - [Buildings (Seq: 92)] City - Both]&gt;</t>
        </r>
      </text>
    </comment>
    <comment ref="W282" authorId="0" shapeId="0" xr:uid="{B3379C1B-8D41-4E43-BB39-BBDF57F105F3}">
      <text>
        <r>
          <rPr>
            <b/>
            <sz val="9"/>
            <color indexed="81"/>
            <rFont val="Tahoma"/>
            <family val="2"/>
          </rPr>
          <t>&lt;[[DEVDeals] - [Associated TC Deal (Seq: 1)] - [TC Property Current Stage (Seq: 1)] - [Buildings (Seq: 92)] State - Both]&gt;</t>
        </r>
      </text>
    </comment>
    <comment ref="X282" authorId="0" shapeId="0" xr:uid="{109798AA-8833-4319-93AA-E0203B4A2366}">
      <text>
        <r>
          <rPr>
            <b/>
            <sz val="9"/>
            <color indexed="81"/>
            <rFont val="Tahoma"/>
            <family val="2"/>
          </rPr>
          <t>&lt;[[DEVDeals] - [Associated TC Deal (Seq: 1)] - [TC Property Current Stage (Seq: 1)] - [Buildings (Seq: 92)] Zip Code - Both]&gt;</t>
        </r>
      </text>
    </comment>
    <comment ref="Y282" authorId="0" shapeId="0" xr:uid="{16343ABF-E2E3-4A9B-82E2-2844EAE9A4E9}">
      <text>
        <r>
          <rPr>
            <b/>
            <sz val="9"/>
            <color indexed="81"/>
            <rFont val="Tahoma"/>
            <family val="2"/>
          </rPr>
          <t>&lt;[[DEVDeals] - [Associated TC Deal (Seq: 1)] - [TC Property Current Stage (Seq: 1)] - [Buildings (Seq: 92)] BIN - Both]&gt;</t>
        </r>
      </text>
    </comment>
    <comment ref="AA282" authorId="0" shapeId="0" xr:uid="{33F5C8E2-3107-43FE-B757-AB8768A919DF}">
      <text>
        <r>
          <rPr>
            <b/>
            <sz val="9"/>
            <color indexed="81"/>
            <rFont val="Tahoma"/>
            <family val="2"/>
          </rPr>
          <t>&lt;[[DEVDeals] - [Associated TC Deal (Seq: 1)] - [TC Property Current Stage (Seq: 1)] - [Buildings (Seq: 92)] Num TC Units - Both]&gt;</t>
        </r>
      </text>
    </comment>
    <comment ref="AB282" authorId="0" shapeId="0" xr:uid="{6491E99A-A7B1-414F-9C0C-25361F4E5D5C}">
      <text>
        <r>
          <rPr>
            <b/>
            <sz val="9"/>
            <color indexed="81"/>
            <rFont val="Tahoma"/>
            <family val="2"/>
          </rPr>
          <t>&lt;[[DEVDeals] - [Associated TC Deal (Seq: 1)] - [TC Property Current Stage (Seq: 1)] - [Buildings (Seq: 92)] - [Buildings - User Defined Field Values (Seq: 1)] Building Info - Total Square Footage - Both]&gt;</t>
        </r>
      </text>
    </comment>
    <comment ref="AC282" authorId="0" shapeId="0" xr:uid="{63AD7394-FA35-4BA1-B76C-E22647DE19D3}">
      <text>
        <r>
          <rPr>
            <b/>
            <sz val="9"/>
            <color indexed="81"/>
            <rFont val="Tahoma"/>
            <family val="2"/>
          </rPr>
          <t>&lt;[[DEVDeals] - [Associated TC Deal (Seq: 1)] - [TC Property Current Stage (Seq: 1)] - [Buildings (Seq: 92)] - [Buildings - User Defined Field Values (Seq: 1)] Building Info - Restricted Unit Square Footage - Both]&gt;</t>
        </r>
      </text>
    </comment>
    <comment ref="AD282" authorId="0" shapeId="0" xr:uid="{74E8C61A-46E4-43FF-9D11-24AF6CEAC492}">
      <text>
        <r>
          <rPr>
            <b/>
            <sz val="9"/>
            <color indexed="81"/>
            <rFont val="Tahoma"/>
            <family val="2"/>
          </rPr>
          <t>&lt;[[DEVDeals] - [Associated TC Deal (Seq: 1)] - [TC Property Current Stage (Seq: 1)] - [Buildings (Seq: 92)] Applicable Fraction - Both]&gt;</t>
        </r>
      </text>
    </comment>
    <comment ref="AE282" authorId="0" shapeId="0" xr:uid="{D7B67CB1-84C8-4311-8728-940C3F4E5466}">
      <text>
        <r>
          <rPr>
            <b/>
            <sz val="9"/>
            <color indexed="81"/>
            <rFont val="Tahoma"/>
            <family val="2"/>
          </rPr>
          <t>&lt;[[DEVDeals] - [Associated TC Deal (Seq: 1)] - [TC Property Current Stage (Seq: 1)] - [Buildings (Seq: 92)] - [Buildings - User Defined Field Values (Seq: 1)] Building Info - Year Built - Both]&gt;</t>
        </r>
      </text>
    </comment>
    <comment ref="AF282" authorId="0" shapeId="0" xr:uid="{05E38DDC-CA4C-43CA-9B55-A4CBAA9D3FE2}">
      <text>
        <r>
          <rPr>
            <b/>
            <sz val="9"/>
            <color indexed="81"/>
            <rFont val="Tahoma"/>
            <family val="2"/>
          </rPr>
          <t>&lt;[[DEVDeals] - [Associated TC Deal (Seq: 1)] - [TC Property Current Stage (Seq: 1)] - [Buildings (Seq: 92)] - [Buildings - User Defined Field Values (Seq: 1)] Building Info - Building Type - Both]&gt;</t>
        </r>
      </text>
    </comment>
    <comment ref="AG282" authorId="0" shapeId="0" xr:uid="{C54AE702-45F7-4C14-A0B6-7B45AABCF545}">
      <text>
        <r>
          <rPr>
            <b/>
            <sz val="9"/>
            <color indexed="81"/>
            <rFont val="Tahoma"/>
            <family val="2"/>
          </rPr>
          <t>&lt;[[DEVDeals] - [Associated TC Deal (Seq: 1)] - [TC Property Current Stage (Seq: 1)] - [Buildings (Seq: 92)] Num Mkt Units - Both]&gt;</t>
        </r>
      </text>
    </comment>
    <comment ref="AH282" authorId="0" shapeId="0" xr:uid="{A3BFF5CB-EDD6-4AFC-A90E-B15CFA76C444}">
      <text>
        <r>
          <rPr>
            <b/>
            <sz val="9"/>
            <color indexed="81"/>
            <rFont val="Tahoma"/>
            <family val="2"/>
          </rPr>
          <t>&lt;[[DEVDeals] - [Associated TC Deal (Seq: 1)] - [TC Property Current Stage (Seq: 1)] - [Buildings (Seq: 92)] - [Buildings - User Defined Field Values (Seq: 1)] Building Info - Date Last Placed in Service - Both]&gt;</t>
        </r>
      </text>
    </comment>
    <comment ref="AI282" authorId="0" shapeId="0" xr:uid="{81202596-D7CC-4979-AA89-AAF3DC77D7DF}">
      <text>
        <r>
          <rPr>
            <b/>
            <sz val="9"/>
            <color indexed="81"/>
            <rFont val="Tahoma"/>
            <family val="2"/>
          </rPr>
          <t>&lt;[[DEVDeals] - [Associated TC Deal (Seq: 1)] - [TC Property Current Stage (Seq: 1)] - [Buildings (Seq: 92)] - [Buildings - User Defined Field Values (Seq: 1)] Building Info - Sponsor's Purchase Date - Both]&gt;</t>
        </r>
      </text>
    </comment>
    <comment ref="AJ282" authorId="0" shapeId="0" xr:uid="{13703B39-5D3D-40F6-81A4-2929504B3F7E}">
      <text>
        <r>
          <rPr>
            <b/>
            <sz val="9"/>
            <color indexed="81"/>
            <rFont val="Tahoma"/>
            <family val="2"/>
          </rPr>
          <t>&lt;[[DEVDeals] - [Associated TC Deal (Seq: 1)] - [TC Property Current Stage (Seq: 1)] - [Buildings (Seq: 92)] - [Buildings - User Defined Field Values (Seq: 1)] Building Info - Years Between PIS &amp; Purchase Date - Both]&gt;</t>
        </r>
      </text>
    </comment>
    <comment ref="AK282" authorId="0" shapeId="0" xr:uid="{79BCB564-12FD-4006-98F9-9FB382708832}">
      <text>
        <r>
          <rPr>
            <b/>
            <sz val="9"/>
            <color indexed="81"/>
            <rFont val="Tahoma"/>
            <family val="2"/>
          </rPr>
          <t>&lt;[[DEVDeals] - [Associated TC Deal (Seq: 1)] - [TC Property Current Stage (Seq: 1)] - [Buildings (Seq: 92)] Federal Minimum Set Aside Id - Both]&gt;</t>
        </r>
      </text>
    </comment>
    <comment ref="U283" authorId="0" shapeId="0" xr:uid="{A31A89C1-6D02-4975-833B-CF14B860D407}">
      <text>
        <r>
          <rPr>
            <b/>
            <sz val="9"/>
            <color indexed="81"/>
            <rFont val="Tahoma"/>
            <family val="2"/>
          </rPr>
          <t>&lt;[[DEVDeals] - [Associated TC Deal (Seq: 1)] - [TC Property Current Stage (Seq: 1)] - [Buildings (Seq: 93)] Address 1 - Both]&gt;</t>
        </r>
      </text>
    </comment>
    <comment ref="V283" authorId="0" shapeId="0" xr:uid="{070F1B71-8897-45A9-8412-BBB42F201914}">
      <text>
        <r>
          <rPr>
            <b/>
            <sz val="9"/>
            <color indexed="81"/>
            <rFont val="Tahoma"/>
            <family val="2"/>
          </rPr>
          <t>&lt;[[DEVDeals] - [Associated TC Deal (Seq: 1)] - [TC Property Current Stage (Seq: 1)] - [Buildings (Seq: 93)] City - Both]&gt;</t>
        </r>
      </text>
    </comment>
    <comment ref="W283" authorId="0" shapeId="0" xr:uid="{8301B7C2-7DF7-43BB-8D13-81A6BF5B6342}">
      <text>
        <r>
          <rPr>
            <b/>
            <sz val="9"/>
            <color indexed="81"/>
            <rFont val="Tahoma"/>
            <family val="2"/>
          </rPr>
          <t>&lt;[[DEVDeals] - [Associated TC Deal (Seq: 1)] - [TC Property Current Stage (Seq: 1)] - [Buildings (Seq: 93)] State - Both]&gt;</t>
        </r>
      </text>
    </comment>
    <comment ref="X283" authorId="0" shapeId="0" xr:uid="{D21DD707-EEAB-47A7-ACF5-7D7579AD6F2A}">
      <text>
        <r>
          <rPr>
            <b/>
            <sz val="9"/>
            <color indexed="81"/>
            <rFont val="Tahoma"/>
            <family val="2"/>
          </rPr>
          <t>&lt;[[DEVDeals] - [Associated TC Deal (Seq: 1)] - [TC Property Current Stage (Seq: 1)] - [Buildings (Seq: 93)] Zip Code - Both]&gt;</t>
        </r>
      </text>
    </comment>
    <comment ref="Y283" authorId="0" shapeId="0" xr:uid="{C22F30AD-FA7A-4967-8C3B-3536B7C582F2}">
      <text>
        <r>
          <rPr>
            <b/>
            <sz val="9"/>
            <color indexed="81"/>
            <rFont val="Tahoma"/>
            <family val="2"/>
          </rPr>
          <t>&lt;[[DEVDeals] - [Associated TC Deal (Seq: 1)] - [TC Property Current Stage (Seq: 1)] - [Buildings (Seq: 93)] BIN - Both]&gt;</t>
        </r>
      </text>
    </comment>
    <comment ref="AA283" authorId="0" shapeId="0" xr:uid="{9DEB8029-AD3C-4800-A37B-4A7A6A377DAA}">
      <text>
        <r>
          <rPr>
            <b/>
            <sz val="9"/>
            <color indexed="81"/>
            <rFont val="Tahoma"/>
            <family val="2"/>
          </rPr>
          <t>&lt;[[DEVDeals] - [Associated TC Deal (Seq: 1)] - [TC Property Current Stage (Seq: 1)] - [Buildings (Seq: 93)] Num TC Units - Both]&gt;</t>
        </r>
      </text>
    </comment>
    <comment ref="AB283" authorId="0" shapeId="0" xr:uid="{A8AB9CD4-25A0-4B4A-9BEC-367B2A5512A6}">
      <text>
        <r>
          <rPr>
            <b/>
            <sz val="9"/>
            <color indexed="81"/>
            <rFont val="Tahoma"/>
            <family val="2"/>
          </rPr>
          <t>&lt;[[DEVDeals] - [Associated TC Deal (Seq: 1)] - [TC Property Current Stage (Seq: 1)] - [Buildings (Seq: 93)] - [Buildings - User Defined Field Values (Seq: 1)] Building Info - Total Square Footage - Both]&gt;</t>
        </r>
      </text>
    </comment>
    <comment ref="AC283" authorId="0" shapeId="0" xr:uid="{F7E1EF0A-FDEF-48FA-A0B3-FA525100B4C2}">
      <text>
        <r>
          <rPr>
            <b/>
            <sz val="9"/>
            <color indexed="81"/>
            <rFont val="Tahoma"/>
            <family val="2"/>
          </rPr>
          <t>&lt;[[DEVDeals] - [Associated TC Deal (Seq: 1)] - [TC Property Current Stage (Seq: 1)] - [Buildings (Seq: 93)] - [Buildings - User Defined Field Values (Seq: 1)] Building Info - Restricted Unit Square Footage - Both]&gt;</t>
        </r>
      </text>
    </comment>
    <comment ref="AD283" authorId="0" shapeId="0" xr:uid="{0A83C6BF-9DDD-43A7-857F-0F42881C8C80}">
      <text>
        <r>
          <rPr>
            <b/>
            <sz val="9"/>
            <color indexed="81"/>
            <rFont val="Tahoma"/>
            <family val="2"/>
          </rPr>
          <t>&lt;[[DEVDeals] - [Associated TC Deal (Seq: 1)] - [TC Property Current Stage (Seq: 1)] - [Buildings (Seq: 93)] Applicable Fraction - Both]&gt;</t>
        </r>
      </text>
    </comment>
    <comment ref="AE283" authorId="0" shapeId="0" xr:uid="{74F198CD-F667-4D45-9165-854F20E22D67}">
      <text>
        <r>
          <rPr>
            <b/>
            <sz val="9"/>
            <color indexed="81"/>
            <rFont val="Tahoma"/>
            <family val="2"/>
          </rPr>
          <t>&lt;[[DEVDeals] - [Associated TC Deal (Seq: 1)] - [TC Property Current Stage (Seq: 1)] - [Buildings (Seq: 93)] - [Buildings - User Defined Field Values (Seq: 1)] Building Info - Year Built - Both]&gt;</t>
        </r>
      </text>
    </comment>
    <comment ref="AF283" authorId="0" shapeId="0" xr:uid="{140D2021-DC21-49C2-B093-0AF89B34B7E9}">
      <text>
        <r>
          <rPr>
            <b/>
            <sz val="9"/>
            <color indexed="81"/>
            <rFont val="Tahoma"/>
            <family val="2"/>
          </rPr>
          <t>&lt;[[DEVDeals] - [Associated TC Deal (Seq: 1)] - [TC Property Current Stage (Seq: 1)] - [Buildings (Seq: 93)] - [Buildings - User Defined Field Values (Seq: 1)] Building Info - Building Type - Both]&gt;</t>
        </r>
      </text>
    </comment>
    <comment ref="AG283" authorId="0" shapeId="0" xr:uid="{07F185DB-8997-4B10-8E9A-445FB166D113}">
      <text>
        <r>
          <rPr>
            <b/>
            <sz val="9"/>
            <color indexed="81"/>
            <rFont val="Tahoma"/>
            <family val="2"/>
          </rPr>
          <t>&lt;[[DEVDeals] - [Associated TC Deal (Seq: 1)] - [TC Property Current Stage (Seq: 1)] - [Buildings (Seq: 93)] Num Mkt Units - Both]&gt;</t>
        </r>
      </text>
    </comment>
    <comment ref="AH283" authorId="0" shapeId="0" xr:uid="{3D938DF6-5BBC-444A-AE2A-2DFA635EBCDA}">
      <text>
        <r>
          <rPr>
            <b/>
            <sz val="9"/>
            <color indexed="81"/>
            <rFont val="Tahoma"/>
            <family val="2"/>
          </rPr>
          <t>&lt;[[DEVDeals] - [Associated TC Deal (Seq: 1)] - [TC Property Current Stage (Seq: 1)] - [Buildings (Seq: 93)] - [Buildings - User Defined Field Values (Seq: 1)] Building Info - Date Last Placed in Service - Both]&gt;</t>
        </r>
      </text>
    </comment>
    <comment ref="AI283" authorId="0" shapeId="0" xr:uid="{2622FD8E-8BC3-4E20-AB6D-7D338DB1DC43}">
      <text>
        <r>
          <rPr>
            <b/>
            <sz val="9"/>
            <color indexed="81"/>
            <rFont val="Tahoma"/>
            <family val="2"/>
          </rPr>
          <t>&lt;[[DEVDeals] - [Associated TC Deal (Seq: 1)] - [TC Property Current Stage (Seq: 1)] - [Buildings (Seq: 93)] - [Buildings - User Defined Field Values (Seq: 1)] Building Info - Sponsor's Purchase Date - Both]&gt;</t>
        </r>
      </text>
    </comment>
    <comment ref="AJ283" authorId="0" shapeId="0" xr:uid="{92E0F10E-8CB0-4A38-B511-D207FA9114A7}">
      <text>
        <r>
          <rPr>
            <b/>
            <sz val="9"/>
            <color indexed="81"/>
            <rFont val="Tahoma"/>
            <family val="2"/>
          </rPr>
          <t>&lt;[[DEVDeals] - [Associated TC Deal (Seq: 1)] - [TC Property Current Stage (Seq: 1)] - [Buildings (Seq: 93)] - [Buildings - User Defined Field Values (Seq: 1)] Building Info - Years Between PIS &amp; Purchase Date - Both]&gt;</t>
        </r>
      </text>
    </comment>
    <comment ref="AK283" authorId="0" shapeId="0" xr:uid="{3E503098-9A0E-4B4F-B03A-A40D34F0620C}">
      <text>
        <r>
          <rPr>
            <b/>
            <sz val="9"/>
            <color indexed="81"/>
            <rFont val="Tahoma"/>
            <family val="2"/>
          </rPr>
          <t>&lt;[[DEVDeals] - [Associated TC Deal (Seq: 1)] - [TC Property Current Stage (Seq: 1)] - [Buildings (Seq: 93)] Federal Minimum Set Aside Id - Both]&gt;</t>
        </r>
      </text>
    </comment>
    <comment ref="U284" authorId="0" shapeId="0" xr:uid="{F6EEE496-9235-48DD-8CA0-DDACB8EEE55B}">
      <text>
        <r>
          <rPr>
            <b/>
            <sz val="9"/>
            <color indexed="81"/>
            <rFont val="Tahoma"/>
            <family val="2"/>
          </rPr>
          <t>&lt;[[DEVDeals] - [Associated TC Deal (Seq: 1)] - [TC Property Current Stage (Seq: 1)] - [Buildings (Seq: 94)] Address 1 - Both]&gt;</t>
        </r>
      </text>
    </comment>
    <comment ref="V284" authorId="0" shapeId="0" xr:uid="{887A79F6-23DF-4143-820F-DCAD4531D2BC}">
      <text>
        <r>
          <rPr>
            <b/>
            <sz val="9"/>
            <color indexed="81"/>
            <rFont val="Tahoma"/>
            <family val="2"/>
          </rPr>
          <t>&lt;[[DEVDeals] - [Associated TC Deal (Seq: 1)] - [TC Property Current Stage (Seq: 1)] - [Buildings (Seq: 94)] City - Both]&gt;</t>
        </r>
      </text>
    </comment>
    <comment ref="W284" authorId="0" shapeId="0" xr:uid="{16678B14-267A-4B2F-A4D8-2CD7BE00EC00}">
      <text>
        <r>
          <rPr>
            <b/>
            <sz val="9"/>
            <color indexed="81"/>
            <rFont val="Tahoma"/>
            <family val="2"/>
          </rPr>
          <t>&lt;[[DEVDeals] - [Associated TC Deal (Seq: 1)] - [TC Property Current Stage (Seq: 1)] - [Buildings (Seq: 94)] State - Both]&gt;</t>
        </r>
      </text>
    </comment>
    <comment ref="X284" authorId="0" shapeId="0" xr:uid="{EB35770D-9651-497A-B6A3-9AB730962E5B}">
      <text>
        <r>
          <rPr>
            <b/>
            <sz val="9"/>
            <color indexed="81"/>
            <rFont val="Tahoma"/>
            <family val="2"/>
          </rPr>
          <t>&lt;[[DEVDeals] - [Associated TC Deal (Seq: 1)] - [TC Property Current Stage (Seq: 1)] - [Buildings (Seq: 94)] Zip Code - Both]&gt;</t>
        </r>
      </text>
    </comment>
    <comment ref="Y284" authorId="0" shapeId="0" xr:uid="{C2E8B7BA-2FD8-4DE0-B190-A95FF6AB7E55}">
      <text>
        <r>
          <rPr>
            <b/>
            <sz val="9"/>
            <color indexed="81"/>
            <rFont val="Tahoma"/>
            <family val="2"/>
          </rPr>
          <t>&lt;[[DEVDeals] - [Associated TC Deal (Seq: 1)] - [TC Property Current Stage (Seq: 1)] - [Buildings (Seq: 94)] BIN - Both]&gt;</t>
        </r>
      </text>
    </comment>
    <comment ref="AA284" authorId="0" shapeId="0" xr:uid="{2F5DE296-B701-4218-9547-7BE2A3CD7F6C}">
      <text>
        <r>
          <rPr>
            <b/>
            <sz val="9"/>
            <color indexed="81"/>
            <rFont val="Tahoma"/>
            <family val="2"/>
          </rPr>
          <t>&lt;[[DEVDeals] - [Associated TC Deal (Seq: 1)] - [TC Property Current Stage (Seq: 1)] - [Buildings (Seq: 94)] Num TC Units - Both]&gt;</t>
        </r>
      </text>
    </comment>
    <comment ref="AB284" authorId="0" shapeId="0" xr:uid="{0096BD1D-7E1C-4F99-8D42-2E32652B5BA8}">
      <text>
        <r>
          <rPr>
            <b/>
            <sz val="9"/>
            <color indexed="81"/>
            <rFont val="Tahoma"/>
            <family val="2"/>
          </rPr>
          <t>&lt;[[DEVDeals] - [Associated TC Deal (Seq: 1)] - [TC Property Current Stage (Seq: 1)] - [Buildings (Seq: 94)] - [Buildings - User Defined Field Values (Seq: 1)] Building Info - Total Square Footage - Both]&gt;</t>
        </r>
      </text>
    </comment>
    <comment ref="AC284" authorId="0" shapeId="0" xr:uid="{3D4F0EF1-8AC0-4A28-9F73-89A32A3F374D}">
      <text>
        <r>
          <rPr>
            <b/>
            <sz val="9"/>
            <color indexed="81"/>
            <rFont val="Tahoma"/>
            <family val="2"/>
          </rPr>
          <t>&lt;[[DEVDeals] - [Associated TC Deal (Seq: 1)] - [TC Property Current Stage (Seq: 1)] - [Buildings (Seq: 94)] - [Buildings - User Defined Field Values (Seq: 1)] Building Info - Restricted Unit Square Footage - Both]&gt;</t>
        </r>
      </text>
    </comment>
    <comment ref="AD284" authorId="0" shapeId="0" xr:uid="{F86EE389-5C45-4252-992C-ED3EE0CDE333}">
      <text>
        <r>
          <rPr>
            <b/>
            <sz val="9"/>
            <color indexed="81"/>
            <rFont val="Tahoma"/>
            <family val="2"/>
          </rPr>
          <t>&lt;[[DEVDeals] - [Associated TC Deal (Seq: 1)] - [TC Property Current Stage (Seq: 1)] - [Buildings (Seq: 94)] Applicable Fraction - Both]&gt;</t>
        </r>
      </text>
    </comment>
    <comment ref="AE284" authorId="0" shapeId="0" xr:uid="{75295E0C-4258-4E18-A223-1C9DD646179A}">
      <text>
        <r>
          <rPr>
            <b/>
            <sz val="9"/>
            <color indexed="81"/>
            <rFont val="Tahoma"/>
            <family val="2"/>
          </rPr>
          <t>&lt;[[DEVDeals] - [Associated TC Deal (Seq: 1)] - [TC Property Current Stage (Seq: 1)] - [Buildings (Seq: 94)] - [Buildings - User Defined Field Values (Seq: 1)] Building Info - Year Built - Both]&gt;</t>
        </r>
      </text>
    </comment>
    <comment ref="AF284" authorId="0" shapeId="0" xr:uid="{2E8446BC-04DD-4AAF-93F2-3A14D02801E1}">
      <text>
        <r>
          <rPr>
            <b/>
            <sz val="9"/>
            <color indexed="81"/>
            <rFont val="Tahoma"/>
            <family val="2"/>
          </rPr>
          <t>&lt;[[DEVDeals] - [Associated TC Deal (Seq: 1)] - [TC Property Current Stage (Seq: 1)] - [Buildings (Seq: 94)] - [Buildings - User Defined Field Values (Seq: 1)] Building Info - Building Type - Both]&gt;</t>
        </r>
      </text>
    </comment>
    <comment ref="AG284" authorId="0" shapeId="0" xr:uid="{3FE33BB3-1BBF-4923-AC5D-461D864E846E}">
      <text>
        <r>
          <rPr>
            <b/>
            <sz val="9"/>
            <color indexed="81"/>
            <rFont val="Tahoma"/>
            <family val="2"/>
          </rPr>
          <t>&lt;[[DEVDeals] - [Associated TC Deal (Seq: 1)] - [TC Property Current Stage (Seq: 1)] - [Buildings (Seq: 94)] Num Mkt Units - Both]&gt;</t>
        </r>
      </text>
    </comment>
    <comment ref="AH284" authorId="0" shapeId="0" xr:uid="{9FB35CC0-A1DB-4D58-9C06-A0FC41B3D2A0}">
      <text>
        <r>
          <rPr>
            <b/>
            <sz val="9"/>
            <color indexed="81"/>
            <rFont val="Tahoma"/>
            <family val="2"/>
          </rPr>
          <t>&lt;[[DEVDeals] - [Associated TC Deal (Seq: 1)] - [TC Property Current Stage (Seq: 1)] - [Buildings (Seq: 94)] - [Buildings - User Defined Field Values (Seq: 1)] Building Info - Date Last Placed in Service - Both]&gt;</t>
        </r>
      </text>
    </comment>
    <comment ref="AI284" authorId="0" shapeId="0" xr:uid="{77DA8DF2-F240-4B3B-8CFB-7A01FEF79BB3}">
      <text>
        <r>
          <rPr>
            <b/>
            <sz val="9"/>
            <color indexed="81"/>
            <rFont val="Tahoma"/>
            <family val="2"/>
          </rPr>
          <t>&lt;[[DEVDeals] - [Associated TC Deal (Seq: 1)] - [TC Property Current Stage (Seq: 1)] - [Buildings (Seq: 94)] - [Buildings - User Defined Field Values (Seq: 1)] Building Info - Sponsor's Purchase Date - Both]&gt;</t>
        </r>
      </text>
    </comment>
    <comment ref="AJ284" authorId="0" shapeId="0" xr:uid="{D1FADE07-CD6A-4E1E-8CBD-74F66CD6591B}">
      <text>
        <r>
          <rPr>
            <b/>
            <sz val="9"/>
            <color indexed="81"/>
            <rFont val="Tahoma"/>
            <family val="2"/>
          </rPr>
          <t>&lt;[[DEVDeals] - [Associated TC Deal (Seq: 1)] - [TC Property Current Stage (Seq: 1)] - [Buildings (Seq: 94)] - [Buildings - User Defined Field Values (Seq: 1)] Building Info - Years Between PIS &amp; Purchase Date - Both]&gt;</t>
        </r>
      </text>
    </comment>
    <comment ref="AK284" authorId="0" shapeId="0" xr:uid="{EBB53F12-BA49-46DA-BF1A-BE876FA891FF}">
      <text>
        <r>
          <rPr>
            <b/>
            <sz val="9"/>
            <color indexed="81"/>
            <rFont val="Tahoma"/>
            <family val="2"/>
          </rPr>
          <t>&lt;[[DEVDeals] - [Associated TC Deal (Seq: 1)] - [TC Property Current Stage (Seq: 1)] - [Buildings (Seq: 94)] Federal Minimum Set Aside Id - Both]&gt;</t>
        </r>
      </text>
    </comment>
    <comment ref="U285" authorId="0" shapeId="0" xr:uid="{1E18FEB7-02D6-489C-AEFF-E0EED12C4812}">
      <text>
        <r>
          <rPr>
            <b/>
            <sz val="9"/>
            <color indexed="81"/>
            <rFont val="Tahoma"/>
            <family val="2"/>
          </rPr>
          <t>&lt;[[DEVDeals] - [Associated TC Deal (Seq: 1)] - [TC Property Current Stage (Seq: 1)] - [Buildings (Seq: 95)] Address 1 - Both]&gt;</t>
        </r>
      </text>
    </comment>
    <comment ref="V285" authorId="0" shapeId="0" xr:uid="{8B49C912-BF04-49A7-8FA8-A62C9CDB483E}">
      <text>
        <r>
          <rPr>
            <b/>
            <sz val="9"/>
            <color indexed="81"/>
            <rFont val="Tahoma"/>
            <family val="2"/>
          </rPr>
          <t>&lt;[[DEVDeals] - [Associated TC Deal (Seq: 1)] - [TC Property Current Stage (Seq: 1)] - [Buildings (Seq: 95)] City - Both]&gt;</t>
        </r>
      </text>
    </comment>
    <comment ref="W285" authorId="0" shapeId="0" xr:uid="{3D67F587-FCB9-48A5-BFDA-45BEF67D7553}">
      <text>
        <r>
          <rPr>
            <b/>
            <sz val="9"/>
            <color indexed="81"/>
            <rFont val="Tahoma"/>
            <family val="2"/>
          </rPr>
          <t>&lt;[[DEVDeals] - [Associated TC Deal (Seq: 1)] - [TC Property Current Stage (Seq: 1)] - [Buildings (Seq: 95)] State - Both]&gt;</t>
        </r>
      </text>
    </comment>
    <comment ref="X285" authorId="0" shapeId="0" xr:uid="{3C88DF14-D133-4DFA-94E2-090A8FEF7E91}">
      <text>
        <r>
          <rPr>
            <b/>
            <sz val="9"/>
            <color indexed="81"/>
            <rFont val="Tahoma"/>
            <family val="2"/>
          </rPr>
          <t>&lt;[[DEVDeals] - [Associated TC Deal (Seq: 1)] - [TC Property Current Stage (Seq: 1)] - [Buildings (Seq: 95)] Zip Code - Both]&gt;</t>
        </r>
      </text>
    </comment>
    <comment ref="Y285" authorId="0" shapeId="0" xr:uid="{887C0526-9707-406E-B27E-A392CD60156E}">
      <text>
        <r>
          <rPr>
            <b/>
            <sz val="9"/>
            <color indexed="81"/>
            <rFont val="Tahoma"/>
            <family val="2"/>
          </rPr>
          <t>&lt;[[DEVDeals] - [Associated TC Deal (Seq: 1)] - [TC Property Current Stage (Seq: 1)] - [Buildings (Seq: 95)] BIN - Both]&gt;</t>
        </r>
      </text>
    </comment>
    <comment ref="AA285" authorId="0" shapeId="0" xr:uid="{EA2852CB-31FD-445D-9132-3EA252A7DE7C}">
      <text>
        <r>
          <rPr>
            <b/>
            <sz val="9"/>
            <color indexed="81"/>
            <rFont val="Tahoma"/>
            <family val="2"/>
          </rPr>
          <t>&lt;[[DEVDeals] - [Associated TC Deal (Seq: 1)] - [TC Property Current Stage (Seq: 1)] - [Buildings (Seq: 95)] Num TC Units - Both]&gt;</t>
        </r>
      </text>
    </comment>
    <comment ref="AB285" authorId="0" shapeId="0" xr:uid="{D55E98DB-59EB-4589-A5A2-CFD2EDC2D376}">
      <text>
        <r>
          <rPr>
            <b/>
            <sz val="9"/>
            <color indexed="81"/>
            <rFont val="Tahoma"/>
            <family val="2"/>
          </rPr>
          <t>&lt;[[DEVDeals] - [Associated TC Deal (Seq: 1)] - [TC Property Current Stage (Seq: 1)] - [Buildings (Seq: 95)] - [Buildings - User Defined Field Values (Seq: 1)] Building Info - Total Square Footage - Both]&gt;</t>
        </r>
      </text>
    </comment>
    <comment ref="AC285" authorId="0" shapeId="0" xr:uid="{DD9301F2-DA30-4244-9A94-056EC9D24EA5}">
      <text>
        <r>
          <rPr>
            <b/>
            <sz val="9"/>
            <color indexed="81"/>
            <rFont val="Tahoma"/>
            <family val="2"/>
          </rPr>
          <t>&lt;[[DEVDeals] - [Associated TC Deal (Seq: 1)] - [TC Property Current Stage (Seq: 1)] - [Buildings (Seq: 95)] - [Buildings - User Defined Field Values (Seq: 1)] Building Info - Restricted Unit Square Footage - Both]&gt;</t>
        </r>
      </text>
    </comment>
    <comment ref="AD285" authorId="0" shapeId="0" xr:uid="{37169BA7-6E7E-4CE2-8027-DF3C3D2A6436}">
      <text>
        <r>
          <rPr>
            <b/>
            <sz val="9"/>
            <color indexed="81"/>
            <rFont val="Tahoma"/>
            <family val="2"/>
          </rPr>
          <t>&lt;[[DEVDeals] - [Associated TC Deal (Seq: 1)] - [TC Property Current Stage (Seq: 1)] - [Buildings (Seq: 95)] Applicable Fraction - Both]&gt;</t>
        </r>
      </text>
    </comment>
    <comment ref="AE285" authorId="0" shapeId="0" xr:uid="{6FB8FA2C-D054-4E91-BBA5-692E7B9D16B4}">
      <text>
        <r>
          <rPr>
            <b/>
            <sz val="9"/>
            <color indexed="81"/>
            <rFont val="Tahoma"/>
            <family val="2"/>
          </rPr>
          <t>&lt;[[DEVDeals] - [Associated TC Deal (Seq: 1)] - [TC Property Current Stage (Seq: 1)] - [Buildings (Seq: 95)] - [Buildings - User Defined Field Values (Seq: 1)] Building Info - Year Built - Both]&gt;</t>
        </r>
      </text>
    </comment>
    <comment ref="AF285" authorId="0" shapeId="0" xr:uid="{F82F4C3A-D481-4A00-859C-E39D05F8358B}">
      <text>
        <r>
          <rPr>
            <b/>
            <sz val="9"/>
            <color indexed="81"/>
            <rFont val="Tahoma"/>
            <family val="2"/>
          </rPr>
          <t>&lt;[[DEVDeals] - [Associated TC Deal (Seq: 1)] - [TC Property Current Stage (Seq: 1)] - [Buildings (Seq: 95)] - [Buildings - User Defined Field Values (Seq: 1)] Building Info - Building Type - Both]&gt;</t>
        </r>
      </text>
    </comment>
    <comment ref="AG285" authorId="0" shapeId="0" xr:uid="{49D2F574-059B-4802-B531-9C8A21F4C694}">
      <text>
        <r>
          <rPr>
            <b/>
            <sz val="9"/>
            <color indexed="81"/>
            <rFont val="Tahoma"/>
            <family val="2"/>
          </rPr>
          <t>&lt;[[DEVDeals] - [Associated TC Deal (Seq: 1)] - [TC Property Current Stage (Seq: 1)] - [Buildings (Seq: 95)] Num Mkt Units - Both]&gt;</t>
        </r>
      </text>
    </comment>
    <comment ref="AH285" authorId="0" shapeId="0" xr:uid="{77D59201-CDB3-428B-89DD-CBF3F2BE4694}">
      <text>
        <r>
          <rPr>
            <b/>
            <sz val="9"/>
            <color indexed="81"/>
            <rFont val="Tahoma"/>
            <family val="2"/>
          </rPr>
          <t>&lt;[[DEVDeals] - [Associated TC Deal (Seq: 1)] - [TC Property Current Stage (Seq: 1)] - [Buildings (Seq: 95)] - [Buildings - User Defined Field Values (Seq: 1)] Building Info - Date Last Placed in Service - Both]&gt;</t>
        </r>
      </text>
    </comment>
    <comment ref="AI285" authorId="0" shapeId="0" xr:uid="{F9909532-09A6-4E69-9BFA-EF2C139D0D5C}">
      <text>
        <r>
          <rPr>
            <b/>
            <sz val="9"/>
            <color indexed="81"/>
            <rFont val="Tahoma"/>
            <family val="2"/>
          </rPr>
          <t>&lt;[[DEVDeals] - [Associated TC Deal (Seq: 1)] - [TC Property Current Stage (Seq: 1)] - [Buildings (Seq: 95)] - [Buildings - User Defined Field Values (Seq: 1)] Building Info - Sponsor's Purchase Date - Both]&gt;</t>
        </r>
      </text>
    </comment>
    <comment ref="AJ285" authorId="0" shapeId="0" xr:uid="{BC2D7ED7-6B68-4A74-94A1-2C50FA217946}">
      <text>
        <r>
          <rPr>
            <b/>
            <sz val="9"/>
            <color indexed="81"/>
            <rFont val="Tahoma"/>
            <family val="2"/>
          </rPr>
          <t>&lt;[[DEVDeals] - [Associated TC Deal (Seq: 1)] - [TC Property Current Stage (Seq: 1)] - [Buildings (Seq: 95)] - [Buildings - User Defined Field Values (Seq: 1)] Building Info - Years Between PIS &amp; Purchase Date - Both]&gt;</t>
        </r>
      </text>
    </comment>
    <comment ref="AK285" authorId="0" shapeId="0" xr:uid="{A6608F1B-1474-4923-9540-4AC6BF0CD74C}">
      <text>
        <r>
          <rPr>
            <b/>
            <sz val="9"/>
            <color indexed="81"/>
            <rFont val="Tahoma"/>
            <family val="2"/>
          </rPr>
          <t>&lt;[[DEVDeals] - [Associated TC Deal (Seq: 1)] - [TC Property Current Stage (Seq: 1)] - [Buildings (Seq: 95)] Federal Minimum Set Aside Id - Both]&gt;</t>
        </r>
      </text>
    </comment>
    <comment ref="U286" authorId="0" shapeId="0" xr:uid="{4184ADD7-0422-4070-B0A3-A146A0C628D9}">
      <text>
        <r>
          <rPr>
            <b/>
            <sz val="9"/>
            <color indexed="81"/>
            <rFont val="Tahoma"/>
            <family val="2"/>
          </rPr>
          <t>&lt;[[DEVDeals] - [Associated TC Deal (Seq: 1)] - [TC Property Current Stage (Seq: 1)] - [Buildings (Seq: 96)] Address 1 - Both]&gt;</t>
        </r>
      </text>
    </comment>
    <comment ref="V286" authorId="0" shapeId="0" xr:uid="{F1B60B8B-5FCE-458E-8C0A-6A333FD9DD47}">
      <text>
        <r>
          <rPr>
            <b/>
            <sz val="9"/>
            <color indexed="81"/>
            <rFont val="Tahoma"/>
            <family val="2"/>
          </rPr>
          <t>&lt;[[DEVDeals] - [Associated TC Deal (Seq: 1)] - [TC Property Current Stage (Seq: 1)] - [Buildings (Seq: 96)] City - Both]&gt;</t>
        </r>
      </text>
    </comment>
    <comment ref="W286" authorId="0" shapeId="0" xr:uid="{94462120-DECB-4E67-B47F-A499B75EA20A}">
      <text>
        <r>
          <rPr>
            <b/>
            <sz val="9"/>
            <color indexed="81"/>
            <rFont val="Tahoma"/>
            <family val="2"/>
          </rPr>
          <t>&lt;[[DEVDeals] - [Associated TC Deal (Seq: 1)] - [TC Property Current Stage (Seq: 1)] - [Buildings (Seq: 96)] State - Both]&gt;</t>
        </r>
      </text>
    </comment>
    <comment ref="X286" authorId="0" shapeId="0" xr:uid="{2C3A4C8C-A36D-4441-AE3E-34D86A1EF43C}">
      <text>
        <r>
          <rPr>
            <b/>
            <sz val="9"/>
            <color indexed="81"/>
            <rFont val="Tahoma"/>
            <family val="2"/>
          </rPr>
          <t>&lt;[[DEVDeals] - [Associated TC Deal (Seq: 1)] - [TC Property Current Stage (Seq: 1)] - [Buildings (Seq: 96)] Zip Code - Both]&gt;</t>
        </r>
      </text>
    </comment>
    <comment ref="Y286" authorId="0" shapeId="0" xr:uid="{DEB6095A-1DAF-48A1-8A9E-B58DAF2CEC97}">
      <text>
        <r>
          <rPr>
            <b/>
            <sz val="9"/>
            <color indexed="81"/>
            <rFont val="Tahoma"/>
            <family val="2"/>
          </rPr>
          <t>&lt;[[DEVDeals] - [Associated TC Deal (Seq: 1)] - [TC Property Current Stage (Seq: 1)] - [Buildings (Seq: 96)] BIN - Both]&gt;</t>
        </r>
      </text>
    </comment>
    <comment ref="AA286" authorId="0" shapeId="0" xr:uid="{55F6CB14-1725-4D20-9226-9B25461AD981}">
      <text>
        <r>
          <rPr>
            <b/>
            <sz val="9"/>
            <color indexed="81"/>
            <rFont val="Tahoma"/>
            <family val="2"/>
          </rPr>
          <t>&lt;[[DEVDeals] - [Associated TC Deal (Seq: 1)] - [TC Property Current Stage (Seq: 1)] - [Buildings (Seq: 96)] Num TC Units - Both]&gt;</t>
        </r>
      </text>
    </comment>
    <comment ref="AB286" authorId="0" shapeId="0" xr:uid="{1EB7754F-FD1A-4F9B-876C-077DABA55F82}">
      <text>
        <r>
          <rPr>
            <b/>
            <sz val="9"/>
            <color indexed="81"/>
            <rFont val="Tahoma"/>
            <family val="2"/>
          </rPr>
          <t>&lt;[[DEVDeals] - [Associated TC Deal (Seq: 1)] - [TC Property Current Stage (Seq: 1)] - [Buildings (Seq: 96)] - [Buildings - User Defined Field Values (Seq: 1)] Building Info - Total Square Footage - Both]&gt;</t>
        </r>
      </text>
    </comment>
    <comment ref="AC286" authorId="0" shapeId="0" xr:uid="{32A139C7-DE87-4A64-BA8E-DF19BEAA3F66}">
      <text>
        <r>
          <rPr>
            <b/>
            <sz val="9"/>
            <color indexed="81"/>
            <rFont val="Tahoma"/>
            <family val="2"/>
          </rPr>
          <t>&lt;[[DEVDeals] - [Associated TC Deal (Seq: 1)] - [TC Property Current Stage (Seq: 1)] - [Buildings (Seq: 96)] - [Buildings - User Defined Field Values (Seq: 1)] Building Info - Restricted Unit Square Footage - Both]&gt;</t>
        </r>
      </text>
    </comment>
    <comment ref="AD286" authorId="0" shapeId="0" xr:uid="{107F38B6-573C-4D9A-AA51-4425AE6F9D97}">
      <text>
        <r>
          <rPr>
            <b/>
            <sz val="9"/>
            <color indexed="81"/>
            <rFont val="Tahoma"/>
            <family val="2"/>
          </rPr>
          <t>&lt;[[DEVDeals] - [Associated TC Deal (Seq: 1)] - [TC Property Current Stage (Seq: 1)] - [Buildings (Seq: 96)] Applicable Fraction - Both]&gt;</t>
        </r>
      </text>
    </comment>
    <comment ref="AE286" authorId="0" shapeId="0" xr:uid="{469F887F-9B69-4D15-BE16-379053487872}">
      <text>
        <r>
          <rPr>
            <b/>
            <sz val="9"/>
            <color indexed="81"/>
            <rFont val="Tahoma"/>
            <family val="2"/>
          </rPr>
          <t>&lt;[[DEVDeals] - [Associated TC Deal (Seq: 1)] - [TC Property Current Stage (Seq: 1)] - [Buildings (Seq: 96)] - [Buildings - User Defined Field Values (Seq: 1)] Building Info - Year Built - Both]&gt;</t>
        </r>
      </text>
    </comment>
    <comment ref="AF286" authorId="0" shapeId="0" xr:uid="{8019A5A5-4DDA-4BC3-904F-C77AD3B9D5CB}">
      <text>
        <r>
          <rPr>
            <b/>
            <sz val="9"/>
            <color indexed="81"/>
            <rFont val="Tahoma"/>
            <family val="2"/>
          </rPr>
          <t>&lt;[[DEVDeals] - [Associated TC Deal (Seq: 1)] - [TC Property Current Stage (Seq: 1)] - [Buildings (Seq: 96)] - [Buildings - User Defined Field Values (Seq: 1)] Building Info - Building Type - Both]&gt;</t>
        </r>
      </text>
    </comment>
    <comment ref="AG286" authorId="0" shapeId="0" xr:uid="{AE25F416-E0CD-4E90-B3C1-523F2E59B119}">
      <text>
        <r>
          <rPr>
            <b/>
            <sz val="9"/>
            <color indexed="81"/>
            <rFont val="Tahoma"/>
            <family val="2"/>
          </rPr>
          <t>&lt;[[DEVDeals] - [Associated TC Deal (Seq: 1)] - [TC Property Current Stage (Seq: 1)] - [Buildings (Seq: 96)] Num Mkt Units - Both]&gt;</t>
        </r>
      </text>
    </comment>
    <comment ref="AH286" authorId="0" shapeId="0" xr:uid="{D400C1F8-8C45-41CC-A7B9-E49DED1D36DB}">
      <text>
        <r>
          <rPr>
            <b/>
            <sz val="9"/>
            <color indexed="81"/>
            <rFont val="Tahoma"/>
            <family val="2"/>
          </rPr>
          <t>&lt;[[DEVDeals] - [Associated TC Deal (Seq: 1)] - [TC Property Current Stage (Seq: 1)] - [Buildings (Seq: 96)] - [Buildings - User Defined Field Values (Seq: 1)] Building Info - Date Last Placed in Service - Both]&gt;</t>
        </r>
      </text>
    </comment>
    <comment ref="AI286" authorId="0" shapeId="0" xr:uid="{346CC134-93D4-4285-8FAE-E46FD6D461A4}">
      <text>
        <r>
          <rPr>
            <b/>
            <sz val="9"/>
            <color indexed="81"/>
            <rFont val="Tahoma"/>
            <family val="2"/>
          </rPr>
          <t>&lt;[[DEVDeals] - [Associated TC Deal (Seq: 1)] - [TC Property Current Stage (Seq: 1)] - [Buildings (Seq: 96)] - [Buildings - User Defined Field Values (Seq: 1)] Building Info - Sponsor's Purchase Date - Both]&gt;</t>
        </r>
      </text>
    </comment>
    <comment ref="AJ286" authorId="0" shapeId="0" xr:uid="{D4BF2D2E-DF86-46BF-8093-211B833219A4}">
      <text>
        <r>
          <rPr>
            <b/>
            <sz val="9"/>
            <color indexed="81"/>
            <rFont val="Tahoma"/>
            <family val="2"/>
          </rPr>
          <t>&lt;[[DEVDeals] - [Associated TC Deal (Seq: 1)] - [TC Property Current Stage (Seq: 1)] - [Buildings (Seq: 96)] - [Buildings - User Defined Field Values (Seq: 1)] Building Info - Years Between PIS &amp; Purchase Date - Both]&gt;</t>
        </r>
      </text>
    </comment>
    <comment ref="AK286" authorId="0" shapeId="0" xr:uid="{6723ADE6-962F-4809-A452-E361692214C0}">
      <text>
        <r>
          <rPr>
            <b/>
            <sz val="9"/>
            <color indexed="81"/>
            <rFont val="Tahoma"/>
            <family val="2"/>
          </rPr>
          <t>&lt;[[DEVDeals] - [Associated TC Deal (Seq: 1)] - [TC Property Current Stage (Seq: 1)] - [Buildings (Seq: 96)] Federal Minimum Set Aside Id - Both]&gt;</t>
        </r>
      </text>
    </comment>
    <comment ref="U287" authorId="0" shapeId="0" xr:uid="{D4A41F03-1B82-4454-84C2-60316C943774}">
      <text>
        <r>
          <rPr>
            <b/>
            <sz val="9"/>
            <color indexed="81"/>
            <rFont val="Tahoma"/>
            <family val="2"/>
          </rPr>
          <t>&lt;[[DEVDeals] - [Associated TC Deal (Seq: 1)] - [TC Property Current Stage (Seq: 1)] - [Buildings (Seq: 97)] Address 1 - Both]&gt;</t>
        </r>
      </text>
    </comment>
    <comment ref="V287" authorId="0" shapeId="0" xr:uid="{CD108D06-D69C-42CC-BF67-91F6F5D6ADAC}">
      <text>
        <r>
          <rPr>
            <b/>
            <sz val="9"/>
            <color indexed="81"/>
            <rFont val="Tahoma"/>
            <family val="2"/>
          </rPr>
          <t>&lt;[[DEVDeals] - [Associated TC Deal (Seq: 1)] - [TC Property Current Stage (Seq: 1)] - [Buildings (Seq: 97)] City - Both]&gt;</t>
        </r>
      </text>
    </comment>
    <comment ref="W287" authorId="0" shapeId="0" xr:uid="{B77FA83E-2587-4E2F-9ECC-836E585863EE}">
      <text>
        <r>
          <rPr>
            <b/>
            <sz val="9"/>
            <color indexed="81"/>
            <rFont val="Tahoma"/>
            <family val="2"/>
          </rPr>
          <t>&lt;[[DEVDeals] - [Associated TC Deal (Seq: 1)] - [TC Property Current Stage (Seq: 1)] - [Buildings (Seq: 97)] State - Both]&gt;</t>
        </r>
      </text>
    </comment>
    <comment ref="X287" authorId="0" shapeId="0" xr:uid="{0C2B296B-0B86-4615-8E61-CAC60E1A11F5}">
      <text>
        <r>
          <rPr>
            <b/>
            <sz val="9"/>
            <color indexed="81"/>
            <rFont val="Tahoma"/>
            <family val="2"/>
          </rPr>
          <t>&lt;[[DEVDeals] - [Associated TC Deal (Seq: 1)] - [TC Property Current Stage (Seq: 1)] - [Buildings (Seq: 97)] Zip Code - Both]&gt;</t>
        </r>
      </text>
    </comment>
    <comment ref="Y287" authorId="0" shapeId="0" xr:uid="{256680E8-79FB-4B91-8A14-710D3319F0F3}">
      <text>
        <r>
          <rPr>
            <b/>
            <sz val="9"/>
            <color indexed="81"/>
            <rFont val="Tahoma"/>
            <family val="2"/>
          </rPr>
          <t>&lt;[[DEVDeals] - [Associated TC Deal (Seq: 1)] - [TC Property Current Stage (Seq: 1)] - [Buildings (Seq: 97)] BIN - Both]&gt;</t>
        </r>
      </text>
    </comment>
    <comment ref="AA287" authorId="0" shapeId="0" xr:uid="{CB498072-EFE0-44C1-BD19-23BC45CE7053}">
      <text>
        <r>
          <rPr>
            <b/>
            <sz val="9"/>
            <color indexed="81"/>
            <rFont val="Tahoma"/>
            <family val="2"/>
          </rPr>
          <t>&lt;[[DEVDeals] - [Associated TC Deal (Seq: 1)] - [TC Property Current Stage (Seq: 1)] - [Buildings (Seq: 97)] Num TC Units - Both]&gt;</t>
        </r>
      </text>
    </comment>
    <comment ref="AB287" authorId="0" shapeId="0" xr:uid="{A4A1FE26-72F3-4743-9337-0F230BCF7F2D}">
      <text>
        <r>
          <rPr>
            <b/>
            <sz val="9"/>
            <color indexed="81"/>
            <rFont val="Tahoma"/>
            <family val="2"/>
          </rPr>
          <t>&lt;[[DEVDeals] - [Associated TC Deal (Seq: 1)] - [TC Property Current Stage (Seq: 1)] - [Buildings (Seq: 97)] - [Buildings - User Defined Field Values (Seq: 1)] Building Info - Total Square Footage - Both]&gt;</t>
        </r>
      </text>
    </comment>
    <comment ref="AC287" authorId="0" shapeId="0" xr:uid="{CCC21DB2-05B1-474B-A4B0-F0D81B46070E}">
      <text>
        <r>
          <rPr>
            <b/>
            <sz val="9"/>
            <color indexed="81"/>
            <rFont val="Tahoma"/>
            <family val="2"/>
          </rPr>
          <t>&lt;[[DEVDeals] - [Associated TC Deal (Seq: 1)] - [TC Property Current Stage (Seq: 1)] - [Buildings (Seq: 97)] - [Buildings - User Defined Field Values (Seq: 1)] Building Info - Restricted Unit Square Footage - Both]&gt;</t>
        </r>
      </text>
    </comment>
    <comment ref="AD287" authorId="0" shapeId="0" xr:uid="{BE5DEAD6-4C42-4AD0-9B76-BF86D1A98030}">
      <text>
        <r>
          <rPr>
            <b/>
            <sz val="9"/>
            <color indexed="81"/>
            <rFont val="Tahoma"/>
            <family val="2"/>
          </rPr>
          <t>&lt;[[DEVDeals] - [Associated TC Deal (Seq: 1)] - [TC Property Current Stage (Seq: 1)] - [Buildings (Seq: 97)] Applicable Fraction - Both]&gt;</t>
        </r>
      </text>
    </comment>
    <comment ref="AE287" authorId="0" shapeId="0" xr:uid="{BD42F7B3-FC7B-4682-9CE9-C6B4A592D25D}">
      <text>
        <r>
          <rPr>
            <b/>
            <sz val="9"/>
            <color indexed="81"/>
            <rFont val="Tahoma"/>
            <family val="2"/>
          </rPr>
          <t>&lt;[[DEVDeals] - [Associated TC Deal (Seq: 1)] - [TC Property Current Stage (Seq: 1)] - [Buildings (Seq: 97)] - [Buildings - User Defined Field Values (Seq: 1)] Building Info - Year Built - Both]&gt;</t>
        </r>
      </text>
    </comment>
    <comment ref="AF287" authorId="0" shapeId="0" xr:uid="{D90BD6F6-6B20-4E1E-A221-9963C54623AD}">
      <text>
        <r>
          <rPr>
            <b/>
            <sz val="9"/>
            <color indexed="81"/>
            <rFont val="Tahoma"/>
            <family val="2"/>
          </rPr>
          <t>&lt;[[DEVDeals] - [Associated TC Deal (Seq: 1)] - [TC Property Current Stage (Seq: 1)] - [Buildings (Seq: 97)] - [Buildings - User Defined Field Values (Seq: 1)] Building Info - Building Type - Both]&gt;</t>
        </r>
      </text>
    </comment>
    <comment ref="AG287" authorId="0" shapeId="0" xr:uid="{FAB9A5CA-BEA7-4085-B3C5-75777F12435D}">
      <text>
        <r>
          <rPr>
            <b/>
            <sz val="9"/>
            <color indexed="81"/>
            <rFont val="Tahoma"/>
            <family val="2"/>
          </rPr>
          <t>&lt;[[DEVDeals] - [Associated TC Deal (Seq: 1)] - [TC Property Current Stage (Seq: 1)] - [Buildings (Seq: 97)] Num Mkt Units - Both]&gt;</t>
        </r>
      </text>
    </comment>
    <comment ref="AH287" authorId="0" shapeId="0" xr:uid="{5D7E9D9A-4541-40B2-B464-DBBFDF64270E}">
      <text>
        <r>
          <rPr>
            <b/>
            <sz val="9"/>
            <color indexed="81"/>
            <rFont val="Tahoma"/>
            <family val="2"/>
          </rPr>
          <t>&lt;[[DEVDeals] - [Associated TC Deal (Seq: 1)] - [TC Property Current Stage (Seq: 1)] - [Buildings (Seq: 97)] - [Buildings - User Defined Field Values (Seq: 1)] Building Info - Date Last Placed in Service - Both]&gt;</t>
        </r>
      </text>
    </comment>
    <comment ref="AI287" authorId="0" shapeId="0" xr:uid="{C1648E12-55C4-44AB-99B0-3D4A6B79DD1B}">
      <text>
        <r>
          <rPr>
            <b/>
            <sz val="9"/>
            <color indexed="81"/>
            <rFont val="Tahoma"/>
            <family val="2"/>
          </rPr>
          <t>&lt;[[DEVDeals] - [Associated TC Deal (Seq: 1)] - [TC Property Current Stage (Seq: 1)] - [Buildings (Seq: 97)] - [Buildings - User Defined Field Values (Seq: 1)] Building Info - Sponsor's Purchase Date - Both]&gt;</t>
        </r>
      </text>
    </comment>
    <comment ref="AJ287" authorId="0" shapeId="0" xr:uid="{36B27721-1BCB-4E32-A980-D9F728F871C3}">
      <text>
        <r>
          <rPr>
            <b/>
            <sz val="9"/>
            <color indexed="81"/>
            <rFont val="Tahoma"/>
            <family val="2"/>
          </rPr>
          <t>&lt;[[DEVDeals] - [Associated TC Deal (Seq: 1)] - [TC Property Current Stage (Seq: 1)] - [Buildings (Seq: 97)] - [Buildings - User Defined Field Values (Seq: 1)] Building Info - Years Between PIS &amp; Purchase Date - Both]&gt;</t>
        </r>
      </text>
    </comment>
    <comment ref="AK287" authorId="0" shapeId="0" xr:uid="{3862456A-90C9-4259-8D9C-93E859DB01E2}">
      <text>
        <r>
          <rPr>
            <b/>
            <sz val="9"/>
            <color indexed="81"/>
            <rFont val="Tahoma"/>
            <family val="2"/>
          </rPr>
          <t>&lt;[[DEVDeals] - [Associated TC Deal (Seq: 1)] - [TC Property Current Stage (Seq: 1)] - [Buildings (Seq: 97)] Federal Minimum Set Aside Id - Both]&gt;</t>
        </r>
      </text>
    </comment>
    <comment ref="U288" authorId="0" shapeId="0" xr:uid="{6D078097-53B0-4C5E-8BAB-0C403CFD07A8}">
      <text>
        <r>
          <rPr>
            <b/>
            <sz val="9"/>
            <color indexed="81"/>
            <rFont val="Tahoma"/>
            <family val="2"/>
          </rPr>
          <t>&lt;[[DEVDeals] - [Associated TC Deal (Seq: 1)] - [TC Property Current Stage (Seq: 1)] - [Buildings (Seq: 98)] Address 1 - Both]&gt;</t>
        </r>
      </text>
    </comment>
    <comment ref="V288" authorId="0" shapeId="0" xr:uid="{282CEA63-B032-48E4-9DAB-922EB7AFDF99}">
      <text>
        <r>
          <rPr>
            <b/>
            <sz val="9"/>
            <color indexed="81"/>
            <rFont val="Tahoma"/>
            <family val="2"/>
          </rPr>
          <t>&lt;[[DEVDeals] - [Associated TC Deal (Seq: 1)] - [TC Property Current Stage (Seq: 1)] - [Buildings (Seq: 98)] City - Both]&gt;</t>
        </r>
      </text>
    </comment>
    <comment ref="W288" authorId="0" shapeId="0" xr:uid="{41B8A5C6-8B0B-410E-9DC8-316902F1BCCC}">
      <text>
        <r>
          <rPr>
            <b/>
            <sz val="9"/>
            <color indexed="81"/>
            <rFont val="Tahoma"/>
            <family val="2"/>
          </rPr>
          <t>&lt;[[DEVDeals] - [Associated TC Deal (Seq: 1)] - [TC Property Current Stage (Seq: 1)] - [Buildings (Seq: 98)] State - Both]&gt;</t>
        </r>
      </text>
    </comment>
    <comment ref="X288" authorId="0" shapeId="0" xr:uid="{7AB839E5-85F0-4761-B6C0-88ED9B2E54FF}">
      <text>
        <r>
          <rPr>
            <b/>
            <sz val="9"/>
            <color indexed="81"/>
            <rFont val="Tahoma"/>
            <family val="2"/>
          </rPr>
          <t>&lt;[[DEVDeals] - [Associated TC Deal (Seq: 1)] - [TC Property Current Stage (Seq: 1)] - [Buildings (Seq: 98)] Zip Code - Both]&gt;</t>
        </r>
      </text>
    </comment>
    <comment ref="Y288" authorId="0" shapeId="0" xr:uid="{F516328E-A8D0-423D-AF47-9652208EDD24}">
      <text>
        <r>
          <rPr>
            <b/>
            <sz val="9"/>
            <color indexed="81"/>
            <rFont val="Tahoma"/>
            <family val="2"/>
          </rPr>
          <t>&lt;[[DEVDeals] - [Associated TC Deal (Seq: 1)] - [TC Property Current Stage (Seq: 1)] - [Buildings (Seq: 98)] BIN - Both]&gt;</t>
        </r>
      </text>
    </comment>
    <comment ref="AA288" authorId="0" shapeId="0" xr:uid="{D53AA326-B08C-4B76-A976-431AACA633CC}">
      <text>
        <r>
          <rPr>
            <b/>
            <sz val="9"/>
            <color indexed="81"/>
            <rFont val="Tahoma"/>
            <family val="2"/>
          </rPr>
          <t>&lt;[[DEVDeals] - [Associated TC Deal (Seq: 1)] - [TC Property Current Stage (Seq: 1)] - [Buildings (Seq: 98)] Num TC Units - Both]&gt;</t>
        </r>
      </text>
    </comment>
    <comment ref="AB288" authorId="0" shapeId="0" xr:uid="{2DD64236-D7EA-47B5-B5CB-39BA14CD561F}">
      <text>
        <r>
          <rPr>
            <b/>
            <sz val="9"/>
            <color indexed="81"/>
            <rFont val="Tahoma"/>
            <family val="2"/>
          </rPr>
          <t>&lt;[[DEVDeals] - [Associated TC Deal (Seq: 1)] - [TC Property Current Stage (Seq: 1)] - [Buildings (Seq: 98)] - [Buildings - User Defined Field Values (Seq: 1)] Building Info - Total Square Footage - Both]&gt;</t>
        </r>
      </text>
    </comment>
    <comment ref="AC288" authorId="0" shapeId="0" xr:uid="{1A754687-0274-4D72-BFFE-F0193C3DFBD1}">
      <text>
        <r>
          <rPr>
            <b/>
            <sz val="9"/>
            <color indexed="81"/>
            <rFont val="Tahoma"/>
            <family val="2"/>
          </rPr>
          <t>&lt;[[DEVDeals] - [Associated TC Deal (Seq: 1)] - [TC Property Current Stage (Seq: 1)] - [Buildings (Seq: 98)] - [Buildings - User Defined Field Values (Seq: 1)] Building Info - Restricted Unit Square Footage - Both]&gt;</t>
        </r>
      </text>
    </comment>
    <comment ref="AD288" authorId="0" shapeId="0" xr:uid="{F8876F88-9982-4138-8115-B6BCFCF568BC}">
      <text>
        <r>
          <rPr>
            <b/>
            <sz val="9"/>
            <color indexed="81"/>
            <rFont val="Tahoma"/>
            <family val="2"/>
          </rPr>
          <t>&lt;[[DEVDeals] - [Associated TC Deal (Seq: 1)] - [TC Property Current Stage (Seq: 1)] - [Buildings (Seq: 98)] Applicable Fraction - Both]&gt;</t>
        </r>
      </text>
    </comment>
    <comment ref="AE288" authorId="0" shapeId="0" xr:uid="{167A0250-37C1-4677-807F-7AD2AAFD972B}">
      <text>
        <r>
          <rPr>
            <b/>
            <sz val="9"/>
            <color indexed="81"/>
            <rFont val="Tahoma"/>
            <family val="2"/>
          </rPr>
          <t>&lt;[[DEVDeals] - [Associated TC Deal (Seq: 1)] - [TC Property Current Stage (Seq: 1)] - [Buildings (Seq: 98)] - [Buildings - User Defined Field Values (Seq: 1)] Building Info - Year Built - Both]&gt;</t>
        </r>
      </text>
    </comment>
    <comment ref="AF288" authorId="0" shapeId="0" xr:uid="{F831DB11-FC90-4F5D-8C22-A9ACD8D47E19}">
      <text>
        <r>
          <rPr>
            <b/>
            <sz val="9"/>
            <color indexed="81"/>
            <rFont val="Tahoma"/>
            <family val="2"/>
          </rPr>
          <t>&lt;[[DEVDeals] - [Associated TC Deal (Seq: 1)] - [TC Property Current Stage (Seq: 1)] - [Buildings (Seq: 98)] - [Buildings - User Defined Field Values (Seq: 1)] Building Info - Building Type - Both]&gt;</t>
        </r>
      </text>
    </comment>
    <comment ref="AG288" authorId="0" shapeId="0" xr:uid="{603CA5FC-77AA-4B93-A070-4836E359C19B}">
      <text>
        <r>
          <rPr>
            <b/>
            <sz val="9"/>
            <color indexed="81"/>
            <rFont val="Tahoma"/>
            <family val="2"/>
          </rPr>
          <t>&lt;[[DEVDeals] - [Associated TC Deal (Seq: 1)] - [TC Property Current Stage (Seq: 1)] - [Buildings (Seq: 98)] Num Mkt Units - Both]&gt;</t>
        </r>
      </text>
    </comment>
    <comment ref="AH288" authorId="0" shapeId="0" xr:uid="{20C95ABF-ED0B-498D-B61E-1F69BC51499D}">
      <text>
        <r>
          <rPr>
            <b/>
            <sz val="9"/>
            <color indexed="81"/>
            <rFont val="Tahoma"/>
            <family val="2"/>
          </rPr>
          <t>&lt;[[DEVDeals] - [Associated TC Deal (Seq: 1)] - [TC Property Current Stage (Seq: 1)] - [Buildings (Seq: 98)] - [Buildings - User Defined Field Values (Seq: 1)] Building Info - Date Last Placed in Service - Both]&gt;</t>
        </r>
      </text>
    </comment>
    <comment ref="AI288" authorId="0" shapeId="0" xr:uid="{35BCBFCA-97FA-4B52-AA35-A7EC9676577D}">
      <text>
        <r>
          <rPr>
            <b/>
            <sz val="9"/>
            <color indexed="81"/>
            <rFont val="Tahoma"/>
            <family val="2"/>
          </rPr>
          <t>&lt;[[DEVDeals] - [Associated TC Deal (Seq: 1)] - [TC Property Current Stage (Seq: 1)] - [Buildings (Seq: 98)] - [Buildings - User Defined Field Values (Seq: 1)] Building Info - Sponsor's Purchase Date - Both]&gt;</t>
        </r>
      </text>
    </comment>
    <comment ref="AJ288" authorId="0" shapeId="0" xr:uid="{C2D72A13-F8FC-4F0D-9E89-747B0850D946}">
      <text>
        <r>
          <rPr>
            <b/>
            <sz val="9"/>
            <color indexed="81"/>
            <rFont val="Tahoma"/>
            <family val="2"/>
          </rPr>
          <t>&lt;[[DEVDeals] - [Associated TC Deal (Seq: 1)] - [TC Property Current Stage (Seq: 1)] - [Buildings (Seq: 98)] - [Buildings - User Defined Field Values (Seq: 1)] Building Info - Years Between PIS &amp; Purchase Date - Both]&gt;</t>
        </r>
      </text>
    </comment>
    <comment ref="AK288" authorId="0" shapeId="0" xr:uid="{756E7E7C-996F-448E-AE8B-9E70275AC7EC}">
      <text>
        <r>
          <rPr>
            <b/>
            <sz val="9"/>
            <color indexed="81"/>
            <rFont val="Tahoma"/>
            <family val="2"/>
          </rPr>
          <t>&lt;[[DEVDeals] - [Associated TC Deal (Seq: 1)] - [TC Property Current Stage (Seq: 1)] - [Buildings (Seq: 98)] Federal Minimum Set Aside Id - Both]&gt;</t>
        </r>
      </text>
    </comment>
    <comment ref="U289" authorId="0" shapeId="0" xr:uid="{395146C0-256E-487A-B1DE-6FE264EF28EB}">
      <text>
        <r>
          <rPr>
            <b/>
            <sz val="9"/>
            <color indexed="81"/>
            <rFont val="Tahoma"/>
            <family val="2"/>
          </rPr>
          <t>&lt;[[DEVDeals] - [Associated TC Deal (Seq: 1)] - [TC Property Current Stage (Seq: 1)] - [Buildings (Seq: 99)] Address 1 - Both]&gt;</t>
        </r>
      </text>
    </comment>
    <comment ref="V289" authorId="0" shapeId="0" xr:uid="{117E34CA-B49E-4884-A057-64B785DBBC3D}">
      <text>
        <r>
          <rPr>
            <b/>
            <sz val="9"/>
            <color indexed="81"/>
            <rFont val="Tahoma"/>
            <family val="2"/>
          </rPr>
          <t>&lt;[[DEVDeals] - [Associated TC Deal (Seq: 1)] - [TC Property Current Stage (Seq: 1)] - [Buildings (Seq: 99)] City - Both]&gt;</t>
        </r>
      </text>
    </comment>
    <comment ref="W289" authorId="0" shapeId="0" xr:uid="{274D82CB-736E-4B00-8A8A-D6F14FBE1EA5}">
      <text>
        <r>
          <rPr>
            <b/>
            <sz val="9"/>
            <color indexed="81"/>
            <rFont val="Tahoma"/>
            <family val="2"/>
          </rPr>
          <t>&lt;[[DEVDeals] - [Associated TC Deal (Seq: 1)] - [TC Property Current Stage (Seq: 1)] - [Buildings (Seq: 99)] State - Both]&gt;</t>
        </r>
      </text>
    </comment>
    <comment ref="X289" authorId="0" shapeId="0" xr:uid="{BA63A96A-D493-470F-85B1-7E3A6040A4C5}">
      <text>
        <r>
          <rPr>
            <b/>
            <sz val="9"/>
            <color indexed="81"/>
            <rFont val="Tahoma"/>
            <family val="2"/>
          </rPr>
          <t>&lt;[[DEVDeals] - [Associated TC Deal (Seq: 1)] - [TC Property Current Stage (Seq: 1)] - [Buildings (Seq: 99)] Zip Code - Both]&gt;</t>
        </r>
      </text>
    </comment>
    <comment ref="Y289" authorId="0" shapeId="0" xr:uid="{C16C661D-12FD-485B-BBED-251B3F16332F}">
      <text>
        <r>
          <rPr>
            <b/>
            <sz val="9"/>
            <color indexed="81"/>
            <rFont val="Tahoma"/>
            <family val="2"/>
          </rPr>
          <t>&lt;[[DEVDeals] - [Associated TC Deal (Seq: 1)] - [TC Property Current Stage (Seq: 1)] - [Buildings (Seq: 99)] BIN - Both]&gt;</t>
        </r>
      </text>
    </comment>
    <comment ref="AA289" authorId="0" shapeId="0" xr:uid="{98BD5A14-9FDD-463C-AB2B-F0E088D97CE9}">
      <text>
        <r>
          <rPr>
            <b/>
            <sz val="9"/>
            <color indexed="81"/>
            <rFont val="Tahoma"/>
            <family val="2"/>
          </rPr>
          <t>&lt;[[DEVDeals] - [Associated TC Deal (Seq: 1)] - [TC Property Current Stage (Seq: 1)] - [Buildings (Seq: 99)] Num TC Units - Both]&gt;</t>
        </r>
      </text>
    </comment>
    <comment ref="AB289" authorId="0" shapeId="0" xr:uid="{CAA336EA-B596-484B-880D-7A86A5C7A5D3}">
      <text>
        <r>
          <rPr>
            <b/>
            <sz val="9"/>
            <color indexed="81"/>
            <rFont val="Tahoma"/>
            <family val="2"/>
          </rPr>
          <t>&lt;[[DEVDeals] - [Associated TC Deal (Seq: 1)] - [TC Property Current Stage (Seq: 1)] - [Buildings (Seq: 99)] - [Buildings - User Defined Field Values (Seq: 1)] Building Info - Total Square Footage - Both]&gt;</t>
        </r>
      </text>
    </comment>
    <comment ref="AC289" authorId="0" shapeId="0" xr:uid="{7B9972A8-B219-4F91-92E7-5685D1B2734D}">
      <text>
        <r>
          <rPr>
            <b/>
            <sz val="9"/>
            <color indexed="81"/>
            <rFont val="Tahoma"/>
            <family val="2"/>
          </rPr>
          <t>&lt;[[DEVDeals] - [Associated TC Deal (Seq: 1)] - [TC Property Current Stage (Seq: 1)] - [Buildings (Seq: 99)] - [Buildings - User Defined Field Values (Seq: 1)] Building Info - Restricted Unit Square Footage - Both]&gt;</t>
        </r>
      </text>
    </comment>
    <comment ref="AD289" authorId="0" shapeId="0" xr:uid="{0BD6F7A7-FCE6-46D2-9516-09025EB824A1}">
      <text>
        <r>
          <rPr>
            <b/>
            <sz val="9"/>
            <color indexed="81"/>
            <rFont val="Tahoma"/>
            <family val="2"/>
          </rPr>
          <t>&lt;[[DEVDeals] - [Associated TC Deal (Seq: 1)] - [TC Property Current Stage (Seq: 1)] - [Buildings (Seq: 99)] Applicable Fraction - Both]&gt;</t>
        </r>
      </text>
    </comment>
    <comment ref="AE289" authorId="0" shapeId="0" xr:uid="{5CED38D6-BAE6-4893-A26A-1C76D46BC28E}">
      <text>
        <r>
          <rPr>
            <b/>
            <sz val="9"/>
            <color indexed="81"/>
            <rFont val="Tahoma"/>
            <family val="2"/>
          </rPr>
          <t>&lt;[[DEVDeals] - [Associated TC Deal (Seq: 1)] - [TC Property Current Stage (Seq: 1)] - [Buildings (Seq: 99)] - [Buildings - User Defined Field Values (Seq: 1)] Building Info - Year Built - Both]&gt;</t>
        </r>
      </text>
    </comment>
    <comment ref="AF289" authorId="0" shapeId="0" xr:uid="{67D5B860-CB1C-4C25-99F8-25FB9BB616A5}">
      <text>
        <r>
          <rPr>
            <b/>
            <sz val="9"/>
            <color indexed="81"/>
            <rFont val="Tahoma"/>
            <family val="2"/>
          </rPr>
          <t>&lt;[[DEVDeals] - [Associated TC Deal (Seq: 1)] - [TC Property Current Stage (Seq: 1)] - [Buildings (Seq: 99)] - [Buildings - User Defined Field Values (Seq: 1)] Building Info - Building Type - Both]&gt;</t>
        </r>
      </text>
    </comment>
    <comment ref="AG289" authorId="0" shapeId="0" xr:uid="{176ECD4E-0D7C-4C1A-8D75-9C25195B6015}">
      <text>
        <r>
          <rPr>
            <b/>
            <sz val="9"/>
            <color indexed="81"/>
            <rFont val="Tahoma"/>
            <family val="2"/>
          </rPr>
          <t>&lt;[[DEVDeals] - [Associated TC Deal (Seq: 1)] - [TC Property Current Stage (Seq: 1)] - [Buildings (Seq: 99)] Num Mkt Units - Both]&gt;</t>
        </r>
      </text>
    </comment>
    <comment ref="AH289" authorId="0" shapeId="0" xr:uid="{D833F41D-A526-405F-AD44-8086CB1F17A0}">
      <text>
        <r>
          <rPr>
            <b/>
            <sz val="9"/>
            <color indexed="81"/>
            <rFont val="Tahoma"/>
            <family val="2"/>
          </rPr>
          <t>&lt;[[DEVDeals] - [Associated TC Deal (Seq: 1)] - [TC Property Current Stage (Seq: 1)] - [Buildings (Seq: 99)] - [Buildings - User Defined Field Values (Seq: 1)] Building Info - Date Last Placed in Service - Both]&gt;</t>
        </r>
      </text>
    </comment>
    <comment ref="AI289" authorId="0" shapeId="0" xr:uid="{DE6B240C-8E5F-44FA-86E9-CB867BCCBB38}">
      <text>
        <r>
          <rPr>
            <b/>
            <sz val="9"/>
            <color indexed="81"/>
            <rFont val="Tahoma"/>
            <family val="2"/>
          </rPr>
          <t>&lt;[[DEVDeals] - [Associated TC Deal (Seq: 1)] - [TC Property Current Stage (Seq: 1)] - [Buildings (Seq: 99)] - [Buildings - User Defined Field Values (Seq: 1)] Building Info - Sponsor's Purchase Date - Both]&gt;</t>
        </r>
      </text>
    </comment>
    <comment ref="AJ289" authorId="0" shapeId="0" xr:uid="{BEDCAA1F-001E-4478-A1AA-2897B36B67DB}">
      <text>
        <r>
          <rPr>
            <b/>
            <sz val="9"/>
            <color indexed="81"/>
            <rFont val="Tahoma"/>
            <family val="2"/>
          </rPr>
          <t>&lt;[[DEVDeals] - [Associated TC Deal (Seq: 1)] - [TC Property Current Stage (Seq: 1)] - [Buildings (Seq: 99)] - [Buildings - User Defined Field Values (Seq: 1)] Building Info - Years Between PIS &amp; Purchase Date - Both]&gt;</t>
        </r>
      </text>
    </comment>
    <comment ref="AK289" authorId="0" shapeId="0" xr:uid="{7E14FE95-2DC2-4D1A-985C-430F11119CBE}">
      <text>
        <r>
          <rPr>
            <b/>
            <sz val="9"/>
            <color indexed="81"/>
            <rFont val="Tahoma"/>
            <family val="2"/>
          </rPr>
          <t>&lt;[[DEVDeals] - [Associated TC Deal (Seq: 1)] - [TC Property Current Stage (Seq: 1)] - [Buildings (Seq: 99)] Federal Minimum Set Aside Id - Both]&gt;</t>
        </r>
      </text>
    </comment>
    <comment ref="U290" authorId="0" shapeId="0" xr:uid="{FAC61360-CD3B-46F6-A0E5-E65065D20279}">
      <text>
        <r>
          <rPr>
            <b/>
            <sz val="9"/>
            <color indexed="81"/>
            <rFont val="Tahoma"/>
            <family val="2"/>
          </rPr>
          <t>&lt;[[DEVDeals] - [Associated TC Deal (Seq: 1)] - [TC Property Current Stage (Seq: 1)] - [Buildings (Seq: 100)] Address 1 - Both]&gt;</t>
        </r>
      </text>
    </comment>
    <comment ref="V290" authorId="0" shapeId="0" xr:uid="{54B87712-3A27-40E5-9EC0-740BD052AB86}">
      <text>
        <r>
          <rPr>
            <b/>
            <sz val="9"/>
            <color indexed="81"/>
            <rFont val="Tahoma"/>
            <family val="2"/>
          </rPr>
          <t>&lt;[[DEVDeals] - [Associated TC Deal (Seq: 1)] - [TC Property Current Stage (Seq: 1)] - [Buildings (Seq: 100)] City - Both]&gt;</t>
        </r>
      </text>
    </comment>
    <comment ref="W290" authorId="0" shapeId="0" xr:uid="{8489BAA5-E885-40CB-B98A-CBAB65180519}">
      <text>
        <r>
          <rPr>
            <b/>
            <sz val="9"/>
            <color indexed="81"/>
            <rFont val="Tahoma"/>
            <family val="2"/>
          </rPr>
          <t>&lt;[[DEVDeals] - [Associated TC Deal (Seq: 1)] - [TC Property Current Stage (Seq: 1)] - [Buildings (Seq: 100)] State - Both]&gt;</t>
        </r>
      </text>
    </comment>
    <comment ref="X290" authorId="0" shapeId="0" xr:uid="{5F1A5BD6-3CE6-469C-9872-FCB784ABB94E}">
      <text>
        <r>
          <rPr>
            <b/>
            <sz val="9"/>
            <color indexed="81"/>
            <rFont val="Tahoma"/>
            <family val="2"/>
          </rPr>
          <t>&lt;[[DEVDeals] - [Associated TC Deal (Seq: 1)] - [TC Property Current Stage (Seq: 1)] - [Buildings (Seq: 100)] Zip Code - Both]&gt;</t>
        </r>
      </text>
    </comment>
    <comment ref="Y290" authorId="0" shapeId="0" xr:uid="{84478F5D-A3D9-45CC-AD06-73136B796858}">
      <text>
        <r>
          <rPr>
            <b/>
            <sz val="9"/>
            <color indexed="81"/>
            <rFont val="Tahoma"/>
            <family val="2"/>
          </rPr>
          <t>&lt;[[DEVDeals] - [Associated TC Deal (Seq: 1)] - [TC Property Current Stage (Seq: 1)] - [Buildings (Seq: 100)] BIN - Both]&gt;</t>
        </r>
      </text>
    </comment>
    <comment ref="AA290" authorId="0" shapeId="0" xr:uid="{3B2C8AB5-F972-4ECF-8E4D-6A16F490CE70}">
      <text>
        <r>
          <rPr>
            <b/>
            <sz val="9"/>
            <color indexed="81"/>
            <rFont val="Tahoma"/>
            <family val="2"/>
          </rPr>
          <t>&lt;[[DEVDeals] - [Associated TC Deal (Seq: 1)] - [TC Property Current Stage (Seq: 1)] - [Buildings (Seq: 100)] Num TC Units - Both]&gt;</t>
        </r>
      </text>
    </comment>
    <comment ref="AB290" authorId="0" shapeId="0" xr:uid="{91B82E37-89F2-4FC6-AB8A-D94D02CC9C73}">
      <text>
        <r>
          <rPr>
            <b/>
            <sz val="9"/>
            <color indexed="81"/>
            <rFont val="Tahoma"/>
            <family val="2"/>
          </rPr>
          <t>&lt;[[DEVDeals] - [Associated TC Deal (Seq: 1)] - [TC Property Current Stage (Seq: 1)] - [Buildings (Seq: 100)] - [Buildings - User Defined Field Values (Seq: 1)] Building Info - Total Square Footage - Both]&gt;</t>
        </r>
      </text>
    </comment>
    <comment ref="AC290" authorId="0" shapeId="0" xr:uid="{2587C682-4D37-45EA-B813-A28D4CCFCAB4}">
      <text>
        <r>
          <rPr>
            <b/>
            <sz val="9"/>
            <color indexed="81"/>
            <rFont val="Tahoma"/>
            <family val="2"/>
          </rPr>
          <t>&lt;[[DEVDeals] - [Associated TC Deal (Seq: 1)] - [TC Property Current Stage (Seq: 1)] - [Buildings (Seq: 100)] - [Buildings - User Defined Field Values (Seq: 1)] Building Info - Restricted Unit Square Footage - Both]&gt;</t>
        </r>
      </text>
    </comment>
    <comment ref="AD290" authorId="0" shapeId="0" xr:uid="{9F89C864-F8C8-409B-8A70-10570E79CD00}">
      <text>
        <r>
          <rPr>
            <b/>
            <sz val="9"/>
            <color indexed="81"/>
            <rFont val="Tahoma"/>
            <family val="2"/>
          </rPr>
          <t>&lt;[[DEVDeals] - [Associated TC Deal (Seq: 1)] - [TC Property Current Stage (Seq: 1)] - [Buildings (Seq: 100)] Applicable Fraction - Both]&gt;</t>
        </r>
      </text>
    </comment>
    <comment ref="AE290" authorId="0" shapeId="0" xr:uid="{F174E546-BFBF-4C75-966F-2C37B55DACB6}">
      <text>
        <r>
          <rPr>
            <b/>
            <sz val="9"/>
            <color indexed="81"/>
            <rFont val="Tahoma"/>
            <family val="2"/>
          </rPr>
          <t>&lt;[[DEVDeals] - [Associated TC Deal (Seq: 1)] - [TC Property Current Stage (Seq: 1)] - [Buildings (Seq: 100)] - [Buildings - User Defined Field Values (Seq: 1)] Building Info - Year Built - Both]&gt;</t>
        </r>
      </text>
    </comment>
    <comment ref="AF290" authorId="0" shapeId="0" xr:uid="{B03DBEDE-5345-4E9F-9E81-44982AB1F1FE}">
      <text>
        <r>
          <rPr>
            <b/>
            <sz val="9"/>
            <color indexed="81"/>
            <rFont val="Tahoma"/>
            <family val="2"/>
          </rPr>
          <t>&lt;[[DEVDeals] - [Associated TC Deal (Seq: 1)] - [TC Property Current Stage (Seq: 1)] - [Buildings (Seq: 100)] - [Buildings - User Defined Field Values (Seq: 1)] Building Info - Building Type - Both]&gt;</t>
        </r>
      </text>
    </comment>
    <comment ref="AG290" authorId="0" shapeId="0" xr:uid="{CB53ECD8-E449-4596-B3D6-7DB6FCD162A2}">
      <text>
        <r>
          <rPr>
            <b/>
            <sz val="9"/>
            <color indexed="81"/>
            <rFont val="Tahoma"/>
            <family val="2"/>
          </rPr>
          <t>&lt;[[DEVDeals] - [Associated TC Deal (Seq: 1)] - [TC Property Current Stage (Seq: 1)] - [Buildings (Seq: 100)] Num Mkt Units - Both]&gt;</t>
        </r>
      </text>
    </comment>
    <comment ref="AH290" authorId="0" shapeId="0" xr:uid="{709C328F-CE16-4720-8B4E-8D819158F8EF}">
      <text>
        <r>
          <rPr>
            <b/>
            <sz val="9"/>
            <color indexed="81"/>
            <rFont val="Tahoma"/>
            <family val="2"/>
          </rPr>
          <t>&lt;[[DEVDeals] - [Associated TC Deal (Seq: 1)] - [TC Property Current Stage (Seq: 1)] - [Buildings (Seq: 100)] - [Buildings - User Defined Field Values (Seq: 1)] Building Info - Date Last Placed in Service - Both]&gt;</t>
        </r>
      </text>
    </comment>
    <comment ref="AI290" authorId="0" shapeId="0" xr:uid="{19A87001-A305-49DD-B939-BA6ED568494E}">
      <text>
        <r>
          <rPr>
            <b/>
            <sz val="9"/>
            <color indexed="81"/>
            <rFont val="Tahoma"/>
            <family val="2"/>
          </rPr>
          <t>&lt;[[DEVDeals] - [Associated TC Deal (Seq: 1)] - [TC Property Current Stage (Seq: 1)] - [Buildings (Seq: 100)] - [Buildings - User Defined Field Values (Seq: 1)] Building Info - Sponsor's Purchase Date - Both]&gt;</t>
        </r>
      </text>
    </comment>
    <comment ref="AJ290" authorId="0" shapeId="0" xr:uid="{9FE56EF2-9878-4CA5-8EE9-B1D70F140EAD}">
      <text>
        <r>
          <rPr>
            <b/>
            <sz val="9"/>
            <color indexed="81"/>
            <rFont val="Tahoma"/>
            <family val="2"/>
          </rPr>
          <t>&lt;[[DEVDeals] - [Associated TC Deal (Seq: 1)] - [TC Property Current Stage (Seq: 1)] - [Buildings (Seq: 100)] - [Buildings - User Defined Field Values (Seq: 1)] Building Info - Years Between PIS &amp; Purchase Date - Both]&gt;</t>
        </r>
      </text>
    </comment>
    <comment ref="AK290" authorId="0" shapeId="0" xr:uid="{41FCAE8E-CF76-40AE-BFA6-E5817E616ADD}">
      <text>
        <r>
          <rPr>
            <b/>
            <sz val="9"/>
            <color indexed="81"/>
            <rFont val="Tahoma"/>
            <family val="2"/>
          </rPr>
          <t>&lt;[[DEVDeals] - [Associated TC Deal (Seq: 1)] - [TC Property Current Stage (Seq: 1)] - [Buildings (Seq: 100)] Federal Minimum Set Aside Id - Both]&gt;</t>
        </r>
      </text>
    </comment>
    <comment ref="Q295" authorId="0" shapeId="0" xr:uid="{420E5374-02E1-4F39-A2F7-3275C917662F}">
      <text>
        <r>
          <rPr>
            <b/>
            <sz val="9"/>
            <color indexed="81"/>
            <rFont val="Tahoma"/>
            <family val="2"/>
          </rPr>
          <t>&lt;[[DEVDeals] - [Deal Property (Seq: 1)] - [Locations (Seq: 1)] - [Unit Mix (Seq: 1)] Unit Mix Ami Percent - Both]&gt;</t>
        </r>
      </text>
    </comment>
    <comment ref="R295" authorId="0" shapeId="0" xr:uid="{2AD66852-412A-4473-81E9-BED745F3A245}">
      <text>
        <r>
          <rPr>
            <b/>
            <sz val="9"/>
            <color indexed="81"/>
            <rFont val="Tahoma"/>
            <family val="2"/>
          </rPr>
          <t>&lt;[[DEVDeals] - [Deal Property (Seq: 1)] - [Locations (Seq: 1)] - [Unit Mix (Seq: 1)] Unit Type - Both]&gt;</t>
        </r>
      </text>
    </comment>
    <comment ref="S295" authorId="0" shapeId="0" xr:uid="{4250E865-314E-4F9A-BD29-838571C52C50}">
      <text>
        <r>
          <rPr>
            <b/>
            <sz val="9"/>
            <color indexed="81"/>
            <rFont val="Tahoma"/>
            <family val="2"/>
          </rPr>
          <t>&lt;[[DEVDeals] - [Deal Property (Seq: 1)] - [Locations (Seq: 1)] - [Unit Mix (Seq: 1)] - [Unit Mix - User Defined Field Values (Seq: 1)] Rent Information - Bathroom Count - Both]&gt;</t>
        </r>
      </text>
    </comment>
    <comment ref="T295" authorId="0" shapeId="0" xr:uid="{E653D907-40E4-4040-81C1-71C29C90A76F}">
      <text>
        <r>
          <rPr>
            <b/>
            <sz val="9"/>
            <color indexed="81"/>
            <rFont val="Tahoma"/>
            <family val="2"/>
          </rPr>
          <t>&lt;[[DEVDeals] - [Deal Property (Seq: 1)] - [Locations (Seq: 1)] - [Unit Mix (Seq: 1)] Num Units - Both]&gt;</t>
        </r>
      </text>
    </comment>
    <comment ref="U295" authorId="0" shapeId="0" xr:uid="{901FC488-99E5-4302-8B96-3767E4FF1129}">
      <text>
        <r>
          <rPr>
            <b/>
            <sz val="9"/>
            <color indexed="81"/>
            <rFont val="Tahoma"/>
            <family val="2"/>
          </rPr>
          <t>&lt;[[DEVDeals] - [Deal Property (Seq: 1)] - [Locations (Seq: 1)] - [Unit Mix (Seq: 1)] Square Footage - Both]&gt;</t>
        </r>
      </text>
    </comment>
    <comment ref="V295" authorId="0" shapeId="0" xr:uid="{AB484262-2C27-42EF-BC80-C9150C2D9827}">
      <text>
        <r>
          <rPr>
            <b/>
            <sz val="9"/>
            <color indexed="81"/>
            <rFont val="Tahoma"/>
            <family val="2"/>
          </rPr>
          <t>&lt;[[DEVDeals] - [Deal Property (Seq: 1)] - [Locations (Seq: 1)] - [Unit Mix (Seq: 1)] Estimated Tenant Paid Utilities - Both]&gt;</t>
        </r>
      </text>
    </comment>
    <comment ref="W295" authorId="0" shapeId="0" xr:uid="{075E8A75-453F-4E8E-9CDF-0FCC9CF73B51}">
      <text>
        <r>
          <rPr>
            <b/>
            <sz val="9"/>
            <color indexed="81"/>
            <rFont val="Tahoma"/>
            <family val="2"/>
          </rPr>
          <t>&lt;[[DEVDeals] - [Deal Property (Seq: 1)] - [Locations (Seq: 1)] - [Unit Mix (Seq: 1)] - [Unit Mix - User Defined Field Values (Seq: 1)] Rent Information - Resident Paid Rent - Both]&gt;</t>
        </r>
      </text>
    </comment>
    <comment ref="X295" authorId="0" shapeId="0" xr:uid="{78712D33-2799-45C3-99D1-446AA4DA9DFB}">
      <text>
        <r>
          <rPr>
            <b/>
            <sz val="9"/>
            <color indexed="81"/>
            <rFont val="Tahoma"/>
            <family val="2"/>
          </rPr>
          <t>&lt;[[DEVDeals] - [Deal Property (Seq: 1)] - [Locations (Seq: 1)] - [Unit Mix (Seq: 1)] - [Unit Mix - User Defined Field Values (Seq: 1)] Rent Information - Rent Subsidy - Both]&gt;</t>
        </r>
      </text>
    </comment>
    <comment ref="Y295" authorId="0" shapeId="0" xr:uid="{F5EE91FE-F2AC-4FB1-B46F-E5179A52BD1B}">
      <text>
        <r>
          <rPr>
            <b/>
            <sz val="9"/>
            <color indexed="81"/>
            <rFont val="Tahoma"/>
            <family val="2"/>
          </rPr>
          <t>&lt;[[DEVDeals] - [Deal Property (Seq: 1)] - [Locations (Seq: 1)] - [Unit Mix (Seq: 1)] Notes - Both]&gt;</t>
        </r>
      </text>
    </comment>
    <comment ref="Z295" authorId="0" shapeId="0" xr:uid="{DA0AED3E-E120-4270-BEC5-7F59E6ADDEAB}">
      <text>
        <r>
          <rPr>
            <b/>
            <sz val="9"/>
            <color indexed="81"/>
            <rFont val="Tahoma"/>
            <family val="2"/>
          </rPr>
          <t>&lt;[[DEVDeals] - [Deal Property (Seq: 1)] - [Locations (Seq: 1)] - [Unit Mix (Seq: 1)] Base Rent - Both]&gt;</t>
        </r>
      </text>
    </comment>
    <comment ref="AA295" authorId="0" shapeId="0" xr:uid="{E20330B0-156F-4A7A-90AF-04525BC79521}">
      <text>
        <r>
          <rPr>
            <b/>
            <sz val="9"/>
            <color indexed="81"/>
            <rFont val="Tahoma"/>
            <family val="2"/>
          </rPr>
          <t>&lt;[[DEVDeals] - [Deal Property (Seq: 1)] - [Locations (Seq: 1)] - [Unit Mix (Seq: 1)] - [Unit Mix - User Defined Field Values (Seq: 1)] Rent Information - UFAS Unit - Both]&gt;</t>
        </r>
      </text>
    </comment>
    <comment ref="AB295" authorId="0" shapeId="0" xr:uid="{D30D934A-D047-4051-A475-E946EEBFBA95}">
      <text>
        <r>
          <rPr>
            <b/>
            <sz val="9"/>
            <color indexed="81"/>
            <rFont val="Tahoma"/>
            <family val="2"/>
          </rPr>
          <t>&lt;[[DEVDeals] - [Deal Property (Seq: 1)] - [Locations (Seq: 1)] - [Unit Mix (Seq: 1)] - [Unit Mix - User Defined Field Values (Seq: 1)] Rent Information - Visitable Unit - Both]&gt;</t>
        </r>
      </text>
    </comment>
    <comment ref="AE295" authorId="0" shapeId="0" xr:uid="{7B0401E4-9B4B-4DEE-8875-C0DC5E287479}">
      <text>
        <r>
          <rPr>
            <b/>
            <sz val="9"/>
            <color indexed="81"/>
            <rFont val="Tahoma"/>
            <family val="2"/>
          </rPr>
          <t>&lt;[[DEVDeals] - [Associated TC Deal (Seq: 1)] - [TC Property Current Stage (Seq: 1)] - [Unit Mix (Seq: 1)] Income Target - Both]&gt;</t>
        </r>
      </text>
    </comment>
    <comment ref="AF295" authorId="0" shapeId="0" xr:uid="{79ABB74D-9B5E-420A-884B-8F807B489F30}">
      <text>
        <r>
          <rPr>
            <b/>
            <sz val="9"/>
            <color indexed="81"/>
            <rFont val="Tahoma"/>
            <family val="2"/>
          </rPr>
          <t>&lt;[[DEVDeals] - [Associated TC Deal (Seq: 1)] - [TC Property Current Stage (Seq: 1)] - [Unit Mix (Seq: 1)] TC Unit Mix Type - Both]&gt;</t>
        </r>
      </text>
    </comment>
    <comment ref="AG295" authorId="0" shapeId="0" xr:uid="{C96B9CD7-563A-4CDF-86B0-B5ABB1330196}">
      <text>
        <r>
          <rPr>
            <b/>
            <sz val="9"/>
            <color indexed="81"/>
            <rFont val="Tahoma"/>
            <family val="2"/>
          </rPr>
          <t>&lt;[[DEVDeals] - [Associated TC Deal (Seq: 1)] - [TC Property Current Stage (Seq: 1)] - [Unit Mix (Seq: 1)] Num Units - Both]&gt;</t>
        </r>
      </text>
    </comment>
    <comment ref="AH295" authorId="0" shapeId="0" xr:uid="{6316A9C5-29A5-44CE-A5FB-4060BC5E12B3}">
      <text>
        <r>
          <rPr>
            <b/>
            <sz val="9"/>
            <color indexed="81"/>
            <rFont val="Tahoma"/>
            <family val="2"/>
          </rPr>
          <t>&lt;[[DEVDeals] - [Associated TC Deal (Seq: 1)] - [TC Property Current Stage (Seq: 1)] - [Unit Mix (Seq: 1)] Net Rentable Sq Ft - Both]&gt;</t>
        </r>
      </text>
    </comment>
    <comment ref="AI295" authorId="0" shapeId="0" xr:uid="{B988F36A-BA63-460E-A2F2-62B46F38511A}">
      <text>
        <r>
          <rPr>
            <b/>
            <sz val="9"/>
            <color indexed="81"/>
            <rFont val="Tahoma"/>
            <family val="2"/>
          </rPr>
          <t>&lt;[[DEVDeals] - [Associated TC Deal (Seq: 1)] - [TC Property Current Stage (Seq: 1)] - [Unit Mix (Seq: 1)] Monthly Rent Per Unit - Both]&gt;</t>
        </r>
      </text>
    </comment>
    <comment ref="Q296" authorId="0" shapeId="0" xr:uid="{4D5C4078-D0F5-4F5D-AB8E-3B70F5A2F0E7}">
      <text>
        <r>
          <rPr>
            <b/>
            <sz val="9"/>
            <color indexed="81"/>
            <rFont val="Tahoma"/>
            <family val="2"/>
          </rPr>
          <t>&lt;[[DEVDeals] - [Deal Property (Seq: 1)] - [Locations (Seq: 1)] - [Unit Mix (Seq: 2)] Unit Mix Ami Percent - Both]&gt;</t>
        </r>
      </text>
    </comment>
    <comment ref="R296" authorId="0" shapeId="0" xr:uid="{01C34D32-A835-43AE-83EC-9121E97D5C73}">
      <text>
        <r>
          <rPr>
            <b/>
            <sz val="9"/>
            <color indexed="81"/>
            <rFont val="Tahoma"/>
            <family val="2"/>
          </rPr>
          <t>&lt;[[DEVDeals] - [Deal Property (Seq: 1)] - [Locations (Seq: 1)] - [Unit Mix (Seq: 2)] Unit Type - Both]&gt;</t>
        </r>
      </text>
    </comment>
    <comment ref="S296" authorId="0" shapeId="0" xr:uid="{203726E1-3EA2-459B-9D4C-8C6955C8719B}">
      <text>
        <r>
          <rPr>
            <b/>
            <sz val="9"/>
            <color indexed="81"/>
            <rFont val="Tahoma"/>
            <family val="2"/>
          </rPr>
          <t>&lt;[[DEVDeals] - [Deal Property (Seq: 1)] - [Locations (Seq: 1)] - [Unit Mix (Seq: 2)] - [Unit Mix - User Defined Field Values (Seq: 1)] Rent Information - Bathroom Count - Both]&gt;</t>
        </r>
      </text>
    </comment>
    <comment ref="T296" authorId="0" shapeId="0" xr:uid="{67A5CE38-58BB-4553-A888-2F972CA00636}">
      <text>
        <r>
          <rPr>
            <b/>
            <sz val="9"/>
            <color indexed="81"/>
            <rFont val="Tahoma"/>
            <family val="2"/>
          </rPr>
          <t>&lt;[[DEVDeals] - [Deal Property (Seq: 1)] - [Locations (Seq: 1)] - [Unit Mix (Seq: 2)] Num Units - Both]&gt;</t>
        </r>
      </text>
    </comment>
    <comment ref="U296" authorId="0" shapeId="0" xr:uid="{726EC838-3577-4007-AE25-83DA9697B4B5}">
      <text>
        <r>
          <rPr>
            <b/>
            <sz val="9"/>
            <color indexed="81"/>
            <rFont val="Tahoma"/>
            <family val="2"/>
          </rPr>
          <t>&lt;[[DEVDeals] - [Deal Property (Seq: 1)] - [Locations (Seq: 1)] - [Unit Mix (Seq: 2)] Square Footage - Both]&gt;</t>
        </r>
      </text>
    </comment>
    <comment ref="V296" authorId="0" shapeId="0" xr:uid="{61888716-C53B-448C-8E09-0FE3037E3457}">
      <text>
        <r>
          <rPr>
            <b/>
            <sz val="9"/>
            <color indexed="81"/>
            <rFont val="Tahoma"/>
            <family val="2"/>
          </rPr>
          <t>&lt;[[DEVDeals] - [Deal Property (Seq: 1)] - [Locations (Seq: 1)] - [Unit Mix (Seq: 2)] Estimated Tenant Paid Utilities - Both]&gt;</t>
        </r>
      </text>
    </comment>
    <comment ref="W296" authorId="0" shapeId="0" xr:uid="{68CC8316-559F-4932-9DF8-B3AD9230E557}">
      <text>
        <r>
          <rPr>
            <b/>
            <sz val="9"/>
            <color indexed="81"/>
            <rFont val="Tahoma"/>
            <family val="2"/>
          </rPr>
          <t>&lt;[[DEVDeals] - [Deal Property (Seq: 1)] - [Locations (Seq: 1)] - [Unit Mix (Seq: 2)] - [Unit Mix - User Defined Field Values (Seq: 1)] Rent Information - Resident Paid Rent - Both]&gt;</t>
        </r>
      </text>
    </comment>
    <comment ref="X296" authorId="0" shapeId="0" xr:uid="{C9D28546-67C6-47F9-AE1A-D3D1E66EF666}">
      <text>
        <r>
          <rPr>
            <b/>
            <sz val="9"/>
            <color indexed="81"/>
            <rFont val="Tahoma"/>
            <family val="2"/>
          </rPr>
          <t>&lt;[[DEVDeals] - [Deal Property (Seq: 1)] - [Locations (Seq: 1)] - [Unit Mix (Seq: 2)] - [Unit Mix - User Defined Field Values (Seq: 1)] Rent Information - Rent Subsidy - Both]&gt;</t>
        </r>
      </text>
    </comment>
    <comment ref="Y296" authorId="0" shapeId="0" xr:uid="{4D866CED-A5E4-4DEC-A23A-450A0CE302BB}">
      <text>
        <r>
          <rPr>
            <b/>
            <sz val="9"/>
            <color indexed="81"/>
            <rFont val="Tahoma"/>
            <family val="2"/>
          </rPr>
          <t>&lt;[[DEVDeals] - [Deal Property (Seq: 1)] - [Locations (Seq: 1)] - [Unit Mix (Seq: 2)] Notes - Both]&gt;</t>
        </r>
      </text>
    </comment>
    <comment ref="Z296" authorId="0" shapeId="0" xr:uid="{9BF57AA6-C6F4-4F8B-9160-853EAFA66F1F}">
      <text>
        <r>
          <rPr>
            <b/>
            <sz val="9"/>
            <color indexed="81"/>
            <rFont val="Tahoma"/>
            <family val="2"/>
          </rPr>
          <t>&lt;[[DEVDeals] - [Deal Property (Seq: 1)] - [Locations (Seq: 1)] - [Unit Mix (Seq: 2)] Base Rent - Both]&gt;</t>
        </r>
      </text>
    </comment>
    <comment ref="AA296" authorId="0" shapeId="0" xr:uid="{7FC06BC0-31C6-4FCF-B13A-B16C03F7ADFA}">
      <text>
        <r>
          <rPr>
            <b/>
            <sz val="9"/>
            <color indexed="81"/>
            <rFont val="Tahoma"/>
            <family val="2"/>
          </rPr>
          <t>&lt;[[DEVDeals] - [Deal Property (Seq: 1)] - [Locations (Seq: 1)] - [Unit Mix (Seq: 2)] - [Unit Mix - User Defined Field Values (Seq: 1)] Rent Information - UFAS Unit - Both]&gt;</t>
        </r>
      </text>
    </comment>
    <comment ref="AB296" authorId="0" shapeId="0" xr:uid="{550D6E14-5912-4BCD-8578-28DE9CFCD33D}">
      <text>
        <r>
          <rPr>
            <b/>
            <sz val="9"/>
            <color indexed="81"/>
            <rFont val="Tahoma"/>
            <family val="2"/>
          </rPr>
          <t>&lt;[[DEVDeals] - [Deal Property (Seq: 1)] - [Locations (Seq: 1)] - [Unit Mix (Seq: 2)] - [Unit Mix - User Defined Field Values (Seq: 1)] Rent Information - Visitable Unit - Both]&gt;</t>
        </r>
      </text>
    </comment>
    <comment ref="AE296" authorId="0" shapeId="0" xr:uid="{F1885902-A81C-4F40-8CDF-39127256ACB7}">
      <text>
        <r>
          <rPr>
            <b/>
            <sz val="9"/>
            <color indexed="81"/>
            <rFont val="Tahoma"/>
            <family val="2"/>
          </rPr>
          <t>&lt;[[DEVDeals] - [Associated TC Deal (Seq: 1)] - [TC Property Current Stage (Seq: 1)] - [Unit Mix (Seq: 2)] Income Target - Both]&gt;</t>
        </r>
      </text>
    </comment>
    <comment ref="AF296" authorId="0" shapeId="0" xr:uid="{523C503E-101B-4033-A348-0101D5161E65}">
      <text>
        <r>
          <rPr>
            <b/>
            <sz val="9"/>
            <color indexed="81"/>
            <rFont val="Tahoma"/>
            <family val="2"/>
          </rPr>
          <t>&lt;[[DEVDeals] - [Associated TC Deal (Seq: 1)] - [TC Property Current Stage (Seq: 1)] - [Unit Mix (Seq: 2)] TC Unit Mix Type - Both]&gt;</t>
        </r>
      </text>
    </comment>
    <comment ref="AG296" authorId="0" shapeId="0" xr:uid="{F8A0EA3D-52E2-4D58-A0C6-FF597BCB1145}">
      <text>
        <r>
          <rPr>
            <b/>
            <sz val="9"/>
            <color indexed="81"/>
            <rFont val="Tahoma"/>
            <family val="2"/>
          </rPr>
          <t>&lt;[[DEVDeals] - [Associated TC Deal (Seq: 1)] - [TC Property Current Stage (Seq: 1)] - [Unit Mix (Seq: 2)] Num Units - Both]&gt;</t>
        </r>
      </text>
    </comment>
    <comment ref="AH296" authorId="0" shapeId="0" xr:uid="{CACEE859-17A2-4CF1-B93A-9D7AD0C660CB}">
      <text>
        <r>
          <rPr>
            <b/>
            <sz val="9"/>
            <color indexed="81"/>
            <rFont val="Tahoma"/>
            <family val="2"/>
          </rPr>
          <t>&lt;[[DEVDeals] - [Associated TC Deal (Seq: 1)] - [TC Property Current Stage (Seq: 1)] - [Unit Mix (Seq: 2)] Net Rentable Sq Ft - Both]&gt;</t>
        </r>
      </text>
    </comment>
    <comment ref="AI296" authorId="0" shapeId="0" xr:uid="{0065A4AB-51B1-4A20-AA77-67E424CA3B79}">
      <text>
        <r>
          <rPr>
            <b/>
            <sz val="9"/>
            <color indexed="81"/>
            <rFont val="Tahoma"/>
            <family val="2"/>
          </rPr>
          <t>&lt;[[DEVDeals] - [Associated TC Deal (Seq: 1)] - [TC Property Current Stage (Seq: 1)] - [Unit Mix (Seq: 2)] Monthly Rent Per Unit - Both]&gt;</t>
        </r>
      </text>
    </comment>
    <comment ref="Q297" authorId="0" shapeId="0" xr:uid="{81719274-C90F-42AC-A62D-1F18867B3488}">
      <text>
        <r>
          <rPr>
            <b/>
            <sz val="9"/>
            <color indexed="81"/>
            <rFont val="Tahoma"/>
            <family val="2"/>
          </rPr>
          <t>&lt;[[DEVDeals] - [Deal Property (Seq: 1)] - [Locations (Seq: 1)] - [Unit Mix (Seq: 3)] Unit Mix Ami Percent - Both]&gt;</t>
        </r>
      </text>
    </comment>
    <comment ref="R297" authorId="0" shapeId="0" xr:uid="{F7881875-4A58-4329-A6CD-1CBC13694DF8}">
      <text>
        <r>
          <rPr>
            <b/>
            <sz val="9"/>
            <color indexed="81"/>
            <rFont val="Tahoma"/>
            <family val="2"/>
          </rPr>
          <t>&lt;[[DEVDeals] - [Deal Property (Seq: 1)] - [Locations (Seq: 1)] - [Unit Mix (Seq: 3)] Unit Type - Both]&gt;</t>
        </r>
      </text>
    </comment>
    <comment ref="S297" authorId="0" shapeId="0" xr:uid="{F2A537FC-0EB4-4E75-AB45-3E00C2ADE666}">
      <text>
        <r>
          <rPr>
            <b/>
            <sz val="9"/>
            <color indexed="81"/>
            <rFont val="Tahoma"/>
            <family val="2"/>
          </rPr>
          <t>&lt;[[DEVDeals] - [Deal Property (Seq: 1)] - [Locations (Seq: 1)] - [Unit Mix (Seq: 3)] - [Unit Mix - User Defined Field Values (Seq: 1)] Rent Information - Bathroom Count - Both]&gt;</t>
        </r>
      </text>
    </comment>
    <comment ref="T297" authorId="0" shapeId="0" xr:uid="{AA24D9A7-BA0A-4930-9D99-FD0697C04E1B}">
      <text>
        <r>
          <rPr>
            <b/>
            <sz val="9"/>
            <color indexed="81"/>
            <rFont val="Tahoma"/>
            <family val="2"/>
          </rPr>
          <t>&lt;[[DEVDeals] - [Deal Property (Seq: 1)] - [Locations (Seq: 1)] - [Unit Mix (Seq: 3)] Num Units - Both]&gt;</t>
        </r>
      </text>
    </comment>
    <comment ref="U297" authorId="0" shapeId="0" xr:uid="{DE36ECF4-3D85-453B-A863-5B3EEF7354B7}">
      <text>
        <r>
          <rPr>
            <b/>
            <sz val="9"/>
            <color indexed="81"/>
            <rFont val="Tahoma"/>
            <family val="2"/>
          </rPr>
          <t>&lt;[[DEVDeals] - [Deal Property (Seq: 1)] - [Locations (Seq: 1)] - [Unit Mix (Seq: 3)] Square Footage - Both]&gt;</t>
        </r>
      </text>
    </comment>
    <comment ref="V297" authorId="0" shapeId="0" xr:uid="{0A6E40DA-106C-4173-8633-5498684E8E29}">
      <text>
        <r>
          <rPr>
            <b/>
            <sz val="9"/>
            <color indexed="81"/>
            <rFont val="Tahoma"/>
            <family val="2"/>
          </rPr>
          <t>&lt;[[DEVDeals] - [Deal Property (Seq: 1)] - [Locations (Seq: 1)] - [Unit Mix (Seq: 3)] Estimated Tenant Paid Utilities - Both]&gt;</t>
        </r>
      </text>
    </comment>
    <comment ref="W297" authorId="0" shapeId="0" xr:uid="{8B2FA852-B203-440D-A30F-3A61BF40C850}">
      <text>
        <r>
          <rPr>
            <b/>
            <sz val="9"/>
            <color indexed="81"/>
            <rFont val="Tahoma"/>
            <family val="2"/>
          </rPr>
          <t>&lt;[[DEVDeals] - [Deal Property (Seq: 1)] - [Locations (Seq: 1)] - [Unit Mix (Seq: 3)] - [Unit Mix - User Defined Field Values (Seq: 1)] Rent Information - Resident Paid Rent - Both]&gt;</t>
        </r>
      </text>
    </comment>
    <comment ref="X297" authorId="0" shapeId="0" xr:uid="{7C27539E-3082-48F5-ADEA-D18D134C6752}">
      <text>
        <r>
          <rPr>
            <b/>
            <sz val="9"/>
            <color indexed="81"/>
            <rFont val="Tahoma"/>
            <family val="2"/>
          </rPr>
          <t>&lt;[[DEVDeals] - [Deal Property (Seq: 1)] - [Locations (Seq: 1)] - [Unit Mix (Seq: 3)] - [Unit Mix - User Defined Field Values (Seq: 1)] Rent Information - Rent Subsidy - Both]&gt;</t>
        </r>
      </text>
    </comment>
    <comment ref="Y297" authorId="0" shapeId="0" xr:uid="{F9746FCE-05C4-4E73-9414-FD47ED21D115}">
      <text>
        <r>
          <rPr>
            <b/>
            <sz val="9"/>
            <color indexed="81"/>
            <rFont val="Tahoma"/>
            <family val="2"/>
          </rPr>
          <t>&lt;[[DEVDeals] - [Deal Property (Seq: 1)] - [Locations (Seq: 1)] - [Unit Mix (Seq: 3)] Notes - Both]&gt;</t>
        </r>
      </text>
    </comment>
    <comment ref="Z297" authorId="0" shapeId="0" xr:uid="{E1B31167-12AF-4C52-8E84-7DF41E503AA7}">
      <text>
        <r>
          <rPr>
            <b/>
            <sz val="9"/>
            <color indexed="81"/>
            <rFont val="Tahoma"/>
            <family val="2"/>
          </rPr>
          <t>&lt;[[DEVDeals] - [Deal Property (Seq: 1)] - [Locations (Seq: 1)] - [Unit Mix (Seq: 3)] Base Rent - Both]&gt;</t>
        </r>
      </text>
    </comment>
    <comment ref="AA297" authorId="0" shapeId="0" xr:uid="{E1BF8548-8416-496B-9809-9F0058BA1578}">
      <text>
        <r>
          <rPr>
            <b/>
            <sz val="9"/>
            <color indexed="81"/>
            <rFont val="Tahoma"/>
            <family val="2"/>
          </rPr>
          <t>&lt;[[DEVDeals] - [Deal Property (Seq: 1)] - [Locations (Seq: 1)] - [Unit Mix (Seq: 3)] - [Unit Mix - User Defined Field Values (Seq: 1)] Rent Information - UFAS Unit - Both]&gt;</t>
        </r>
      </text>
    </comment>
    <comment ref="AB297" authorId="0" shapeId="0" xr:uid="{AA75BFDC-E9A3-4851-8747-2F99E7B6A8A7}">
      <text>
        <r>
          <rPr>
            <b/>
            <sz val="9"/>
            <color indexed="81"/>
            <rFont val="Tahoma"/>
            <family val="2"/>
          </rPr>
          <t>&lt;[[DEVDeals] - [Deal Property (Seq: 1)] - [Locations (Seq: 1)] - [Unit Mix (Seq: 3)] - [Unit Mix - User Defined Field Values (Seq: 1)] Rent Information - Visitable Unit - Both]&gt;</t>
        </r>
      </text>
    </comment>
    <comment ref="AE297" authorId="0" shapeId="0" xr:uid="{DD6569C8-1C22-4067-B512-CDC22B50394B}">
      <text>
        <r>
          <rPr>
            <b/>
            <sz val="9"/>
            <color indexed="81"/>
            <rFont val="Tahoma"/>
            <family val="2"/>
          </rPr>
          <t>&lt;[[DEVDeals] - [Associated TC Deal (Seq: 1)] - [TC Property Current Stage (Seq: 1)] - [Unit Mix (Seq: 3)] Income Target - Both]&gt;</t>
        </r>
      </text>
    </comment>
    <comment ref="AF297" authorId="0" shapeId="0" xr:uid="{2DD81DB8-4576-4353-89C8-B30677A81381}">
      <text>
        <r>
          <rPr>
            <b/>
            <sz val="9"/>
            <color indexed="81"/>
            <rFont val="Tahoma"/>
            <family val="2"/>
          </rPr>
          <t>&lt;[[DEVDeals] - [Associated TC Deal (Seq: 1)] - [TC Property Current Stage (Seq: 1)] - [Unit Mix (Seq: 3)] TC Unit Mix Type - Both]&gt;</t>
        </r>
      </text>
    </comment>
    <comment ref="AG297" authorId="0" shapeId="0" xr:uid="{F9468E8D-70BB-4A4D-AFE7-87B2F2430C61}">
      <text>
        <r>
          <rPr>
            <b/>
            <sz val="9"/>
            <color indexed="81"/>
            <rFont val="Tahoma"/>
            <family val="2"/>
          </rPr>
          <t>&lt;[[DEVDeals] - [Associated TC Deal (Seq: 1)] - [TC Property Current Stage (Seq: 1)] - [Unit Mix (Seq: 3)] Num Units - Both]&gt;</t>
        </r>
      </text>
    </comment>
    <comment ref="AH297" authorId="0" shapeId="0" xr:uid="{AC26CAE9-C875-4BAF-BD72-D95C2D45D608}">
      <text>
        <r>
          <rPr>
            <b/>
            <sz val="9"/>
            <color indexed="81"/>
            <rFont val="Tahoma"/>
            <family val="2"/>
          </rPr>
          <t>&lt;[[DEVDeals] - [Associated TC Deal (Seq: 1)] - [TC Property Current Stage (Seq: 1)] - [Unit Mix (Seq: 3)] Net Rentable Sq Ft - Both]&gt;</t>
        </r>
      </text>
    </comment>
    <comment ref="AI297" authorId="0" shapeId="0" xr:uid="{8B8482AA-F39B-4636-9F00-4A9FC967365D}">
      <text>
        <r>
          <rPr>
            <b/>
            <sz val="9"/>
            <color indexed="81"/>
            <rFont val="Tahoma"/>
            <family val="2"/>
          </rPr>
          <t>&lt;[[DEVDeals] - [Associated TC Deal (Seq: 1)] - [TC Property Current Stage (Seq: 1)] - [Unit Mix (Seq: 3)] Monthly Rent Per Unit - Both]&gt;</t>
        </r>
      </text>
    </comment>
    <comment ref="Q298" authorId="0" shapeId="0" xr:uid="{E9966FAC-CB19-43A5-B8B8-ACDEEEB887B7}">
      <text>
        <r>
          <rPr>
            <b/>
            <sz val="9"/>
            <color indexed="81"/>
            <rFont val="Tahoma"/>
            <family val="2"/>
          </rPr>
          <t>&lt;[[DEVDeals] - [Deal Property (Seq: 1)] - [Locations (Seq: 1)] - [Unit Mix (Seq: 4)] Unit Mix Ami Percent - Both]&gt;</t>
        </r>
      </text>
    </comment>
    <comment ref="R298" authorId="0" shapeId="0" xr:uid="{60AB6348-5D8F-4809-887F-BAF988B9A420}">
      <text>
        <r>
          <rPr>
            <b/>
            <sz val="9"/>
            <color indexed="81"/>
            <rFont val="Tahoma"/>
            <family val="2"/>
          </rPr>
          <t>&lt;[[DEVDeals] - [Deal Property (Seq: 1)] - [Locations (Seq: 1)] - [Unit Mix (Seq: 4)] Unit Type - Both]&gt;</t>
        </r>
      </text>
    </comment>
    <comment ref="S298" authorId="0" shapeId="0" xr:uid="{33C07438-CB16-4AF3-927C-82A7BC43FAA0}">
      <text>
        <r>
          <rPr>
            <b/>
            <sz val="9"/>
            <color indexed="81"/>
            <rFont val="Tahoma"/>
            <family val="2"/>
          </rPr>
          <t>&lt;[[DEVDeals] - [Deal Property (Seq: 1)] - [Locations (Seq: 1)] - [Unit Mix (Seq: 4)] - [Unit Mix - User Defined Field Values (Seq: 1)] Rent Information - Bathroom Count - Both]&gt;</t>
        </r>
      </text>
    </comment>
    <comment ref="T298" authorId="0" shapeId="0" xr:uid="{5C72C755-A097-4A7E-B047-E11D9D3CE298}">
      <text>
        <r>
          <rPr>
            <b/>
            <sz val="9"/>
            <color indexed="81"/>
            <rFont val="Tahoma"/>
            <family val="2"/>
          </rPr>
          <t>&lt;[[DEVDeals] - [Deal Property (Seq: 1)] - [Locations (Seq: 1)] - [Unit Mix (Seq: 4)] Num Units - Both]&gt;</t>
        </r>
      </text>
    </comment>
    <comment ref="U298" authorId="0" shapeId="0" xr:uid="{FE1B1D5F-B5D9-4E57-A4C1-206DA3B567DF}">
      <text>
        <r>
          <rPr>
            <b/>
            <sz val="9"/>
            <color indexed="81"/>
            <rFont val="Tahoma"/>
            <family val="2"/>
          </rPr>
          <t>&lt;[[DEVDeals] - [Deal Property (Seq: 1)] - [Locations (Seq: 1)] - [Unit Mix (Seq: 4)] Square Footage - Both]&gt;</t>
        </r>
      </text>
    </comment>
    <comment ref="V298" authorId="0" shapeId="0" xr:uid="{DFF886F2-9B43-4D6E-BE32-6911929BF249}">
      <text>
        <r>
          <rPr>
            <b/>
            <sz val="9"/>
            <color indexed="81"/>
            <rFont val="Tahoma"/>
            <family val="2"/>
          </rPr>
          <t>&lt;[[DEVDeals] - [Deal Property (Seq: 1)] - [Locations (Seq: 1)] - [Unit Mix (Seq: 4)] Estimated Tenant Paid Utilities - Both]&gt;</t>
        </r>
      </text>
    </comment>
    <comment ref="W298" authorId="0" shapeId="0" xr:uid="{15A4656D-BEAA-49A6-B315-2CFB415B2D0D}">
      <text>
        <r>
          <rPr>
            <b/>
            <sz val="9"/>
            <color indexed="81"/>
            <rFont val="Tahoma"/>
            <family val="2"/>
          </rPr>
          <t>&lt;[[DEVDeals] - [Deal Property (Seq: 1)] - [Locations (Seq: 1)] - [Unit Mix (Seq: 4)] - [Unit Mix - User Defined Field Values (Seq: 1)] Rent Information - Resident Paid Rent - Both]&gt;</t>
        </r>
      </text>
    </comment>
    <comment ref="X298" authorId="0" shapeId="0" xr:uid="{643C4531-D9C7-4645-9C20-9AE7D6456F6A}">
      <text>
        <r>
          <rPr>
            <b/>
            <sz val="9"/>
            <color indexed="81"/>
            <rFont val="Tahoma"/>
            <family val="2"/>
          </rPr>
          <t>&lt;[[DEVDeals] - [Deal Property (Seq: 1)] - [Locations (Seq: 1)] - [Unit Mix (Seq: 4)] - [Unit Mix - User Defined Field Values (Seq: 1)] Rent Information - Rent Subsidy - Both]&gt;</t>
        </r>
      </text>
    </comment>
    <comment ref="Y298" authorId="0" shapeId="0" xr:uid="{18883581-3C18-4C98-9280-5B0270EA1678}">
      <text>
        <r>
          <rPr>
            <b/>
            <sz val="9"/>
            <color indexed="81"/>
            <rFont val="Tahoma"/>
            <family val="2"/>
          </rPr>
          <t>&lt;[[DEVDeals] - [Deal Property (Seq: 1)] - [Locations (Seq: 1)] - [Unit Mix (Seq: 4)] Notes - Both]&gt;</t>
        </r>
      </text>
    </comment>
    <comment ref="Z298" authorId="0" shapeId="0" xr:uid="{08F3A87B-7168-4717-BF84-BE9A2C2DCAE3}">
      <text>
        <r>
          <rPr>
            <b/>
            <sz val="9"/>
            <color indexed="81"/>
            <rFont val="Tahoma"/>
            <family val="2"/>
          </rPr>
          <t>&lt;[[DEVDeals] - [Deal Property (Seq: 1)] - [Locations (Seq: 1)] - [Unit Mix (Seq: 4)] Base Rent - Both]&gt;</t>
        </r>
      </text>
    </comment>
    <comment ref="AA298" authorId="0" shapeId="0" xr:uid="{1F8BBCCA-9A4D-4495-8C01-B2E86CA883E4}">
      <text>
        <r>
          <rPr>
            <b/>
            <sz val="9"/>
            <color indexed="81"/>
            <rFont val="Tahoma"/>
            <family val="2"/>
          </rPr>
          <t>&lt;[[DEVDeals] - [Deal Property (Seq: 1)] - [Locations (Seq: 1)] - [Unit Mix (Seq: 4)] - [Unit Mix - User Defined Field Values (Seq: 1)] Rent Information - UFAS Unit - Both]&gt;</t>
        </r>
      </text>
    </comment>
    <comment ref="AB298" authorId="0" shapeId="0" xr:uid="{3AAF5941-AFB5-4E48-AFA2-DDC56B2F3C6C}">
      <text>
        <r>
          <rPr>
            <b/>
            <sz val="9"/>
            <color indexed="81"/>
            <rFont val="Tahoma"/>
            <family val="2"/>
          </rPr>
          <t>&lt;[[DEVDeals] - [Deal Property (Seq: 1)] - [Locations (Seq: 1)] - [Unit Mix (Seq: 4)] - [Unit Mix - User Defined Field Values (Seq: 1)] Rent Information - Visitable Unit - Both]&gt;</t>
        </r>
      </text>
    </comment>
    <comment ref="AE298" authorId="0" shapeId="0" xr:uid="{EC5709AA-E831-45B0-A4E6-A079004984B8}">
      <text>
        <r>
          <rPr>
            <b/>
            <sz val="9"/>
            <color indexed="81"/>
            <rFont val="Tahoma"/>
            <family val="2"/>
          </rPr>
          <t>&lt;[[DEVDeals] - [Associated TC Deal (Seq: 1)] - [TC Property Current Stage (Seq: 1)] - [Unit Mix (Seq: 4)] Income Target - Both]&gt;</t>
        </r>
      </text>
    </comment>
    <comment ref="AF298" authorId="0" shapeId="0" xr:uid="{ADE88A51-56B7-4A30-ABBE-0A64C9FF7607}">
      <text>
        <r>
          <rPr>
            <b/>
            <sz val="9"/>
            <color indexed="81"/>
            <rFont val="Tahoma"/>
            <family val="2"/>
          </rPr>
          <t>&lt;[[DEVDeals] - [Associated TC Deal (Seq: 1)] - [TC Property Current Stage (Seq: 1)] - [Unit Mix (Seq: 4)] TC Unit Mix Type - Both]&gt;</t>
        </r>
      </text>
    </comment>
    <comment ref="AG298" authorId="0" shapeId="0" xr:uid="{6F78C55F-4BB1-4DB8-AF99-7AEECC100377}">
      <text>
        <r>
          <rPr>
            <b/>
            <sz val="9"/>
            <color indexed="81"/>
            <rFont val="Tahoma"/>
            <family val="2"/>
          </rPr>
          <t>&lt;[[DEVDeals] - [Associated TC Deal (Seq: 1)] - [TC Property Current Stage (Seq: 1)] - [Unit Mix (Seq: 4)] Num Units - Both]&gt;</t>
        </r>
      </text>
    </comment>
    <comment ref="AH298" authorId="0" shapeId="0" xr:uid="{83D9BB4C-058D-44BB-BBC1-7B0DAB622C47}">
      <text>
        <r>
          <rPr>
            <b/>
            <sz val="9"/>
            <color indexed="81"/>
            <rFont val="Tahoma"/>
            <family val="2"/>
          </rPr>
          <t>&lt;[[DEVDeals] - [Associated TC Deal (Seq: 1)] - [TC Property Current Stage (Seq: 1)] - [Unit Mix (Seq: 4)] Net Rentable Sq Ft - Both]&gt;</t>
        </r>
      </text>
    </comment>
    <comment ref="AI298" authorId="0" shapeId="0" xr:uid="{64E7C240-350F-4A7A-85FF-61576175D8B7}">
      <text>
        <r>
          <rPr>
            <b/>
            <sz val="9"/>
            <color indexed="81"/>
            <rFont val="Tahoma"/>
            <family val="2"/>
          </rPr>
          <t>&lt;[[DEVDeals] - [Associated TC Deal (Seq: 1)] - [TC Property Current Stage (Seq: 1)] - [Unit Mix (Seq: 4)] Monthly Rent Per Unit - Both]&gt;</t>
        </r>
      </text>
    </comment>
    <comment ref="Q299" authorId="0" shapeId="0" xr:uid="{D855ACD7-A78D-458C-94C9-7D24C1BB9DD2}">
      <text>
        <r>
          <rPr>
            <b/>
            <sz val="9"/>
            <color indexed="81"/>
            <rFont val="Tahoma"/>
            <family val="2"/>
          </rPr>
          <t>&lt;[[DEVDeals] - [Deal Property (Seq: 1)] - [Locations (Seq: 1)] - [Unit Mix (Seq: 5)] Unit Mix Ami Percent - Both]&gt;</t>
        </r>
      </text>
    </comment>
    <comment ref="R299" authorId="0" shapeId="0" xr:uid="{B0BDC976-96C9-4C6F-9894-1E1E7793E0EA}">
      <text>
        <r>
          <rPr>
            <b/>
            <sz val="9"/>
            <color indexed="81"/>
            <rFont val="Tahoma"/>
            <family val="2"/>
          </rPr>
          <t>&lt;[[DEVDeals] - [Deal Property (Seq: 1)] - [Locations (Seq: 1)] - [Unit Mix (Seq: 5)] Unit Type - Both]&gt;</t>
        </r>
      </text>
    </comment>
    <comment ref="S299" authorId="0" shapeId="0" xr:uid="{548298E7-A263-4633-A17A-0061DDCD693D}">
      <text>
        <r>
          <rPr>
            <b/>
            <sz val="9"/>
            <color indexed="81"/>
            <rFont val="Tahoma"/>
            <family val="2"/>
          </rPr>
          <t>&lt;[[DEVDeals] - [Deal Property (Seq: 1)] - [Locations (Seq: 1)] - [Unit Mix (Seq: 5)] - [Unit Mix - User Defined Field Values (Seq: 1)] Rent Information - Bathroom Count - Both]&gt;</t>
        </r>
      </text>
    </comment>
    <comment ref="T299" authorId="0" shapeId="0" xr:uid="{DF157C9F-DD6A-448A-9B02-74C273DEC063}">
      <text>
        <r>
          <rPr>
            <b/>
            <sz val="9"/>
            <color indexed="81"/>
            <rFont val="Tahoma"/>
            <family val="2"/>
          </rPr>
          <t>&lt;[[DEVDeals] - [Deal Property (Seq: 1)] - [Locations (Seq: 1)] - [Unit Mix (Seq: 5)] Num Units - Both]&gt;</t>
        </r>
      </text>
    </comment>
    <comment ref="U299" authorId="0" shapeId="0" xr:uid="{4ABD1EA0-F3BA-4488-911E-355202B8F334}">
      <text>
        <r>
          <rPr>
            <b/>
            <sz val="9"/>
            <color indexed="81"/>
            <rFont val="Tahoma"/>
            <family val="2"/>
          </rPr>
          <t>&lt;[[DEVDeals] - [Deal Property (Seq: 1)] - [Locations (Seq: 1)] - [Unit Mix (Seq: 5)] Square Footage - Both]&gt;</t>
        </r>
      </text>
    </comment>
    <comment ref="V299" authorId="0" shapeId="0" xr:uid="{8E8EBA6C-6417-4F15-87FE-337392CD0BA9}">
      <text>
        <r>
          <rPr>
            <b/>
            <sz val="9"/>
            <color indexed="81"/>
            <rFont val="Tahoma"/>
            <family val="2"/>
          </rPr>
          <t>&lt;[[DEVDeals] - [Deal Property (Seq: 1)] - [Locations (Seq: 1)] - [Unit Mix (Seq: 5)] Estimated Tenant Paid Utilities - Both]&gt;</t>
        </r>
      </text>
    </comment>
    <comment ref="W299" authorId="0" shapeId="0" xr:uid="{F2629140-CA7D-4FF3-82F0-83F3C7725675}">
      <text>
        <r>
          <rPr>
            <b/>
            <sz val="9"/>
            <color indexed="81"/>
            <rFont val="Tahoma"/>
            <family val="2"/>
          </rPr>
          <t>&lt;[[DEVDeals] - [Deal Property (Seq: 1)] - [Locations (Seq: 1)] - [Unit Mix (Seq: 5)] - [Unit Mix - User Defined Field Values (Seq: 1)] Rent Information - Resident Paid Rent - Both]&gt;</t>
        </r>
      </text>
    </comment>
    <comment ref="X299" authorId="0" shapeId="0" xr:uid="{7870A916-E521-437D-B137-E0BCC371F2A7}">
      <text>
        <r>
          <rPr>
            <b/>
            <sz val="9"/>
            <color indexed="81"/>
            <rFont val="Tahoma"/>
            <family val="2"/>
          </rPr>
          <t>&lt;[[DEVDeals] - [Deal Property (Seq: 1)] - [Locations (Seq: 1)] - [Unit Mix (Seq: 5)] - [Unit Mix - User Defined Field Values (Seq: 1)] Rent Information - Rent Subsidy - Both]&gt;</t>
        </r>
      </text>
    </comment>
    <comment ref="Y299" authorId="0" shapeId="0" xr:uid="{B4192B7C-D80D-42BD-9D9D-9AE2EFF7E6C2}">
      <text>
        <r>
          <rPr>
            <b/>
            <sz val="9"/>
            <color indexed="81"/>
            <rFont val="Tahoma"/>
            <family val="2"/>
          </rPr>
          <t>&lt;[[DEVDeals] - [Deal Property (Seq: 1)] - [Locations (Seq: 1)] - [Unit Mix (Seq: 5)] Notes - Both]&gt;</t>
        </r>
      </text>
    </comment>
    <comment ref="Z299" authorId="0" shapeId="0" xr:uid="{52365B5C-85B9-4F17-8834-B2F9D4492213}">
      <text>
        <r>
          <rPr>
            <b/>
            <sz val="9"/>
            <color indexed="81"/>
            <rFont val="Tahoma"/>
            <family val="2"/>
          </rPr>
          <t>&lt;[[DEVDeals] - [Deal Property (Seq: 1)] - [Locations (Seq: 1)] - [Unit Mix (Seq: 5)] Base Rent - Both]&gt;</t>
        </r>
      </text>
    </comment>
    <comment ref="AA299" authorId="0" shapeId="0" xr:uid="{59C7F231-9E52-42D8-8B61-6B808712CFB3}">
      <text>
        <r>
          <rPr>
            <b/>
            <sz val="9"/>
            <color indexed="81"/>
            <rFont val="Tahoma"/>
            <family val="2"/>
          </rPr>
          <t>&lt;[[DEVDeals] - [Deal Property (Seq: 1)] - [Locations (Seq: 1)] - [Unit Mix (Seq: 5)] - [Unit Mix - User Defined Field Values (Seq: 1)] Rent Information - UFAS Unit - Both]&gt;</t>
        </r>
      </text>
    </comment>
    <comment ref="AB299" authorId="0" shapeId="0" xr:uid="{DB4F5230-B70E-4628-B16C-0A91641A17D3}">
      <text>
        <r>
          <rPr>
            <b/>
            <sz val="9"/>
            <color indexed="81"/>
            <rFont val="Tahoma"/>
            <family val="2"/>
          </rPr>
          <t>&lt;[[DEVDeals] - [Deal Property (Seq: 1)] - [Locations (Seq: 1)] - [Unit Mix (Seq: 5)] - [Unit Mix - User Defined Field Values (Seq: 1)] Rent Information - Visitable Unit - Both]&gt;</t>
        </r>
      </text>
    </comment>
    <comment ref="AE299" authorId="0" shapeId="0" xr:uid="{A0C8C3DD-7AE9-434E-A14B-7C0A13BD3290}">
      <text>
        <r>
          <rPr>
            <b/>
            <sz val="9"/>
            <color indexed="81"/>
            <rFont val="Tahoma"/>
            <family val="2"/>
          </rPr>
          <t>&lt;[[DEVDeals] - [Associated TC Deal (Seq: 1)] - [TC Property Current Stage (Seq: 1)] - [Unit Mix (Seq: 5)] Income Target - Both]&gt;</t>
        </r>
      </text>
    </comment>
    <comment ref="AF299" authorId="0" shapeId="0" xr:uid="{410F4776-86EC-46EA-8457-EA2CE05D70E2}">
      <text>
        <r>
          <rPr>
            <b/>
            <sz val="9"/>
            <color indexed="81"/>
            <rFont val="Tahoma"/>
            <family val="2"/>
          </rPr>
          <t>&lt;[[DEVDeals] - [Associated TC Deal (Seq: 1)] - [TC Property Current Stage (Seq: 1)] - [Unit Mix (Seq: 5)] TC Unit Mix Type - Both]&gt;</t>
        </r>
      </text>
    </comment>
    <comment ref="AG299" authorId="0" shapeId="0" xr:uid="{BDEBCF35-9B6D-4D2D-B211-87040DB13AD4}">
      <text>
        <r>
          <rPr>
            <b/>
            <sz val="9"/>
            <color indexed="81"/>
            <rFont val="Tahoma"/>
            <family val="2"/>
          </rPr>
          <t>&lt;[[DEVDeals] - [Associated TC Deal (Seq: 1)] - [TC Property Current Stage (Seq: 1)] - [Unit Mix (Seq: 5)] Num Units - Both]&gt;</t>
        </r>
      </text>
    </comment>
    <comment ref="AH299" authorId="0" shapeId="0" xr:uid="{04CC3BD2-151D-4BC4-9C2F-CB38D03B2F74}">
      <text>
        <r>
          <rPr>
            <b/>
            <sz val="9"/>
            <color indexed="81"/>
            <rFont val="Tahoma"/>
            <family val="2"/>
          </rPr>
          <t>&lt;[[DEVDeals] - [Associated TC Deal (Seq: 1)] - [TC Property Current Stage (Seq: 1)] - [Unit Mix (Seq: 5)] Net Rentable Sq Ft - Both]&gt;</t>
        </r>
      </text>
    </comment>
    <comment ref="AI299" authorId="0" shapeId="0" xr:uid="{E60BBFE0-B9BD-43E3-A5C6-BC6577F87104}">
      <text>
        <r>
          <rPr>
            <b/>
            <sz val="9"/>
            <color indexed="81"/>
            <rFont val="Tahoma"/>
            <family val="2"/>
          </rPr>
          <t>&lt;[[DEVDeals] - [Associated TC Deal (Seq: 1)] - [TC Property Current Stage (Seq: 1)] - [Unit Mix (Seq: 5)] Monthly Rent Per Unit - Both]&gt;</t>
        </r>
      </text>
    </comment>
    <comment ref="Q300" authorId="0" shapeId="0" xr:uid="{5CF59813-5B0B-4ABB-B65A-13EC64A0E30E}">
      <text>
        <r>
          <rPr>
            <b/>
            <sz val="9"/>
            <color indexed="81"/>
            <rFont val="Tahoma"/>
            <family val="2"/>
          </rPr>
          <t>&lt;[[DEVDeals] - [Deal Property (Seq: 1)] - [Locations (Seq: 1)] - [Unit Mix (Seq: 6)] Unit Mix Ami Percent - Both]&gt;</t>
        </r>
      </text>
    </comment>
    <comment ref="R300" authorId="0" shapeId="0" xr:uid="{6B8EFC2D-E3A0-48A4-83D6-CC07CD63331C}">
      <text>
        <r>
          <rPr>
            <b/>
            <sz val="9"/>
            <color indexed="81"/>
            <rFont val="Tahoma"/>
            <family val="2"/>
          </rPr>
          <t>&lt;[[DEVDeals] - [Deal Property (Seq: 1)] - [Locations (Seq: 1)] - [Unit Mix (Seq: 6)] Unit Type - Both]&gt;</t>
        </r>
      </text>
    </comment>
    <comment ref="S300" authorId="0" shapeId="0" xr:uid="{FA9BCA10-3CE9-4363-BF02-075AEE73C76E}">
      <text>
        <r>
          <rPr>
            <b/>
            <sz val="9"/>
            <color indexed="81"/>
            <rFont val="Tahoma"/>
            <family val="2"/>
          </rPr>
          <t>&lt;[[DEVDeals] - [Deal Property (Seq: 1)] - [Locations (Seq: 1)] - [Unit Mix (Seq: 6)] - [Unit Mix - User Defined Field Values (Seq: 1)] Rent Information - Bathroom Count - Both]&gt;</t>
        </r>
      </text>
    </comment>
    <comment ref="T300" authorId="0" shapeId="0" xr:uid="{3728F273-2704-4AA4-BDC2-A8634F0CCAE0}">
      <text>
        <r>
          <rPr>
            <b/>
            <sz val="9"/>
            <color indexed="81"/>
            <rFont val="Tahoma"/>
            <family val="2"/>
          </rPr>
          <t>&lt;[[DEVDeals] - [Deal Property (Seq: 1)] - [Locations (Seq: 1)] - [Unit Mix (Seq: 6)] Num Units - Both]&gt;</t>
        </r>
      </text>
    </comment>
    <comment ref="U300" authorId="0" shapeId="0" xr:uid="{7653D753-1F56-45E5-8C8D-E609A3004FD6}">
      <text>
        <r>
          <rPr>
            <b/>
            <sz val="9"/>
            <color indexed="81"/>
            <rFont val="Tahoma"/>
            <family val="2"/>
          </rPr>
          <t>&lt;[[DEVDeals] - [Deal Property (Seq: 1)] - [Locations (Seq: 1)] - [Unit Mix (Seq: 6)] Square Footage - Both]&gt;</t>
        </r>
      </text>
    </comment>
    <comment ref="V300" authorId="0" shapeId="0" xr:uid="{55E76AAF-489C-437E-9248-7C62CDBEBE33}">
      <text>
        <r>
          <rPr>
            <b/>
            <sz val="9"/>
            <color indexed="81"/>
            <rFont val="Tahoma"/>
            <family val="2"/>
          </rPr>
          <t>&lt;[[DEVDeals] - [Deal Property (Seq: 1)] - [Locations (Seq: 1)] - [Unit Mix (Seq: 6)] Estimated Tenant Paid Utilities - Both]&gt;</t>
        </r>
      </text>
    </comment>
    <comment ref="W300" authorId="0" shapeId="0" xr:uid="{B7E68D04-3B27-41AC-B6A4-D02BA7F3CC93}">
      <text>
        <r>
          <rPr>
            <b/>
            <sz val="9"/>
            <color indexed="81"/>
            <rFont val="Tahoma"/>
            <family val="2"/>
          </rPr>
          <t>&lt;[[DEVDeals] - [Deal Property (Seq: 1)] - [Locations (Seq: 1)] - [Unit Mix (Seq: 6)] - [Unit Mix - User Defined Field Values (Seq: 1)] Rent Information - Resident Paid Rent - Both]&gt;</t>
        </r>
      </text>
    </comment>
    <comment ref="X300" authorId="0" shapeId="0" xr:uid="{7DE3FB3C-18FF-4AA6-BEA2-9F06E14C06AE}">
      <text>
        <r>
          <rPr>
            <b/>
            <sz val="9"/>
            <color indexed="81"/>
            <rFont val="Tahoma"/>
            <family val="2"/>
          </rPr>
          <t>&lt;[[DEVDeals] - [Deal Property (Seq: 1)] - [Locations (Seq: 1)] - [Unit Mix (Seq: 6)] - [Unit Mix - User Defined Field Values (Seq: 1)] Rent Information - Rent Subsidy - Both]&gt;</t>
        </r>
      </text>
    </comment>
    <comment ref="Y300" authorId="0" shapeId="0" xr:uid="{93E15627-A812-4092-90DB-45297AEAA05D}">
      <text>
        <r>
          <rPr>
            <b/>
            <sz val="9"/>
            <color indexed="81"/>
            <rFont val="Tahoma"/>
            <family val="2"/>
          </rPr>
          <t>&lt;[[DEVDeals] - [Deal Property (Seq: 1)] - [Locations (Seq: 1)] - [Unit Mix (Seq: 6)] Notes - Both]&gt;</t>
        </r>
      </text>
    </comment>
    <comment ref="Z300" authorId="0" shapeId="0" xr:uid="{DF6E7FB9-AF29-47F7-A6BE-D6E6115B9372}">
      <text>
        <r>
          <rPr>
            <b/>
            <sz val="9"/>
            <color indexed="81"/>
            <rFont val="Tahoma"/>
            <family val="2"/>
          </rPr>
          <t>&lt;[[DEVDeals] - [Deal Property (Seq: 1)] - [Locations (Seq: 1)] - [Unit Mix (Seq: 6)] Base Rent - Both]&gt;</t>
        </r>
      </text>
    </comment>
    <comment ref="AA300" authorId="0" shapeId="0" xr:uid="{B3D29851-50C1-465A-B242-0448A95E79BB}">
      <text>
        <r>
          <rPr>
            <b/>
            <sz val="9"/>
            <color indexed="81"/>
            <rFont val="Tahoma"/>
            <family val="2"/>
          </rPr>
          <t>&lt;[[DEVDeals] - [Deal Property (Seq: 1)] - [Locations (Seq: 1)] - [Unit Mix (Seq: 6)] - [Unit Mix - User Defined Field Values (Seq: 1)] Rent Information - UFAS Unit - Both]&gt;</t>
        </r>
      </text>
    </comment>
    <comment ref="AB300" authorId="0" shapeId="0" xr:uid="{9E2C3CDF-67B5-4846-AB4C-408E83C32A21}">
      <text>
        <r>
          <rPr>
            <b/>
            <sz val="9"/>
            <color indexed="81"/>
            <rFont val="Tahoma"/>
            <family val="2"/>
          </rPr>
          <t>&lt;[[DEVDeals] - [Deal Property (Seq: 1)] - [Locations (Seq: 1)] - [Unit Mix (Seq: 6)] - [Unit Mix - User Defined Field Values (Seq: 1)] Rent Information - Visitable Unit - Both]&gt;</t>
        </r>
      </text>
    </comment>
    <comment ref="AE300" authorId="0" shapeId="0" xr:uid="{CE6F814C-6173-47B1-BDD7-29FC5B4F561A}">
      <text>
        <r>
          <rPr>
            <b/>
            <sz val="9"/>
            <color indexed="81"/>
            <rFont val="Tahoma"/>
            <family val="2"/>
          </rPr>
          <t>&lt;[[DEVDeals] - [Associated TC Deal (Seq: 1)] - [TC Property Current Stage (Seq: 1)] - [Unit Mix (Seq: 6)] Income Target - Both]&gt;</t>
        </r>
      </text>
    </comment>
    <comment ref="AF300" authorId="0" shapeId="0" xr:uid="{94586458-6B6E-4E0F-877D-0740BD5E8E01}">
      <text>
        <r>
          <rPr>
            <b/>
            <sz val="9"/>
            <color indexed="81"/>
            <rFont val="Tahoma"/>
            <family val="2"/>
          </rPr>
          <t>&lt;[[DEVDeals] - [Associated TC Deal (Seq: 1)] - [TC Property Current Stage (Seq: 1)] - [Unit Mix (Seq: 6)] TC Unit Mix Type - Both]&gt;</t>
        </r>
      </text>
    </comment>
    <comment ref="AG300" authorId="0" shapeId="0" xr:uid="{E1E9000D-803A-4B4A-B30A-B7F98102157D}">
      <text>
        <r>
          <rPr>
            <b/>
            <sz val="9"/>
            <color indexed="81"/>
            <rFont val="Tahoma"/>
            <family val="2"/>
          </rPr>
          <t>&lt;[[DEVDeals] - [Associated TC Deal (Seq: 1)] - [TC Property Current Stage (Seq: 1)] - [Unit Mix (Seq: 6)] Num Units - Both]&gt;</t>
        </r>
      </text>
    </comment>
    <comment ref="AH300" authorId="0" shapeId="0" xr:uid="{59C69ABA-A1EC-4C8B-8FA8-6158E61039E4}">
      <text>
        <r>
          <rPr>
            <b/>
            <sz val="9"/>
            <color indexed="81"/>
            <rFont val="Tahoma"/>
            <family val="2"/>
          </rPr>
          <t>&lt;[[DEVDeals] - [Associated TC Deal (Seq: 1)] - [TC Property Current Stage (Seq: 1)] - [Unit Mix (Seq: 6)] Net Rentable Sq Ft - Both]&gt;</t>
        </r>
      </text>
    </comment>
    <comment ref="AI300" authorId="0" shapeId="0" xr:uid="{3D042066-DE18-4F96-A588-A094BE759B06}">
      <text>
        <r>
          <rPr>
            <b/>
            <sz val="9"/>
            <color indexed="81"/>
            <rFont val="Tahoma"/>
            <family val="2"/>
          </rPr>
          <t>&lt;[[DEVDeals] - [Associated TC Deal (Seq: 1)] - [TC Property Current Stage (Seq: 1)] - [Unit Mix (Seq: 6)] Monthly Rent Per Unit - Both]&gt;</t>
        </r>
      </text>
    </comment>
    <comment ref="Q301" authorId="0" shapeId="0" xr:uid="{EF0965E0-F7B2-44D4-95BF-3B02E660DAAE}">
      <text>
        <r>
          <rPr>
            <b/>
            <sz val="9"/>
            <color indexed="81"/>
            <rFont val="Tahoma"/>
            <family val="2"/>
          </rPr>
          <t>&lt;[[DEVDeals] - [Deal Property (Seq: 1)] - [Locations (Seq: 1)] - [Unit Mix (Seq: 7)] Unit Mix Ami Percent - Both]&gt;</t>
        </r>
      </text>
    </comment>
    <comment ref="R301" authorId="0" shapeId="0" xr:uid="{C55D034F-74B1-460E-8B6D-E1E7A05E6253}">
      <text>
        <r>
          <rPr>
            <b/>
            <sz val="9"/>
            <color indexed="81"/>
            <rFont val="Tahoma"/>
            <family val="2"/>
          </rPr>
          <t>&lt;[[DEVDeals] - [Deal Property (Seq: 1)] - [Locations (Seq: 1)] - [Unit Mix (Seq: 7)] Unit Type - Both]&gt;</t>
        </r>
      </text>
    </comment>
    <comment ref="S301" authorId="0" shapeId="0" xr:uid="{E20FA4DE-1070-4884-A80F-09E04E23D546}">
      <text>
        <r>
          <rPr>
            <b/>
            <sz val="9"/>
            <color indexed="81"/>
            <rFont val="Tahoma"/>
            <family val="2"/>
          </rPr>
          <t>&lt;[[DEVDeals] - [Deal Property (Seq: 1)] - [Locations (Seq: 1)] - [Unit Mix (Seq: 7)] - [Unit Mix - User Defined Field Values (Seq: 1)] Rent Information - Bathroom Count - Both]&gt;</t>
        </r>
      </text>
    </comment>
    <comment ref="T301" authorId="0" shapeId="0" xr:uid="{D6745A1D-AB02-4450-A026-04CA715A8ADC}">
      <text>
        <r>
          <rPr>
            <b/>
            <sz val="9"/>
            <color indexed="81"/>
            <rFont val="Tahoma"/>
            <family val="2"/>
          </rPr>
          <t>&lt;[[DEVDeals] - [Deal Property (Seq: 1)] - [Locations (Seq: 1)] - [Unit Mix (Seq: 7)] Num Units - Both]&gt;</t>
        </r>
      </text>
    </comment>
    <comment ref="U301" authorId="0" shapeId="0" xr:uid="{A29E0B92-21F3-4D15-9FAC-DF830929740A}">
      <text>
        <r>
          <rPr>
            <b/>
            <sz val="9"/>
            <color indexed="81"/>
            <rFont val="Tahoma"/>
            <family val="2"/>
          </rPr>
          <t>&lt;[[DEVDeals] - [Deal Property (Seq: 1)] - [Locations (Seq: 1)] - [Unit Mix (Seq: 7)] Square Footage - Both]&gt;</t>
        </r>
      </text>
    </comment>
    <comment ref="V301" authorId="0" shapeId="0" xr:uid="{B64B069F-D93C-4BC4-B9AE-6C44D3B8B3B8}">
      <text>
        <r>
          <rPr>
            <b/>
            <sz val="9"/>
            <color indexed="81"/>
            <rFont val="Tahoma"/>
            <family val="2"/>
          </rPr>
          <t>&lt;[[DEVDeals] - [Deal Property (Seq: 1)] - [Locations (Seq: 1)] - [Unit Mix (Seq: 7)] Estimated Tenant Paid Utilities - Both]&gt;</t>
        </r>
      </text>
    </comment>
    <comment ref="W301" authorId="0" shapeId="0" xr:uid="{8D7F3A08-B62F-4343-AA6F-E29A8D41996C}">
      <text>
        <r>
          <rPr>
            <b/>
            <sz val="9"/>
            <color indexed="81"/>
            <rFont val="Tahoma"/>
            <family val="2"/>
          </rPr>
          <t>&lt;[[DEVDeals] - [Deal Property (Seq: 1)] - [Locations (Seq: 1)] - [Unit Mix (Seq: 7)] - [Unit Mix - User Defined Field Values (Seq: 1)] Rent Information - Resident Paid Rent - Both]&gt;</t>
        </r>
      </text>
    </comment>
    <comment ref="X301" authorId="0" shapeId="0" xr:uid="{88133709-1A3A-46DD-95D3-238B35401DEE}">
      <text>
        <r>
          <rPr>
            <b/>
            <sz val="9"/>
            <color indexed="81"/>
            <rFont val="Tahoma"/>
            <family val="2"/>
          </rPr>
          <t>&lt;[[DEVDeals] - [Deal Property (Seq: 1)] - [Locations (Seq: 1)] - [Unit Mix (Seq: 7)] - [Unit Mix - User Defined Field Values (Seq: 1)] Rent Information - Rent Subsidy - Both]&gt;</t>
        </r>
      </text>
    </comment>
    <comment ref="Y301" authorId="0" shapeId="0" xr:uid="{179B9E70-B9AD-4ECC-9511-C407FAA21750}">
      <text>
        <r>
          <rPr>
            <b/>
            <sz val="9"/>
            <color indexed="81"/>
            <rFont val="Tahoma"/>
            <family val="2"/>
          </rPr>
          <t>&lt;[[DEVDeals] - [Deal Property (Seq: 1)] - [Locations (Seq: 1)] - [Unit Mix (Seq: 7)] Notes - Both]&gt;</t>
        </r>
      </text>
    </comment>
    <comment ref="Z301" authorId="0" shapeId="0" xr:uid="{B47AB21A-E4B4-406C-8226-B0DAB7F32A75}">
      <text>
        <r>
          <rPr>
            <b/>
            <sz val="9"/>
            <color indexed="81"/>
            <rFont val="Tahoma"/>
            <family val="2"/>
          </rPr>
          <t>&lt;[[DEVDeals] - [Deal Property (Seq: 1)] - [Locations (Seq: 1)] - [Unit Mix (Seq: 7)] Base Rent - Both]&gt;</t>
        </r>
      </text>
    </comment>
    <comment ref="AA301" authorId="0" shapeId="0" xr:uid="{3DFA3ACC-2E20-4853-A1F8-FF6CEC1B4438}">
      <text>
        <r>
          <rPr>
            <b/>
            <sz val="9"/>
            <color indexed="81"/>
            <rFont val="Tahoma"/>
            <family val="2"/>
          </rPr>
          <t>&lt;[[DEVDeals] - [Deal Property (Seq: 1)] - [Locations (Seq: 1)] - [Unit Mix (Seq: 7)] - [Unit Mix - User Defined Field Values (Seq: 1)] Rent Information - UFAS Unit - Both]&gt;</t>
        </r>
      </text>
    </comment>
    <comment ref="AB301" authorId="0" shapeId="0" xr:uid="{22A37557-FF5A-46A2-8AC9-47A0217B6CD5}">
      <text>
        <r>
          <rPr>
            <b/>
            <sz val="9"/>
            <color indexed="81"/>
            <rFont val="Tahoma"/>
            <family val="2"/>
          </rPr>
          <t>&lt;[[DEVDeals] - [Deal Property (Seq: 1)] - [Locations (Seq: 1)] - [Unit Mix (Seq: 7)] - [Unit Mix - User Defined Field Values (Seq: 1)] Rent Information - Visitable Unit - Both]&gt;</t>
        </r>
      </text>
    </comment>
    <comment ref="AE301" authorId="0" shapeId="0" xr:uid="{F92E4B61-570F-428D-A8F1-42EE5157B2B0}">
      <text>
        <r>
          <rPr>
            <b/>
            <sz val="9"/>
            <color indexed="81"/>
            <rFont val="Tahoma"/>
            <family val="2"/>
          </rPr>
          <t>&lt;[[DEVDeals] - [Associated TC Deal (Seq: 1)] - [TC Property Current Stage (Seq: 1)] - [Unit Mix (Seq: 7)] Income Target - Both]&gt;</t>
        </r>
      </text>
    </comment>
    <comment ref="AF301" authorId="0" shapeId="0" xr:uid="{55F50FDE-CA67-4738-B1EA-294A31C46144}">
      <text>
        <r>
          <rPr>
            <b/>
            <sz val="9"/>
            <color indexed="81"/>
            <rFont val="Tahoma"/>
            <family val="2"/>
          </rPr>
          <t>&lt;[[DEVDeals] - [Associated TC Deal (Seq: 1)] - [TC Property Current Stage (Seq: 1)] - [Unit Mix (Seq: 7)] TC Unit Mix Type - Both]&gt;</t>
        </r>
      </text>
    </comment>
    <comment ref="AG301" authorId="0" shapeId="0" xr:uid="{38B9B09B-F79C-4B5A-B87A-BE67B5D4C9B9}">
      <text>
        <r>
          <rPr>
            <b/>
            <sz val="9"/>
            <color indexed="81"/>
            <rFont val="Tahoma"/>
            <family val="2"/>
          </rPr>
          <t>&lt;[[DEVDeals] - [Associated TC Deal (Seq: 1)] - [TC Property Current Stage (Seq: 1)] - [Unit Mix (Seq: 7)] Num Units - Both]&gt;</t>
        </r>
      </text>
    </comment>
    <comment ref="AH301" authorId="0" shapeId="0" xr:uid="{F9E645EB-7718-4640-A5DB-95CFD6D4C46D}">
      <text>
        <r>
          <rPr>
            <b/>
            <sz val="9"/>
            <color indexed="81"/>
            <rFont val="Tahoma"/>
            <family val="2"/>
          </rPr>
          <t>&lt;[[DEVDeals] - [Associated TC Deal (Seq: 1)] - [TC Property Current Stage (Seq: 1)] - [Unit Mix (Seq: 7)] Net Rentable Sq Ft - Both]&gt;</t>
        </r>
      </text>
    </comment>
    <comment ref="AI301" authorId="0" shapeId="0" xr:uid="{FEE70164-4343-4C70-9A0E-ACB8E94A2558}">
      <text>
        <r>
          <rPr>
            <b/>
            <sz val="9"/>
            <color indexed="81"/>
            <rFont val="Tahoma"/>
            <family val="2"/>
          </rPr>
          <t>&lt;[[DEVDeals] - [Associated TC Deal (Seq: 1)] - [TC Property Current Stage (Seq: 1)] - [Unit Mix (Seq: 7)] Monthly Rent Per Unit - Both]&gt;</t>
        </r>
      </text>
    </comment>
    <comment ref="Q302" authorId="0" shapeId="0" xr:uid="{2C686812-0E4D-43F2-BD17-A930E95365C2}">
      <text>
        <r>
          <rPr>
            <b/>
            <sz val="9"/>
            <color indexed="81"/>
            <rFont val="Tahoma"/>
            <family val="2"/>
          </rPr>
          <t>&lt;[[DEVDeals] - [Deal Property (Seq: 1)] - [Locations (Seq: 1)] - [Unit Mix (Seq: 8)] Unit Mix Ami Percent - Both]&gt;</t>
        </r>
      </text>
    </comment>
    <comment ref="R302" authorId="0" shapeId="0" xr:uid="{2CD2AF6A-5BBE-4B2D-BE11-6BC8350ADE94}">
      <text>
        <r>
          <rPr>
            <b/>
            <sz val="9"/>
            <color indexed="81"/>
            <rFont val="Tahoma"/>
            <family val="2"/>
          </rPr>
          <t>&lt;[[DEVDeals] - [Deal Property (Seq: 1)] - [Locations (Seq: 1)] - [Unit Mix (Seq: 8)] Unit Type - Both]&gt;</t>
        </r>
      </text>
    </comment>
    <comment ref="S302" authorId="0" shapeId="0" xr:uid="{C3320702-EBFF-4E43-AE61-4345351E9AB7}">
      <text>
        <r>
          <rPr>
            <b/>
            <sz val="9"/>
            <color indexed="81"/>
            <rFont val="Tahoma"/>
            <family val="2"/>
          </rPr>
          <t>&lt;[[DEVDeals] - [Deal Property (Seq: 1)] - [Locations (Seq: 1)] - [Unit Mix (Seq: 8)] - [Unit Mix - User Defined Field Values (Seq: 1)] Rent Information - Bathroom Count - Both]&gt;</t>
        </r>
      </text>
    </comment>
    <comment ref="T302" authorId="0" shapeId="0" xr:uid="{25A87CD0-7AD6-4140-B7B7-5318AB09C2F8}">
      <text>
        <r>
          <rPr>
            <b/>
            <sz val="9"/>
            <color indexed="81"/>
            <rFont val="Tahoma"/>
            <family val="2"/>
          </rPr>
          <t>&lt;[[DEVDeals] - [Deal Property (Seq: 1)] - [Locations (Seq: 1)] - [Unit Mix (Seq: 8)] Num Units - Both]&gt;</t>
        </r>
      </text>
    </comment>
    <comment ref="U302" authorId="0" shapeId="0" xr:uid="{FD5DB2CE-ED1B-469D-B0AE-3FC76D2A57B8}">
      <text>
        <r>
          <rPr>
            <b/>
            <sz val="9"/>
            <color indexed="81"/>
            <rFont val="Tahoma"/>
            <family val="2"/>
          </rPr>
          <t>&lt;[[DEVDeals] - [Deal Property (Seq: 1)] - [Locations (Seq: 1)] - [Unit Mix (Seq: 8)] Square Footage - Both]&gt;</t>
        </r>
      </text>
    </comment>
    <comment ref="V302" authorId="0" shapeId="0" xr:uid="{6893A918-FF8E-4F66-8957-901EB383C2B9}">
      <text>
        <r>
          <rPr>
            <b/>
            <sz val="9"/>
            <color indexed="81"/>
            <rFont val="Tahoma"/>
            <family val="2"/>
          </rPr>
          <t>&lt;[[DEVDeals] - [Deal Property (Seq: 1)] - [Locations (Seq: 1)] - [Unit Mix (Seq: 8)] Estimated Tenant Paid Utilities - Both]&gt;</t>
        </r>
      </text>
    </comment>
    <comment ref="W302" authorId="0" shapeId="0" xr:uid="{BD05E95E-CC3B-48CF-8BDB-4A092C9EDB18}">
      <text>
        <r>
          <rPr>
            <b/>
            <sz val="9"/>
            <color indexed="81"/>
            <rFont val="Tahoma"/>
            <family val="2"/>
          </rPr>
          <t>&lt;[[DEVDeals] - [Deal Property (Seq: 1)] - [Locations (Seq: 1)] - [Unit Mix (Seq: 8)] - [Unit Mix - User Defined Field Values (Seq: 1)] Rent Information - Resident Paid Rent - Both]&gt;</t>
        </r>
      </text>
    </comment>
    <comment ref="X302" authorId="0" shapeId="0" xr:uid="{69DE1872-8723-4E5E-87ED-B776A98611E1}">
      <text>
        <r>
          <rPr>
            <b/>
            <sz val="9"/>
            <color indexed="81"/>
            <rFont val="Tahoma"/>
            <family val="2"/>
          </rPr>
          <t>&lt;[[DEVDeals] - [Deal Property (Seq: 1)] - [Locations (Seq: 1)] - [Unit Mix (Seq: 8)] - [Unit Mix - User Defined Field Values (Seq: 1)] Rent Information - Rent Subsidy - Both]&gt;</t>
        </r>
      </text>
    </comment>
    <comment ref="Y302" authorId="0" shapeId="0" xr:uid="{260F0A66-D2EB-4549-B37B-4B4A9CFDC13A}">
      <text>
        <r>
          <rPr>
            <b/>
            <sz val="9"/>
            <color indexed="81"/>
            <rFont val="Tahoma"/>
            <family val="2"/>
          </rPr>
          <t>&lt;[[DEVDeals] - [Deal Property (Seq: 1)] - [Locations (Seq: 1)] - [Unit Mix (Seq: 8)] Notes - Both]&gt;</t>
        </r>
      </text>
    </comment>
    <comment ref="Z302" authorId="0" shapeId="0" xr:uid="{EE29E5F9-2B7B-4777-93FF-EAE0F2700976}">
      <text>
        <r>
          <rPr>
            <b/>
            <sz val="9"/>
            <color indexed="81"/>
            <rFont val="Tahoma"/>
            <family val="2"/>
          </rPr>
          <t>&lt;[[DEVDeals] - [Deal Property (Seq: 1)] - [Locations (Seq: 1)] - [Unit Mix (Seq: 8)] Base Rent - Both]&gt;</t>
        </r>
      </text>
    </comment>
    <comment ref="AA302" authorId="0" shapeId="0" xr:uid="{46623C07-FFD2-4407-A154-4CD0B563264B}">
      <text>
        <r>
          <rPr>
            <b/>
            <sz val="9"/>
            <color indexed="81"/>
            <rFont val="Tahoma"/>
            <family val="2"/>
          </rPr>
          <t>&lt;[[DEVDeals] - [Deal Property (Seq: 1)] - [Locations (Seq: 1)] - [Unit Mix (Seq: 8)] - [Unit Mix - User Defined Field Values (Seq: 1)] Rent Information - UFAS Unit - Both]&gt;</t>
        </r>
      </text>
    </comment>
    <comment ref="AB302" authorId="0" shapeId="0" xr:uid="{94B8239B-02C6-402C-8AEB-9480C5E71DBF}">
      <text>
        <r>
          <rPr>
            <b/>
            <sz val="9"/>
            <color indexed="81"/>
            <rFont val="Tahoma"/>
            <family val="2"/>
          </rPr>
          <t>&lt;[[DEVDeals] - [Deal Property (Seq: 1)] - [Locations (Seq: 1)] - [Unit Mix (Seq: 8)] - [Unit Mix - User Defined Field Values (Seq: 1)] Rent Information - Visitable Unit - Both]&gt;</t>
        </r>
      </text>
    </comment>
    <comment ref="AE302" authorId="0" shapeId="0" xr:uid="{FE8E081B-080D-452B-B10B-507A46608425}">
      <text>
        <r>
          <rPr>
            <b/>
            <sz val="9"/>
            <color indexed="81"/>
            <rFont val="Tahoma"/>
            <family val="2"/>
          </rPr>
          <t>&lt;[[DEVDeals] - [Associated TC Deal (Seq: 1)] - [TC Property Current Stage (Seq: 1)] - [Unit Mix (Seq: 8)] Income Target - Both]&gt;</t>
        </r>
      </text>
    </comment>
    <comment ref="AF302" authorId="0" shapeId="0" xr:uid="{36928C65-F29B-4CAB-8158-62E904D18187}">
      <text>
        <r>
          <rPr>
            <b/>
            <sz val="9"/>
            <color indexed="81"/>
            <rFont val="Tahoma"/>
            <family val="2"/>
          </rPr>
          <t>&lt;[[DEVDeals] - [Associated TC Deal (Seq: 1)] - [TC Property Current Stage (Seq: 1)] - [Unit Mix (Seq: 8)] TC Unit Mix Type - Both]&gt;</t>
        </r>
      </text>
    </comment>
    <comment ref="AG302" authorId="0" shapeId="0" xr:uid="{656B2E95-2001-4792-843A-420E4E6CADF0}">
      <text>
        <r>
          <rPr>
            <b/>
            <sz val="9"/>
            <color indexed="81"/>
            <rFont val="Tahoma"/>
            <family val="2"/>
          </rPr>
          <t>&lt;[[DEVDeals] - [Associated TC Deal (Seq: 1)] - [TC Property Current Stage (Seq: 1)] - [Unit Mix (Seq: 8)] Num Units - Both]&gt;</t>
        </r>
      </text>
    </comment>
    <comment ref="AH302" authorId="0" shapeId="0" xr:uid="{020D4A04-D0BF-4919-B397-2423F9AC595E}">
      <text>
        <r>
          <rPr>
            <b/>
            <sz val="9"/>
            <color indexed="81"/>
            <rFont val="Tahoma"/>
            <family val="2"/>
          </rPr>
          <t>&lt;[[DEVDeals] - [Associated TC Deal (Seq: 1)] - [TC Property Current Stage (Seq: 1)] - [Unit Mix (Seq: 8)] Net Rentable Sq Ft - Both]&gt;</t>
        </r>
      </text>
    </comment>
    <comment ref="AI302" authorId="0" shapeId="0" xr:uid="{52B88C7D-02BE-45F0-8923-7E5D44AD7227}">
      <text>
        <r>
          <rPr>
            <b/>
            <sz val="9"/>
            <color indexed="81"/>
            <rFont val="Tahoma"/>
            <family val="2"/>
          </rPr>
          <t>&lt;[[DEVDeals] - [Associated TC Deal (Seq: 1)] - [TC Property Current Stage (Seq: 1)] - [Unit Mix (Seq: 8)] Monthly Rent Per Unit - Both]&gt;</t>
        </r>
      </text>
    </comment>
    <comment ref="Q303" authorId="0" shapeId="0" xr:uid="{8FA38E81-45B0-4265-BDC4-C556E492F33B}">
      <text>
        <r>
          <rPr>
            <b/>
            <sz val="9"/>
            <color indexed="81"/>
            <rFont val="Tahoma"/>
            <family val="2"/>
          </rPr>
          <t>&lt;[[DEVDeals] - [Deal Property (Seq: 1)] - [Locations (Seq: 1)] - [Unit Mix (Seq: 9)] Unit Mix Ami Percent - Both]&gt;</t>
        </r>
      </text>
    </comment>
    <comment ref="R303" authorId="0" shapeId="0" xr:uid="{1910F846-414C-4936-B851-469A5A65B81F}">
      <text>
        <r>
          <rPr>
            <b/>
            <sz val="9"/>
            <color indexed="81"/>
            <rFont val="Tahoma"/>
            <family val="2"/>
          </rPr>
          <t>&lt;[[DEVDeals] - [Deal Property (Seq: 1)] - [Locations (Seq: 1)] - [Unit Mix (Seq: 9)] Unit Type - Both]&gt;</t>
        </r>
      </text>
    </comment>
    <comment ref="S303" authorId="0" shapeId="0" xr:uid="{D282BA90-DAC1-42FD-89D5-A9AC9403C4F9}">
      <text>
        <r>
          <rPr>
            <b/>
            <sz val="9"/>
            <color indexed="81"/>
            <rFont val="Tahoma"/>
            <family val="2"/>
          </rPr>
          <t>&lt;[[DEVDeals] - [Deal Property (Seq: 1)] - [Locations (Seq: 1)] - [Unit Mix (Seq: 9)] - [Unit Mix - User Defined Field Values (Seq: 1)] Rent Information - Bathroom Count - Both]&gt;</t>
        </r>
      </text>
    </comment>
    <comment ref="T303" authorId="0" shapeId="0" xr:uid="{4AD740AB-E8F1-4651-8EC5-0A7503E0C48D}">
      <text>
        <r>
          <rPr>
            <b/>
            <sz val="9"/>
            <color indexed="81"/>
            <rFont val="Tahoma"/>
            <family val="2"/>
          </rPr>
          <t>&lt;[[DEVDeals] - [Deal Property (Seq: 1)] - [Locations (Seq: 1)] - [Unit Mix (Seq: 9)] Num Units - Both]&gt;</t>
        </r>
      </text>
    </comment>
    <comment ref="U303" authorId="0" shapeId="0" xr:uid="{D5702C3B-C1FC-4808-802B-5FA7124502E2}">
      <text>
        <r>
          <rPr>
            <b/>
            <sz val="9"/>
            <color indexed="81"/>
            <rFont val="Tahoma"/>
            <family val="2"/>
          </rPr>
          <t>&lt;[[DEVDeals] - [Deal Property (Seq: 1)] - [Locations (Seq: 1)] - [Unit Mix (Seq: 9)] Square Footage - Both]&gt;</t>
        </r>
      </text>
    </comment>
    <comment ref="V303" authorId="0" shapeId="0" xr:uid="{3A787341-608C-4D08-B55D-07B257CFCDE2}">
      <text>
        <r>
          <rPr>
            <b/>
            <sz val="9"/>
            <color indexed="81"/>
            <rFont val="Tahoma"/>
            <family val="2"/>
          </rPr>
          <t>&lt;[[DEVDeals] - [Deal Property (Seq: 1)] - [Locations (Seq: 1)] - [Unit Mix (Seq: 9)] Estimated Tenant Paid Utilities - Both]&gt;</t>
        </r>
      </text>
    </comment>
    <comment ref="W303" authorId="0" shapeId="0" xr:uid="{5A5275C2-5AC2-433D-A32E-9601C47634AE}">
      <text>
        <r>
          <rPr>
            <b/>
            <sz val="9"/>
            <color indexed="81"/>
            <rFont val="Tahoma"/>
            <family val="2"/>
          </rPr>
          <t>&lt;[[DEVDeals] - [Deal Property (Seq: 1)] - [Locations (Seq: 1)] - [Unit Mix (Seq: 9)] - [Unit Mix - User Defined Field Values (Seq: 1)] Rent Information - Resident Paid Rent - Both]&gt;</t>
        </r>
      </text>
    </comment>
    <comment ref="X303" authorId="0" shapeId="0" xr:uid="{FE8D3E5F-5169-4D08-9EA2-61F66DABA5C3}">
      <text>
        <r>
          <rPr>
            <b/>
            <sz val="9"/>
            <color indexed="81"/>
            <rFont val="Tahoma"/>
            <family val="2"/>
          </rPr>
          <t>&lt;[[DEVDeals] - [Deal Property (Seq: 1)] - [Locations (Seq: 1)] - [Unit Mix (Seq: 9)] - [Unit Mix - User Defined Field Values (Seq: 1)] Rent Information - Rent Subsidy - Both]&gt;</t>
        </r>
      </text>
    </comment>
    <comment ref="Y303" authorId="0" shapeId="0" xr:uid="{AE55C0F8-9FCF-4354-8B59-8781C384942D}">
      <text>
        <r>
          <rPr>
            <b/>
            <sz val="9"/>
            <color indexed="81"/>
            <rFont val="Tahoma"/>
            <family val="2"/>
          </rPr>
          <t>&lt;[[DEVDeals] - [Deal Property (Seq: 1)] - [Locations (Seq: 1)] - [Unit Mix (Seq: 9)] Notes - Both]&gt;</t>
        </r>
      </text>
    </comment>
    <comment ref="Z303" authorId="0" shapeId="0" xr:uid="{D9966D86-5DF2-4673-9E12-FB87D5D8E459}">
      <text>
        <r>
          <rPr>
            <b/>
            <sz val="9"/>
            <color indexed="81"/>
            <rFont val="Tahoma"/>
            <family val="2"/>
          </rPr>
          <t>&lt;[[DEVDeals] - [Deal Property (Seq: 1)] - [Locations (Seq: 1)] - [Unit Mix (Seq: 9)] Base Rent - Both]&gt;</t>
        </r>
      </text>
    </comment>
    <comment ref="AA303" authorId="0" shapeId="0" xr:uid="{4022ADEF-9538-4BA9-8B6E-370C617F2A32}">
      <text>
        <r>
          <rPr>
            <b/>
            <sz val="9"/>
            <color indexed="81"/>
            <rFont val="Tahoma"/>
            <family val="2"/>
          </rPr>
          <t>&lt;[[DEVDeals] - [Deal Property (Seq: 1)] - [Locations (Seq: 1)] - [Unit Mix (Seq: 9)] - [Unit Mix - User Defined Field Values (Seq: 1)] Rent Information - UFAS Unit - Both]&gt;</t>
        </r>
      </text>
    </comment>
    <comment ref="AB303" authorId="0" shapeId="0" xr:uid="{7807B9BD-0518-4A2A-AAB1-3DCBBDAEF5CD}">
      <text>
        <r>
          <rPr>
            <b/>
            <sz val="9"/>
            <color indexed="81"/>
            <rFont val="Tahoma"/>
            <family val="2"/>
          </rPr>
          <t>&lt;[[DEVDeals] - [Deal Property (Seq: 1)] - [Locations (Seq: 1)] - [Unit Mix (Seq: 9)] - [Unit Mix - User Defined Field Values (Seq: 1)] Rent Information - Visitable Unit - Both]&gt;</t>
        </r>
      </text>
    </comment>
    <comment ref="AE303" authorId="0" shapeId="0" xr:uid="{36EECF94-1B31-457E-9621-89A9C1E5F779}">
      <text>
        <r>
          <rPr>
            <b/>
            <sz val="9"/>
            <color indexed="81"/>
            <rFont val="Tahoma"/>
            <family val="2"/>
          </rPr>
          <t>&lt;[[DEVDeals] - [Associated TC Deal (Seq: 1)] - [TC Property Current Stage (Seq: 1)] - [Unit Mix (Seq: 9)] Income Target - Both]&gt;</t>
        </r>
      </text>
    </comment>
    <comment ref="AF303" authorId="0" shapeId="0" xr:uid="{AB12DA67-6AAD-4F07-B945-7AEB4BD98231}">
      <text>
        <r>
          <rPr>
            <b/>
            <sz val="9"/>
            <color indexed="81"/>
            <rFont val="Tahoma"/>
            <family val="2"/>
          </rPr>
          <t>&lt;[[DEVDeals] - [Associated TC Deal (Seq: 1)] - [TC Property Current Stage (Seq: 1)] - [Unit Mix (Seq: 9)] TC Unit Mix Type - Both]&gt;</t>
        </r>
      </text>
    </comment>
    <comment ref="AG303" authorId="0" shapeId="0" xr:uid="{6D69FEF7-E8DE-418A-8C6A-1697D3EE1722}">
      <text>
        <r>
          <rPr>
            <b/>
            <sz val="9"/>
            <color indexed="81"/>
            <rFont val="Tahoma"/>
            <family val="2"/>
          </rPr>
          <t>&lt;[[DEVDeals] - [Associated TC Deal (Seq: 1)] - [TC Property Current Stage (Seq: 1)] - [Unit Mix (Seq: 9)] Num Units - Both]&gt;</t>
        </r>
      </text>
    </comment>
    <comment ref="AH303" authorId="0" shapeId="0" xr:uid="{9E7EAE79-3862-4577-960B-61C51E1AB90C}">
      <text>
        <r>
          <rPr>
            <b/>
            <sz val="9"/>
            <color indexed="81"/>
            <rFont val="Tahoma"/>
            <family val="2"/>
          </rPr>
          <t>&lt;[[DEVDeals] - [Associated TC Deal (Seq: 1)] - [TC Property Current Stage (Seq: 1)] - [Unit Mix (Seq: 9)] Net Rentable Sq Ft - Both]&gt;</t>
        </r>
      </text>
    </comment>
    <comment ref="AI303" authorId="0" shapeId="0" xr:uid="{9E5618EC-0E44-4BE0-AEAC-834098E7CCBF}">
      <text>
        <r>
          <rPr>
            <b/>
            <sz val="9"/>
            <color indexed="81"/>
            <rFont val="Tahoma"/>
            <family val="2"/>
          </rPr>
          <t>&lt;[[DEVDeals] - [Associated TC Deal (Seq: 1)] - [TC Property Current Stage (Seq: 1)] - [Unit Mix (Seq: 9)] Monthly Rent Per Unit - Both]&gt;</t>
        </r>
      </text>
    </comment>
    <comment ref="Q304" authorId="0" shapeId="0" xr:uid="{9EEFE456-74A0-4856-A764-93BE5CA9D31D}">
      <text>
        <r>
          <rPr>
            <b/>
            <sz val="9"/>
            <color indexed="81"/>
            <rFont val="Tahoma"/>
            <family val="2"/>
          </rPr>
          <t>&lt;[[DEVDeals] - [Deal Property (Seq: 1)] - [Locations (Seq: 1)] - [Unit Mix (Seq: 10)] Unit Mix Ami Percent - Both]&gt;</t>
        </r>
      </text>
    </comment>
    <comment ref="R304" authorId="0" shapeId="0" xr:uid="{AAB7E5D0-DCC2-4A50-A974-5FF997E086BA}">
      <text>
        <r>
          <rPr>
            <b/>
            <sz val="9"/>
            <color indexed="81"/>
            <rFont val="Tahoma"/>
            <family val="2"/>
          </rPr>
          <t>&lt;[[DEVDeals] - [Deal Property (Seq: 1)] - [Locations (Seq: 1)] - [Unit Mix (Seq: 10)] Unit Type - Both]&gt;</t>
        </r>
      </text>
    </comment>
    <comment ref="S304" authorId="0" shapeId="0" xr:uid="{CEC5B44C-4501-423E-B48E-B0FA4CBF6AB4}">
      <text>
        <r>
          <rPr>
            <b/>
            <sz val="9"/>
            <color indexed="81"/>
            <rFont val="Tahoma"/>
            <family val="2"/>
          </rPr>
          <t>&lt;[[DEVDeals] - [Deal Property (Seq: 1)] - [Locations (Seq: 1)] - [Unit Mix (Seq: 10)] - [Unit Mix - User Defined Field Values (Seq: 1)] Rent Information - Bathroom Count - Both]&gt;</t>
        </r>
      </text>
    </comment>
    <comment ref="T304" authorId="0" shapeId="0" xr:uid="{13B181E2-6785-4E2D-882B-3EC055632084}">
      <text>
        <r>
          <rPr>
            <b/>
            <sz val="9"/>
            <color indexed="81"/>
            <rFont val="Tahoma"/>
            <family val="2"/>
          </rPr>
          <t>&lt;[[DEVDeals] - [Deal Property (Seq: 1)] - [Locations (Seq: 1)] - [Unit Mix (Seq: 10)] Num Units - Both]&gt;</t>
        </r>
      </text>
    </comment>
    <comment ref="U304" authorId="0" shapeId="0" xr:uid="{BE8FCB26-CA84-4383-AB2B-D394C1787B95}">
      <text>
        <r>
          <rPr>
            <b/>
            <sz val="9"/>
            <color indexed="81"/>
            <rFont val="Tahoma"/>
            <family val="2"/>
          </rPr>
          <t>&lt;[[DEVDeals] - [Deal Property (Seq: 1)] - [Locations (Seq: 1)] - [Unit Mix (Seq: 10)] Square Footage - Both]&gt;</t>
        </r>
      </text>
    </comment>
    <comment ref="V304" authorId="0" shapeId="0" xr:uid="{82544239-5DD3-4DDD-AA74-5DAF3504EC42}">
      <text>
        <r>
          <rPr>
            <b/>
            <sz val="9"/>
            <color indexed="81"/>
            <rFont val="Tahoma"/>
            <family val="2"/>
          </rPr>
          <t>&lt;[[DEVDeals] - [Deal Property (Seq: 1)] - [Locations (Seq: 1)] - [Unit Mix (Seq: 10)] Estimated Tenant Paid Utilities - Both]&gt;</t>
        </r>
      </text>
    </comment>
    <comment ref="W304" authorId="0" shapeId="0" xr:uid="{2AB0572D-20AA-44E7-8EED-6A8FA4B1F5FC}">
      <text>
        <r>
          <rPr>
            <b/>
            <sz val="9"/>
            <color indexed="81"/>
            <rFont val="Tahoma"/>
            <family val="2"/>
          </rPr>
          <t>&lt;[[DEVDeals] - [Deal Property (Seq: 1)] - [Locations (Seq: 1)] - [Unit Mix (Seq: 10)] - [Unit Mix - User Defined Field Values (Seq: 1)] Rent Information - Resident Paid Rent - Both]&gt;</t>
        </r>
      </text>
    </comment>
    <comment ref="X304" authorId="0" shapeId="0" xr:uid="{D8353162-82CD-4CCD-BCF5-F7E13A9BEAD6}">
      <text>
        <r>
          <rPr>
            <b/>
            <sz val="9"/>
            <color indexed="81"/>
            <rFont val="Tahoma"/>
            <family val="2"/>
          </rPr>
          <t>&lt;[[DEVDeals] - [Deal Property (Seq: 1)] - [Locations (Seq: 1)] - [Unit Mix (Seq: 10)] - [Unit Mix - User Defined Field Values (Seq: 1)] Rent Information - Rent Subsidy - Both]&gt;</t>
        </r>
      </text>
    </comment>
    <comment ref="Y304" authorId="0" shapeId="0" xr:uid="{7A4AD86F-435F-4735-840E-D5C762B9F295}">
      <text>
        <r>
          <rPr>
            <b/>
            <sz val="9"/>
            <color indexed="81"/>
            <rFont val="Tahoma"/>
            <family val="2"/>
          </rPr>
          <t>&lt;[[DEVDeals] - [Deal Property (Seq: 1)] - [Locations (Seq: 1)] - [Unit Mix (Seq: 10)] Notes - Both]&gt;</t>
        </r>
      </text>
    </comment>
    <comment ref="Z304" authorId="0" shapeId="0" xr:uid="{A48FB28F-7537-4673-9F4D-B1FEA48AB5D4}">
      <text>
        <r>
          <rPr>
            <b/>
            <sz val="9"/>
            <color indexed="81"/>
            <rFont val="Tahoma"/>
            <family val="2"/>
          </rPr>
          <t>&lt;[[DEVDeals] - [Deal Property (Seq: 1)] - [Locations (Seq: 1)] - [Unit Mix (Seq: 10)] Base Rent - Both]&gt;</t>
        </r>
      </text>
    </comment>
    <comment ref="AA304" authorId="0" shapeId="0" xr:uid="{DFD70E28-0C51-4DDC-BD41-39F5E870A330}">
      <text>
        <r>
          <rPr>
            <b/>
            <sz val="9"/>
            <color indexed="81"/>
            <rFont val="Tahoma"/>
            <family val="2"/>
          </rPr>
          <t>&lt;[[DEVDeals] - [Deal Property (Seq: 1)] - [Locations (Seq: 1)] - [Unit Mix (Seq: 10)] - [Unit Mix - User Defined Field Values (Seq: 1)] Rent Information - UFAS Unit - Both]&gt;</t>
        </r>
      </text>
    </comment>
    <comment ref="AB304" authorId="0" shapeId="0" xr:uid="{763F1662-11E1-432E-8E4C-E4564C1E5B97}">
      <text>
        <r>
          <rPr>
            <b/>
            <sz val="9"/>
            <color indexed="81"/>
            <rFont val="Tahoma"/>
            <family val="2"/>
          </rPr>
          <t>&lt;[[DEVDeals] - [Deal Property (Seq: 1)] - [Locations (Seq: 1)] - [Unit Mix (Seq: 10)] - [Unit Mix - User Defined Field Values (Seq: 1)] Rent Information - Visitable Unit - Both]&gt;</t>
        </r>
      </text>
    </comment>
    <comment ref="AE304" authorId="0" shapeId="0" xr:uid="{9EE5AB44-AFE8-4AF0-8BE2-2DF0246D89DC}">
      <text>
        <r>
          <rPr>
            <b/>
            <sz val="9"/>
            <color indexed="81"/>
            <rFont val="Tahoma"/>
            <family val="2"/>
          </rPr>
          <t>&lt;[[DEVDeals] - [Associated TC Deal (Seq: 1)] - [TC Property Current Stage (Seq: 1)] - [Unit Mix (Seq: 10)] Income Target - Both]&gt;</t>
        </r>
      </text>
    </comment>
    <comment ref="AF304" authorId="0" shapeId="0" xr:uid="{0AB7174E-9067-46D3-87B6-322424CAA0EE}">
      <text>
        <r>
          <rPr>
            <b/>
            <sz val="9"/>
            <color indexed="81"/>
            <rFont val="Tahoma"/>
            <family val="2"/>
          </rPr>
          <t>&lt;[[DEVDeals] - [Associated TC Deal (Seq: 1)] - [TC Property Current Stage (Seq: 1)] - [Unit Mix (Seq: 10)] TC Unit Mix Type - Both]&gt;</t>
        </r>
      </text>
    </comment>
    <comment ref="AG304" authorId="0" shapeId="0" xr:uid="{8D18CF3B-B5A4-40BC-98DC-B1552105E87F}">
      <text>
        <r>
          <rPr>
            <b/>
            <sz val="9"/>
            <color indexed="81"/>
            <rFont val="Tahoma"/>
            <family val="2"/>
          </rPr>
          <t>&lt;[[DEVDeals] - [Associated TC Deal (Seq: 1)] - [TC Property Current Stage (Seq: 1)] - [Unit Mix (Seq: 10)] Num Units - Both]&gt;</t>
        </r>
      </text>
    </comment>
    <comment ref="AH304" authorId="0" shapeId="0" xr:uid="{B9B5757B-684A-4BA3-B75C-6E33B98FB436}">
      <text>
        <r>
          <rPr>
            <b/>
            <sz val="9"/>
            <color indexed="81"/>
            <rFont val="Tahoma"/>
            <family val="2"/>
          </rPr>
          <t>&lt;[[DEVDeals] - [Associated TC Deal (Seq: 1)] - [TC Property Current Stage (Seq: 1)] - [Unit Mix (Seq: 10)] Net Rentable Sq Ft - Both]&gt;</t>
        </r>
      </text>
    </comment>
    <comment ref="AI304" authorId="0" shapeId="0" xr:uid="{864BFD0B-F998-415B-AFB8-4F14ED7D3E0A}">
      <text>
        <r>
          <rPr>
            <b/>
            <sz val="9"/>
            <color indexed="81"/>
            <rFont val="Tahoma"/>
            <family val="2"/>
          </rPr>
          <t>&lt;[[DEVDeals] - [Associated TC Deal (Seq: 1)] - [TC Property Current Stage (Seq: 1)] - [Unit Mix (Seq: 10)] Monthly Rent Per Unit - Both]&gt;</t>
        </r>
      </text>
    </comment>
    <comment ref="Q305" authorId="0" shapeId="0" xr:uid="{C1205444-AC21-4E95-99B3-B40AA453493A}">
      <text>
        <r>
          <rPr>
            <b/>
            <sz val="9"/>
            <color indexed="81"/>
            <rFont val="Tahoma"/>
            <family val="2"/>
          </rPr>
          <t>&lt;[[DEVDeals] - [Deal Property (Seq: 1)] - [Locations (Seq: 1)] - [Unit Mix (Seq: 11)] Unit Mix Ami Percent - Both]&gt;</t>
        </r>
      </text>
    </comment>
    <comment ref="R305" authorId="0" shapeId="0" xr:uid="{A9C864B6-8E78-45C1-8AF7-BB2509569197}">
      <text>
        <r>
          <rPr>
            <b/>
            <sz val="9"/>
            <color indexed="81"/>
            <rFont val="Tahoma"/>
            <family val="2"/>
          </rPr>
          <t>&lt;[[DEVDeals] - [Deal Property (Seq: 1)] - [Locations (Seq: 1)] - [Unit Mix (Seq: 11)] Unit Type - Both]&gt;</t>
        </r>
      </text>
    </comment>
    <comment ref="S305" authorId="0" shapeId="0" xr:uid="{80A436AB-5C99-414E-AE87-120EA1C6B5C5}">
      <text>
        <r>
          <rPr>
            <b/>
            <sz val="9"/>
            <color indexed="81"/>
            <rFont val="Tahoma"/>
            <family val="2"/>
          </rPr>
          <t>&lt;[[DEVDeals] - [Deal Property (Seq: 1)] - [Locations (Seq: 1)] - [Unit Mix (Seq: 11)] - [Unit Mix - User Defined Field Values (Seq: 1)] Rent Information - Bathroom Count - Both]&gt;</t>
        </r>
      </text>
    </comment>
    <comment ref="T305" authorId="0" shapeId="0" xr:uid="{3DB10AE6-F72B-4B45-8597-0EE1FEA7093F}">
      <text>
        <r>
          <rPr>
            <b/>
            <sz val="9"/>
            <color indexed="81"/>
            <rFont val="Tahoma"/>
            <family val="2"/>
          </rPr>
          <t>&lt;[[DEVDeals] - [Deal Property (Seq: 1)] - [Locations (Seq: 1)] - [Unit Mix (Seq: 11)] Num Units - Both]&gt;</t>
        </r>
      </text>
    </comment>
    <comment ref="U305" authorId="0" shapeId="0" xr:uid="{0137A609-EB11-46F1-BB86-1D817DA8D668}">
      <text>
        <r>
          <rPr>
            <b/>
            <sz val="9"/>
            <color indexed="81"/>
            <rFont val="Tahoma"/>
            <family val="2"/>
          </rPr>
          <t>&lt;[[DEVDeals] - [Deal Property (Seq: 1)] - [Locations (Seq: 1)] - [Unit Mix (Seq: 11)] Square Footage - Both]&gt;</t>
        </r>
      </text>
    </comment>
    <comment ref="V305" authorId="0" shapeId="0" xr:uid="{7C964E82-DD34-473A-B423-E3C71876B48B}">
      <text>
        <r>
          <rPr>
            <b/>
            <sz val="9"/>
            <color indexed="81"/>
            <rFont val="Tahoma"/>
            <family val="2"/>
          </rPr>
          <t>&lt;[[DEVDeals] - [Deal Property (Seq: 1)] - [Locations (Seq: 1)] - [Unit Mix (Seq: 11)] Estimated Tenant Paid Utilities - Both]&gt;</t>
        </r>
      </text>
    </comment>
    <comment ref="W305" authorId="0" shapeId="0" xr:uid="{AFD5288B-2421-4127-9A8D-950B3EAE5BA6}">
      <text>
        <r>
          <rPr>
            <b/>
            <sz val="9"/>
            <color indexed="81"/>
            <rFont val="Tahoma"/>
            <family val="2"/>
          </rPr>
          <t>&lt;[[DEVDeals] - [Deal Property (Seq: 1)] - [Locations (Seq: 1)] - [Unit Mix (Seq: 11)] - [Unit Mix - User Defined Field Values (Seq: 1)] Rent Information - Resident Paid Rent - Both]&gt;</t>
        </r>
      </text>
    </comment>
    <comment ref="X305" authorId="0" shapeId="0" xr:uid="{FB4207F9-B69D-4215-B14D-7843A62258B5}">
      <text>
        <r>
          <rPr>
            <b/>
            <sz val="9"/>
            <color indexed="81"/>
            <rFont val="Tahoma"/>
            <family val="2"/>
          </rPr>
          <t>&lt;[[DEVDeals] - [Deal Property (Seq: 1)] - [Locations (Seq: 1)] - [Unit Mix (Seq: 11)] - [Unit Mix - User Defined Field Values (Seq: 1)] Rent Information - Rent Subsidy - Both]&gt;</t>
        </r>
      </text>
    </comment>
    <comment ref="Y305" authorId="0" shapeId="0" xr:uid="{247BF9EC-B922-4251-8FC8-6CF68560831C}">
      <text>
        <r>
          <rPr>
            <b/>
            <sz val="9"/>
            <color indexed="81"/>
            <rFont val="Tahoma"/>
            <family val="2"/>
          </rPr>
          <t>&lt;[[DEVDeals] - [Deal Property (Seq: 1)] - [Locations (Seq: 1)] - [Unit Mix (Seq: 11)] Notes - Both]&gt;</t>
        </r>
      </text>
    </comment>
    <comment ref="Z305" authorId="0" shapeId="0" xr:uid="{198AB919-2712-46BC-9DF2-1F262A376437}">
      <text>
        <r>
          <rPr>
            <b/>
            <sz val="9"/>
            <color indexed="81"/>
            <rFont val="Tahoma"/>
            <family val="2"/>
          </rPr>
          <t>&lt;[[DEVDeals] - [Deal Property (Seq: 1)] - [Locations (Seq: 1)] - [Unit Mix (Seq: 11)] Base Rent - Both]&gt;</t>
        </r>
      </text>
    </comment>
    <comment ref="AA305" authorId="0" shapeId="0" xr:uid="{77A1F3E7-C8CC-4E65-A30F-9E9C78F5D53C}">
      <text>
        <r>
          <rPr>
            <b/>
            <sz val="9"/>
            <color indexed="81"/>
            <rFont val="Tahoma"/>
            <family val="2"/>
          </rPr>
          <t>&lt;[[DEVDeals] - [Deal Property (Seq: 1)] - [Locations (Seq: 1)] - [Unit Mix (Seq: 11)] - [Unit Mix - User Defined Field Values (Seq: 1)] Rent Information - UFAS Unit - Both]&gt;</t>
        </r>
      </text>
    </comment>
    <comment ref="AB305" authorId="0" shapeId="0" xr:uid="{3AD3215C-3BC0-433C-AF68-2FF8AC9007B7}">
      <text>
        <r>
          <rPr>
            <b/>
            <sz val="9"/>
            <color indexed="81"/>
            <rFont val="Tahoma"/>
            <family val="2"/>
          </rPr>
          <t>&lt;[[DEVDeals] - [Deal Property (Seq: 1)] - [Locations (Seq: 1)] - [Unit Mix (Seq: 11)] - [Unit Mix - User Defined Field Values (Seq: 1)] Rent Information - Visitable Unit - Both]&gt;</t>
        </r>
      </text>
    </comment>
    <comment ref="AE305" authorId="0" shapeId="0" xr:uid="{F4A0BC92-CFB7-4BBB-B6B1-66459DFA7B34}">
      <text>
        <r>
          <rPr>
            <b/>
            <sz val="9"/>
            <color indexed="81"/>
            <rFont val="Tahoma"/>
            <family val="2"/>
          </rPr>
          <t>&lt;[[DEVDeals] - [Associated TC Deal (Seq: 1)] - [TC Property Current Stage (Seq: 1)] - [Unit Mix (Seq: 11)] Income Target - Both]&gt;</t>
        </r>
      </text>
    </comment>
    <comment ref="AF305" authorId="0" shapeId="0" xr:uid="{5404986A-3250-4397-BB6C-364560ED9FED}">
      <text>
        <r>
          <rPr>
            <b/>
            <sz val="9"/>
            <color indexed="81"/>
            <rFont val="Tahoma"/>
            <family val="2"/>
          </rPr>
          <t>&lt;[[DEVDeals] - [Associated TC Deal (Seq: 1)] - [TC Property Current Stage (Seq: 1)] - [Unit Mix (Seq: 11)] TC Unit Mix Type - Both]&gt;</t>
        </r>
      </text>
    </comment>
    <comment ref="AG305" authorId="0" shapeId="0" xr:uid="{CB5471D0-83DA-401E-AE47-98E28DA502F9}">
      <text>
        <r>
          <rPr>
            <b/>
            <sz val="9"/>
            <color indexed="81"/>
            <rFont val="Tahoma"/>
            <family val="2"/>
          </rPr>
          <t>&lt;[[DEVDeals] - [Associated TC Deal (Seq: 1)] - [TC Property Current Stage (Seq: 1)] - [Unit Mix (Seq: 11)] Num Units - Both]&gt;</t>
        </r>
      </text>
    </comment>
    <comment ref="AH305" authorId="0" shapeId="0" xr:uid="{32E25B2A-67CA-4655-8446-609BAE6E10B2}">
      <text>
        <r>
          <rPr>
            <b/>
            <sz val="9"/>
            <color indexed="81"/>
            <rFont val="Tahoma"/>
            <family val="2"/>
          </rPr>
          <t>&lt;[[DEVDeals] - [Associated TC Deal (Seq: 1)] - [TC Property Current Stage (Seq: 1)] - [Unit Mix (Seq: 11)] Net Rentable Sq Ft - Both]&gt;</t>
        </r>
      </text>
    </comment>
    <comment ref="AI305" authorId="0" shapeId="0" xr:uid="{5349128F-7752-4AF7-8727-0B8E7C82E20F}">
      <text>
        <r>
          <rPr>
            <b/>
            <sz val="9"/>
            <color indexed="81"/>
            <rFont val="Tahoma"/>
            <family val="2"/>
          </rPr>
          <t>&lt;[[DEVDeals] - [Associated TC Deal (Seq: 1)] - [TC Property Current Stage (Seq: 1)] - [Unit Mix (Seq: 11)] Monthly Rent Per Unit - Both]&gt;</t>
        </r>
      </text>
    </comment>
    <comment ref="Q306" authorId="0" shapeId="0" xr:uid="{962AF3FD-DF04-42D9-B61A-0C8A590D7EFA}">
      <text>
        <r>
          <rPr>
            <b/>
            <sz val="9"/>
            <color indexed="81"/>
            <rFont val="Tahoma"/>
            <family val="2"/>
          </rPr>
          <t>&lt;[[DEVDeals] - [Deal Property (Seq: 1)] - [Locations (Seq: 1)] - [Unit Mix (Seq: 12)] Unit Mix Ami Percent - Both]&gt;</t>
        </r>
      </text>
    </comment>
    <comment ref="R306" authorId="0" shapeId="0" xr:uid="{E282CB29-6E94-4292-A6F9-4D46648CFF92}">
      <text>
        <r>
          <rPr>
            <b/>
            <sz val="9"/>
            <color indexed="81"/>
            <rFont val="Tahoma"/>
            <family val="2"/>
          </rPr>
          <t>&lt;[[DEVDeals] - [Deal Property (Seq: 1)] - [Locations (Seq: 1)] - [Unit Mix (Seq: 12)] Unit Type - Both]&gt;</t>
        </r>
      </text>
    </comment>
    <comment ref="S306" authorId="0" shapeId="0" xr:uid="{3A10FBF5-808C-49CD-9FB0-6BF8EB2EF7B2}">
      <text>
        <r>
          <rPr>
            <b/>
            <sz val="9"/>
            <color indexed="81"/>
            <rFont val="Tahoma"/>
            <family val="2"/>
          </rPr>
          <t>&lt;[[DEVDeals] - [Deal Property (Seq: 1)] - [Locations (Seq: 1)] - [Unit Mix (Seq: 12)] - [Unit Mix - User Defined Field Values (Seq: 1)] Rent Information - Bathroom Count - Both]&gt;</t>
        </r>
      </text>
    </comment>
    <comment ref="T306" authorId="0" shapeId="0" xr:uid="{CB9D87EB-138E-487C-B9EC-9B4632486DA6}">
      <text>
        <r>
          <rPr>
            <b/>
            <sz val="9"/>
            <color indexed="81"/>
            <rFont val="Tahoma"/>
            <family val="2"/>
          </rPr>
          <t>&lt;[[DEVDeals] - [Deal Property (Seq: 1)] - [Locations (Seq: 1)] - [Unit Mix (Seq: 12)] Num Units - Both]&gt;</t>
        </r>
      </text>
    </comment>
    <comment ref="U306" authorId="0" shapeId="0" xr:uid="{9BE4E6ED-2F12-473E-A927-037A2B902539}">
      <text>
        <r>
          <rPr>
            <b/>
            <sz val="9"/>
            <color indexed="81"/>
            <rFont val="Tahoma"/>
            <family val="2"/>
          </rPr>
          <t>&lt;[[DEVDeals] - [Deal Property (Seq: 1)] - [Locations (Seq: 1)] - [Unit Mix (Seq: 12)] Square Footage - Both]&gt;</t>
        </r>
      </text>
    </comment>
    <comment ref="V306" authorId="0" shapeId="0" xr:uid="{85A9B693-AF2B-4640-8A6A-2888D90CFE57}">
      <text>
        <r>
          <rPr>
            <b/>
            <sz val="9"/>
            <color indexed="81"/>
            <rFont val="Tahoma"/>
            <family val="2"/>
          </rPr>
          <t>&lt;[[DEVDeals] - [Deal Property (Seq: 1)] - [Locations (Seq: 1)] - [Unit Mix (Seq: 12)] Estimated Tenant Paid Utilities - Both]&gt;</t>
        </r>
      </text>
    </comment>
    <comment ref="W306" authorId="0" shapeId="0" xr:uid="{AFEDADFF-DEFD-42B8-B988-FA657411CC44}">
      <text>
        <r>
          <rPr>
            <b/>
            <sz val="9"/>
            <color indexed="81"/>
            <rFont val="Tahoma"/>
            <family val="2"/>
          </rPr>
          <t>&lt;[[DEVDeals] - [Deal Property (Seq: 1)] - [Locations (Seq: 1)] - [Unit Mix (Seq: 12)] - [Unit Mix - User Defined Field Values (Seq: 1)] Rent Information - Resident Paid Rent - Both]&gt;</t>
        </r>
      </text>
    </comment>
    <comment ref="X306" authorId="0" shapeId="0" xr:uid="{5C8B1C68-3618-4ADC-89AC-8FAC29FDF4AD}">
      <text>
        <r>
          <rPr>
            <b/>
            <sz val="9"/>
            <color indexed="81"/>
            <rFont val="Tahoma"/>
            <family val="2"/>
          </rPr>
          <t>&lt;[[DEVDeals] - [Deal Property (Seq: 1)] - [Locations (Seq: 1)] - [Unit Mix (Seq: 12)] - [Unit Mix - User Defined Field Values (Seq: 1)] Rent Information - Rent Subsidy - Both]&gt;</t>
        </r>
      </text>
    </comment>
    <comment ref="Y306" authorId="0" shapeId="0" xr:uid="{1B73F8EB-F12F-435E-8FBD-A20CC6521F4D}">
      <text>
        <r>
          <rPr>
            <b/>
            <sz val="9"/>
            <color indexed="81"/>
            <rFont val="Tahoma"/>
            <family val="2"/>
          </rPr>
          <t>&lt;[[DEVDeals] - [Deal Property (Seq: 1)] - [Locations (Seq: 1)] - [Unit Mix (Seq: 12)] Notes - Both]&gt;</t>
        </r>
      </text>
    </comment>
    <comment ref="Z306" authorId="0" shapeId="0" xr:uid="{735C518F-B885-4F8D-8008-7A5227BFCF58}">
      <text>
        <r>
          <rPr>
            <b/>
            <sz val="9"/>
            <color indexed="81"/>
            <rFont val="Tahoma"/>
            <family val="2"/>
          </rPr>
          <t>&lt;[[DEVDeals] - [Deal Property (Seq: 1)] - [Locations (Seq: 1)] - [Unit Mix (Seq: 12)] Base Rent - Both]&gt;</t>
        </r>
      </text>
    </comment>
    <comment ref="AA306" authorId="0" shapeId="0" xr:uid="{C34EA556-A596-4DEA-83E1-673B92D9EB79}">
      <text>
        <r>
          <rPr>
            <b/>
            <sz val="9"/>
            <color indexed="81"/>
            <rFont val="Tahoma"/>
            <family val="2"/>
          </rPr>
          <t>&lt;[[DEVDeals] - [Deal Property (Seq: 1)] - [Locations (Seq: 1)] - [Unit Mix (Seq: 12)] - [Unit Mix - User Defined Field Values (Seq: 1)] Rent Information - UFAS Unit - Both]&gt;</t>
        </r>
      </text>
    </comment>
    <comment ref="AB306" authorId="0" shapeId="0" xr:uid="{CDD8ECB3-17B7-42EE-BCB6-93CFADCF20E0}">
      <text>
        <r>
          <rPr>
            <b/>
            <sz val="9"/>
            <color indexed="81"/>
            <rFont val="Tahoma"/>
            <family val="2"/>
          </rPr>
          <t>&lt;[[DEVDeals] - [Deal Property (Seq: 1)] - [Locations (Seq: 1)] - [Unit Mix (Seq: 12)] - [Unit Mix - User Defined Field Values (Seq: 1)] Rent Information - Visitable Unit - Both]&gt;</t>
        </r>
      </text>
    </comment>
    <comment ref="AE306" authorId="0" shapeId="0" xr:uid="{097FDE36-B022-49C0-9C02-CFEE6BB676CE}">
      <text>
        <r>
          <rPr>
            <b/>
            <sz val="9"/>
            <color indexed="81"/>
            <rFont val="Tahoma"/>
            <family val="2"/>
          </rPr>
          <t>&lt;[[DEVDeals] - [Associated TC Deal (Seq: 1)] - [TC Property Current Stage (Seq: 1)] - [Unit Mix (Seq: 12)] Income Target - Both]&gt;</t>
        </r>
      </text>
    </comment>
    <comment ref="AF306" authorId="0" shapeId="0" xr:uid="{51A44977-58DD-48BB-A4CD-7AC97836C913}">
      <text>
        <r>
          <rPr>
            <b/>
            <sz val="9"/>
            <color indexed="81"/>
            <rFont val="Tahoma"/>
            <family val="2"/>
          </rPr>
          <t>&lt;[[DEVDeals] - [Associated TC Deal (Seq: 1)] - [TC Property Current Stage (Seq: 1)] - [Unit Mix (Seq: 12)] TC Unit Mix Type - Both]&gt;</t>
        </r>
      </text>
    </comment>
    <comment ref="AG306" authorId="0" shapeId="0" xr:uid="{1394E00E-24C1-4C5F-9CE3-CEC4EBC94294}">
      <text>
        <r>
          <rPr>
            <b/>
            <sz val="9"/>
            <color indexed="81"/>
            <rFont val="Tahoma"/>
            <family val="2"/>
          </rPr>
          <t>&lt;[[DEVDeals] - [Associated TC Deal (Seq: 1)] - [TC Property Current Stage (Seq: 1)] - [Unit Mix (Seq: 12)] Num Units - Both]&gt;</t>
        </r>
      </text>
    </comment>
    <comment ref="AH306" authorId="0" shapeId="0" xr:uid="{D46DBCA6-7D79-4B12-BAF1-2FDD1ECB2120}">
      <text>
        <r>
          <rPr>
            <b/>
            <sz val="9"/>
            <color indexed="81"/>
            <rFont val="Tahoma"/>
            <family val="2"/>
          </rPr>
          <t>&lt;[[DEVDeals] - [Associated TC Deal (Seq: 1)] - [TC Property Current Stage (Seq: 1)] - [Unit Mix (Seq: 12)] Net Rentable Sq Ft - Both]&gt;</t>
        </r>
      </text>
    </comment>
    <comment ref="AI306" authorId="0" shapeId="0" xr:uid="{50216E55-DC6A-4C4E-9AE9-8D2003E963C8}">
      <text>
        <r>
          <rPr>
            <b/>
            <sz val="9"/>
            <color indexed="81"/>
            <rFont val="Tahoma"/>
            <family val="2"/>
          </rPr>
          <t>&lt;[[DEVDeals] - [Associated TC Deal (Seq: 1)] - [TC Property Current Stage (Seq: 1)] - [Unit Mix (Seq: 12)] Monthly Rent Per Unit - Both]&gt;</t>
        </r>
      </text>
    </comment>
    <comment ref="Q307" authorId="0" shapeId="0" xr:uid="{A6F951F9-B2A8-4EB3-BD0A-593EF70DDCA9}">
      <text>
        <r>
          <rPr>
            <b/>
            <sz val="9"/>
            <color indexed="81"/>
            <rFont val="Tahoma"/>
            <family val="2"/>
          </rPr>
          <t>&lt;[[DEVDeals] - [Deal Property (Seq: 1)] - [Locations (Seq: 1)] - [Unit Mix (Seq: 13)] Unit Mix Ami Percent - Both]&gt;</t>
        </r>
      </text>
    </comment>
    <comment ref="R307" authorId="0" shapeId="0" xr:uid="{7BDB1CF1-D178-4EDD-883B-96DBD3C13811}">
      <text>
        <r>
          <rPr>
            <b/>
            <sz val="9"/>
            <color indexed="81"/>
            <rFont val="Tahoma"/>
            <family val="2"/>
          </rPr>
          <t>&lt;[[DEVDeals] - [Deal Property (Seq: 1)] - [Locations (Seq: 1)] - [Unit Mix (Seq: 13)] Unit Type - Both]&gt;</t>
        </r>
      </text>
    </comment>
    <comment ref="S307" authorId="0" shapeId="0" xr:uid="{5182D05E-BB5B-4F55-A85F-AA750D4B8196}">
      <text>
        <r>
          <rPr>
            <b/>
            <sz val="9"/>
            <color indexed="81"/>
            <rFont val="Tahoma"/>
            <family val="2"/>
          </rPr>
          <t>&lt;[[DEVDeals] - [Deal Property (Seq: 1)] - [Locations (Seq: 1)] - [Unit Mix (Seq: 13)] - [Unit Mix - User Defined Field Values (Seq: 1)] Rent Information - Bathroom Count - Both]&gt;</t>
        </r>
      </text>
    </comment>
    <comment ref="T307" authorId="0" shapeId="0" xr:uid="{1B1FB9E9-65A3-4A0F-ADE4-DC3C89034AC7}">
      <text>
        <r>
          <rPr>
            <b/>
            <sz val="9"/>
            <color indexed="81"/>
            <rFont val="Tahoma"/>
            <family val="2"/>
          </rPr>
          <t>&lt;[[DEVDeals] - [Deal Property (Seq: 1)] - [Locations (Seq: 1)] - [Unit Mix (Seq: 13)] Num Units - Both]&gt;</t>
        </r>
      </text>
    </comment>
    <comment ref="U307" authorId="0" shapeId="0" xr:uid="{4BD8F909-C755-4704-A9B4-CE6277CC7FE3}">
      <text>
        <r>
          <rPr>
            <b/>
            <sz val="9"/>
            <color indexed="81"/>
            <rFont val="Tahoma"/>
            <family val="2"/>
          </rPr>
          <t>&lt;[[DEVDeals] - [Deal Property (Seq: 1)] - [Locations (Seq: 1)] - [Unit Mix (Seq: 13)] Square Footage - Both]&gt;</t>
        </r>
      </text>
    </comment>
    <comment ref="V307" authorId="0" shapeId="0" xr:uid="{FA4674A6-9F10-4D5B-8A7E-1E40412B1D73}">
      <text>
        <r>
          <rPr>
            <b/>
            <sz val="9"/>
            <color indexed="81"/>
            <rFont val="Tahoma"/>
            <family val="2"/>
          </rPr>
          <t>&lt;[[DEVDeals] - [Deal Property (Seq: 1)] - [Locations (Seq: 1)] - [Unit Mix (Seq: 13)] Estimated Tenant Paid Utilities - Both]&gt;</t>
        </r>
      </text>
    </comment>
    <comment ref="W307" authorId="0" shapeId="0" xr:uid="{9721DD15-9414-4F6F-855A-C1661D4AD6C5}">
      <text>
        <r>
          <rPr>
            <b/>
            <sz val="9"/>
            <color indexed="81"/>
            <rFont val="Tahoma"/>
            <family val="2"/>
          </rPr>
          <t>&lt;[[DEVDeals] - [Deal Property (Seq: 1)] - [Locations (Seq: 1)] - [Unit Mix (Seq: 13)] - [Unit Mix - User Defined Field Values (Seq: 1)] Rent Information - Resident Paid Rent - Both]&gt;</t>
        </r>
      </text>
    </comment>
    <comment ref="X307" authorId="0" shapeId="0" xr:uid="{5357EB72-5745-49D9-9A16-BB67528A3421}">
      <text>
        <r>
          <rPr>
            <b/>
            <sz val="9"/>
            <color indexed="81"/>
            <rFont val="Tahoma"/>
            <family val="2"/>
          </rPr>
          <t>&lt;[[DEVDeals] - [Deal Property (Seq: 1)] - [Locations (Seq: 1)] - [Unit Mix (Seq: 13)] - [Unit Mix - User Defined Field Values (Seq: 1)] Rent Information - Rent Subsidy - Both]&gt;</t>
        </r>
      </text>
    </comment>
    <comment ref="Y307" authorId="0" shapeId="0" xr:uid="{AC312890-73CB-4B01-9124-5F0999D73C72}">
      <text>
        <r>
          <rPr>
            <b/>
            <sz val="9"/>
            <color indexed="81"/>
            <rFont val="Tahoma"/>
            <family val="2"/>
          </rPr>
          <t>&lt;[[DEVDeals] - [Deal Property (Seq: 1)] - [Locations (Seq: 1)] - [Unit Mix (Seq: 13)] Notes - Both]&gt;</t>
        </r>
      </text>
    </comment>
    <comment ref="Z307" authorId="0" shapeId="0" xr:uid="{6AEAC95D-0115-4870-BCE4-D09BD9A71F4E}">
      <text>
        <r>
          <rPr>
            <b/>
            <sz val="9"/>
            <color indexed="81"/>
            <rFont val="Tahoma"/>
            <family val="2"/>
          </rPr>
          <t>&lt;[[DEVDeals] - [Deal Property (Seq: 1)] - [Locations (Seq: 1)] - [Unit Mix (Seq: 13)] Base Rent - Both]&gt;</t>
        </r>
      </text>
    </comment>
    <comment ref="AA307" authorId="0" shapeId="0" xr:uid="{744F1159-131F-414B-94E7-52364D0CB241}">
      <text>
        <r>
          <rPr>
            <b/>
            <sz val="9"/>
            <color indexed="81"/>
            <rFont val="Tahoma"/>
            <family val="2"/>
          </rPr>
          <t>&lt;[[DEVDeals] - [Deal Property (Seq: 1)] - [Locations (Seq: 1)] - [Unit Mix (Seq: 13)] - [Unit Mix - User Defined Field Values (Seq: 1)] Rent Information - UFAS Unit - Both]&gt;</t>
        </r>
      </text>
    </comment>
    <comment ref="AB307" authorId="0" shapeId="0" xr:uid="{AFF2F00E-FBDE-42C6-93CD-D6826B1AA5AD}">
      <text>
        <r>
          <rPr>
            <b/>
            <sz val="9"/>
            <color indexed="81"/>
            <rFont val="Tahoma"/>
            <family val="2"/>
          </rPr>
          <t>&lt;[[DEVDeals] - [Deal Property (Seq: 1)] - [Locations (Seq: 1)] - [Unit Mix (Seq: 13)] - [Unit Mix - User Defined Field Values (Seq: 1)] Rent Information - Visitable Unit - Both]&gt;</t>
        </r>
      </text>
    </comment>
    <comment ref="AE307" authorId="0" shapeId="0" xr:uid="{C330241A-314A-4F2B-B5F2-C29AF316FE54}">
      <text>
        <r>
          <rPr>
            <b/>
            <sz val="9"/>
            <color indexed="81"/>
            <rFont val="Tahoma"/>
            <family val="2"/>
          </rPr>
          <t>&lt;[[DEVDeals] - [Associated TC Deal (Seq: 1)] - [TC Property Current Stage (Seq: 1)] - [Unit Mix (Seq: 13)] Income Target - Both]&gt;</t>
        </r>
      </text>
    </comment>
    <comment ref="AF307" authorId="0" shapeId="0" xr:uid="{5EFBFAB0-DDA8-42F1-8AC1-F47FBB2D643B}">
      <text>
        <r>
          <rPr>
            <b/>
            <sz val="9"/>
            <color indexed="81"/>
            <rFont val="Tahoma"/>
            <family val="2"/>
          </rPr>
          <t>&lt;[[DEVDeals] - [Associated TC Deal (Seq: 1)] - [TC Property Current Stage (Seq: 1)] - [Unit Mix (Seq: 13)] TC Unit Mix Type - Both]&gt;</t>
        </r>
      </text>
    </comment>
    <comment ref="AG307" authorId="0" shapeId="0" xr:uid="{F11715C8-F8C2-47C6-9745-996D56A89ABB}">
      <text>
        <r>
          <rPr>
            <b/>
            <sz val="9"/>
            <color indexed="81"/>
            <rFont val="Tahoma"/>
            <family val="2"/>
          </rPr>
          <t>&lt;[[DEVDeals] - [Associated TC Deal (Seq: 1)] - [TC Property Current Stage (Seq: 1)] - [Unit Mix (Seq: 13)] Num Units - Both]&gt;</t>
        </r>
      </text>
    </comment>
    <comment ref="AH307" authorId="0" shapeId="0" xr:uid="{F46A1309-9EF8-4070-A3C9-7505B598879F}">
      <text>
        <r>
          <rPr>
            <b/>
            <sz val="9"/>
            <color indexed="81"/>
            <rFont val="Tahoma"/>
            <family val="2"/>
          </rPr>
          <t>&lt;[[DEVDeals] - [Associated TC Deal (Seq: 1)] - [TC Property Current Stage (Seq: 1)] - [Unit Mix (Seq: 13)] Net Rentable Sq Ft - Both]&gt;</t>
        </r>
      </text>
    </comment>
    <comment ref="AI307" authorId="0" shapeId="0" xr:uid="{D0BA5D30-3FFE-46EE-A7C8-BC46D8EAD17D}">
      <text>
        <r>
          <rPr>
            <b/>
            <sz val="9"/>
            <color indexed="81"/>
            <rFont val="Tahoma"/>
            <family val="2"/>
          </rPr>
          <t>&lt;[[DEVDeals] - [Associated TC Deal (Seq: 1)] - [TC Property Current Stage (Seq: 1)] - [Unit Mix (Seq: 13)] Monthly Rent Per Unit - Both]&gt;</t>
        </r>
      </text>
    </comment>
    <comment ref="Q308" authorId="0" shapeId="0" xr:uid="{A1C01114-E510-4F9B-9177-A6D5589F1F12}">
      <text>
        <r>
          <rPr>
            <b/>
            <sz val="9"/>
            <color indexed="81"/>
            <rFont val="Tahoma"/>
            <family val="2"/>
          </rPr>
          <t>&lt;[[DEVDeals] - [Deal Property (Seq: 1)] - [Locations (Seq: 1)] - [Unit Mix (Seq: 14)] Unit Mix Ami Percent - Both]&gt;</t>
        </r>
      </text>
    </comment>
    <comment ref="R308" authorId="0" shapeId="0" xr:uid="{23C30F3F-2A2F-492B-9799-A8902A7B6667}">
      <text>
        <r>
          <rPr>
            <b/>
            <sz val="9"/>
            <color indexed="81"/>
            <rFont val="Tahoma"/>
            <family val="2"/>
          </rPr>
          <t>&lt;[[DEVDeals] - [Deal Property (Seq: 1)] - [Locations (Seq: 1)] - [Unit Mix (Seq: 14)] Unit Type - Both]&gt;</t>
        </r>
      </text>
    </comment>
    <comment ref="S308" authorId="0" shapeId="0" xr:uid="{6C597A71-57C3-4571-A18F-75A486F9C269}">
      <text>
        <r>
          <rPr>
            <b/>
            <sz val="9"/>
            <color indexed="81"/>
            <rFont val="Tahoma"/>
            <family val="2"/>
          </rPr>
          <t>&lt;[[DEVDeals] - [Deal Property (Seq: 1)] - [Locations (Seq: 1)] - [Unit Mix (Seq: 14)] - [Unit Mix - User Defined Field Values (Seq: 1)] Rent Information - Bathroom Count - Both]&gt;</t>
        </r>
      </text>
    </comment>
    <comment ref="T308" authorId="0" shapeId="0" xr:uid="{E0092DA5-4BC2-438A-87BE-9A48DC0D5139}">
      <text>
        <r>
          <rPr>
            <b/>
            <sz val="9"/>
            <color indexed="81"/>
            <rFont val="Tahoma"/>
            <family val="2"/>
          </rPr>
          <t>&lt;[[DEVDeals] - [Deal Property (Seq: 1)] - [Locations (Seq: 1)] - [Unit Mix (Seq: 14)] Num Units - Both]&gt;</t>
        </r>
      </text>
    </comment>
    <comment ref="U308" authorId="0" shapeId="0" xr:uid="{3D362511-1080-45A8-B60C-1CF127FBE8D0}">
      <text>
        <r>
          <rPr>
            <b/>
            <sz val="9"/>
            <color indexed="81"/>
            <rFont val="Tahoma"/>
            <family val="2"/>
          </rPr>
          <t>&lt;[[DEVDeals] - [Deal Property (Seq: 1)] - [Locations (Seq: 1)] - [Unit Mix (Seq: 14)] Square Footage - Both]&gt;</t>
        </r>
      </text>
    </comment>
    <comment ref="V308" authorId="0" shapeId="0" xr:uid="{566D4D14-D5D3-4541-81B2-722E6C7DCED4}">
      <text>
        <r>
          <rPr>
            <b/>
            <sz val="9"/>
            <color indexed="81"/>
            <rFont val="Tahoma"/>
            <family val="2"/>
          </rPr>
          <t>&lt;[[DEVDeals] - [Deal Property (Seq: 1)] - [Locations (Seq: 1)] - [Unit Mix (Seq: 14)] Estimated Tenant Paid Utilities - Both]&gt;</t>
        </r>
      </text>
    </comment>
    <comment ref="W308" authorId="0" shapeId="0" xr:uid="{9E66BC84-2A77-4E0D-966A-010EB9855F13}">
      <text>
        <r>
          <rPr>
            <b/>
            <sz val="9"/>
            <color indexed="81"/>
            <rFont val="Tahoma"/>
            <family val="2"/>
          </rPr>
          <t>&lt;[[DEVDeals] - [Deal Property (Seq: 1)] - [Locations (Seq: 1)] - [Unit Mix (Seq: 14)] - [Unit Mix - User Defined Field Values (Seq: 1)] Rent Information - Resident Paid Rent - Both]&gt;</t>
        </r>
      </text>
    </comment>
    <comment ref="X308" authorId="0" shapeId="0" xr:uid="{F0572FC3-5EEF-4958-AD19-3B730AC1A56E}">
      <text>
        <r>
          <rPr>
            <b/>
            <sz val="9"/>
            <color indexed="81"/>
            <rFont val="Tahoma"/>
            <family val="2"/>
          </rPr>
          <t>&lt;[[DEVDeals] - [Deal Property (Seq: 1)] - [Locations (Seq: 1)] - [Unit Mix (Seq: 14)] - [Unit Mix - User Defined Field Values (Seq: 1)] Rent Information - Rent Subsidy - Both]&gt;</t>
        </r>
      </text>
    </comment>
    <comment ref="Y308" authorId="0" shapeId="0" xr:uid="{C6DD3CE4-65C6-470B-83E1-E719B16B41B0}">
      <text>
        <r>
          <rPr>
            <b/>
            <sz val="9"/>
            <color indexed="81"/>
            <rFont val="Tahoma"/>
            <family val="2"/>
          </rPr>
          <t>&lt;[[DEVDeals] - [Deal Property (Seq: 1)] - [Locations (Seq: 1)] - [Unit Mix (Seq: 14)] Notes - Both]&gt;</t>
        </r>
      </text>
    </comment>
    <comment ref="Z308" authorId="0" shapeId="0" xr:uid="{003D74F5-B820-4980-8C5E-D2F5784B511F}">
      <text>
        <r>
          <rPr>
            <b/>
            <sz val="9"/>
            <color indexed="81"/>
            <rFont val="Tahoma"/>
            <family val="2"/>
          </rPr>
          <t>&lt;[[DEVDeals] - [Deal Property (Seq: 1)] - [Locations (Seq: 1)] - [Unit Mix (Seq: 14)] Base Rent - Both]&gt;</t>
        </r>
      </text>
    </comment>
    <comment ref="AA308" authorId="0" shapeId="0" xr:uid="{828FC56C-018A-4C90-9E29-C614971749B3}">
      <text>
        <r>
          <rPr>
            <b/>
            <sz val="9"/>
            <color indexed="81"/>
            <rFont val="Tahoma"/>
            <family val="2"/>
          </rPr>
          <t>&lt;[[DEVDeals] - [Deal Property (Seq: 1)] - [Locations (Seq: 1)] - [Unit Mix (Seq: 14)] - [Unit Mix - User Defined Field Values (Seq: 1)] Rent Information - UFAS Unit - Both]&gt;</t>
        </r>
      </text>
    </comment>
    <comment ref="AB308" authorId="0" shapeId="0" xr:uid="{BAB6F149-7F5F-465B-AB7B-C035E8EC4019}">
      <text>
        <r>
          <rPr>
            <b/>
            <sz val="9"/>
            <color indexed="81"/>
            <rFont val="Tahoma"/>
            <family val="2"/>
          </rPr>
          <t>&lt;[[DEVDeals] - [Deal Property (Seq: 1)] - [Locations (Seq: 1)] - [Unit Mix (Seq: 14)] - [Unit Mix - User Defined Field Values (Seq: 1)] Rent Information - Visitable Unit - Both]&gt;</t>
        </r>
      </text>
    </comment>
    <comment ref="AE308" authorId="0" shapeId="0" xr:uid="{D6AE39E7-CF69-4FD0-B8C5-21D07AD59034}">
      <text>
        <r>
          <rPr>
            <b/>
            <sz val="9"/>
            <color indexed="81"/>
            <rFont val="Tahoma"/>
            <family val="2"/>
          </rPr>
          <t>&lt;[[DEVDeals] - [Associated TC Deal (Seq: 1)] - [TC Property Current Stage (Seq: 1)] - [Unit Mix (Seq: 14)] Income Target - Both]&gt;</t>
        </r>
      </text>
    </comment>
    <comment ref="AF308" authorId="0" shapeId="0" xr:uid="{5AF27EBA-9B2E-4DE3-8941-186A0768973D}">
      <text>
        <r>
          <rPr>
            <b/>
            <sz val="9"/>
            <color indexed="81"/>
            <rFont val="Tahoma"/>
            <family val="2"/>
          </rPr>
          <t>&lt;[[DEVDeals] - [Associated TC Deal (Seq: 1)] - [TC Property Current Stage (Seq: 1)] - [Unit Mix (Seq: 14)] TC Unit Mix Type - Both]&gt;</t>
        </r>
      </text>
    </comment>
    <comment ref="AG308" authorId="0" shapeId="0" xr:uid="{0736990E-E2DD-471A-9AB0-1DBC0A993641}">
      <text>
        <r>
          <rPr>
            <b/>
            <sz val="9"/>
            <color indexed="81"/>
            <rFont val="Tahoma"/>
            <family val="2"/>
          </rPr>
          <t>&lt;[[DEVDeals] - [Associated TC Deal (Seq: 1)] - [TC Property Current Stage (Seq: 1)] - [Unit Mix (Seq: 14)] Num Units - Both]&gt;</t>
        </r>
      </text>
    </comment>
    <comment ref="AH308" authorId="0" shapeId="0" xr:uid="{27EB80CC-FACE-4657-A088-4A5B2703EFD5}">
      <text>
        <r>
          <rPr>
            <b/>
            <sz val="9"/>
            <color indexed="81"/>
            <rFont val="Tahoma"/>
            <family val="2"/>
          </rPr>
          <t>&lt;[[DEVDeals] - [Associated TC Deal (Seq: 1)] - [TC Property Current Stage (Seq: 1)] - [Unit Mix (Seq: 14)] Net Rentable Sq Ft - Both]&gt;</t>
        </r>
      </text>
    </comment>
    <comment ref="AI308" authorId="0" shapeId="0" xr:uid="{F453C9A9-1CC5-4CA9-803B-C17D747E81DA}">
      <text>
        <r>
          <rPr>
            <b/>
            <sz val="9"/>
            <color indexed="81"/>
            <rFont val="Tahoma"/>
            <family val="2"/>
          </rPr>
          <t>&lt;[[DEVDeals] - [Associated TC Deal (Seq: 1)] - [TC Property Current Stage (Seq: 1)] - [Unit Mix (Seq: 14)] Monthly Rent Per Unit - Both]&gt;</t>
        </r>
      </text>
    </comment>
    <comment ref="Q309" authorId="0" shapeId="0" xr:uid="{D1B0B52D-6F18-40E0-BA9F-BF99B1C24E77}">
      <text>
        <r>
          <rPr>
            <b/>
            <sz val="9"/>
            <color indexed="81"/>
            <rFont val="Tahoma"/>
            <family val="2"/>
          </rPr>
          <t>&lt;[[DEVDeals] - [Deal Property (Seq: 1)] - [Locations (Seq: 1)] - [Unit Mix (Seq: 15)] Unit Mix Ami Percent - Both]&gt;</t>
        </r>
      </text>
    </comment>
    <comment ref="R309" authorId="0" shapeId="0" xr:uid="{AC455F41-1082-41C1-BA94-D71ADF27F5B8}">
      <text>
        <r>
          <rPr>
            <b/>
            <sz val="9"/>
            <color indexed="81"/>
            <rFont val="Tahoma"/>
            <family val="2"/>
          </rPr>
          <t>&lt;[[DEVDeals] - [Deal Property (Seq: 1)] - [Locations (Seq: 1)] - [Unit Mix (Seq: 15)] Unit Type - Both]&gt;</t>
        </r>
      </text>
    </comment>
    <comment ref="S309" authorId="0" shapeId="0" xr:uid="{9EA620ED-CBF1-4FE0-A1CF-6976FDF2117E}">
      <text>
        <r>
          <rPr>
            <b/>
            <sz val="9"/>
            <color indexed="81"/>
            <rFont val="Tahoma"/>
            <family val="2"/>
          </rPr>
          <t>&lt;[[DEVDeals] - [Deal Property (Seq: 1)] - [Locations (Seq: 1)] - [Unit Mix (Seq: 15)] - [Unit Mix - User Defined Field Values (Seq: 1)] Rent Information - Bathroom Count - Both]&gt;</t>
        </r>
      </text>
    </comment>
    <comment ref="T309" authorId="0" shapeId="0" xr:uid="{061A4D65-F5EF-45A6-BE7A-A00AAB14E58B}">
      <text>
        <r>
          <rPr>
            <b/>
            <sz val="9"/>
            <color indexed="81"/>
            <rFont val="Tahoma"/>
            <family val="2"/>
          </rPr>
          <t>&lt;[[DEVDeals] - [Deal Property (Seq: 1)] - [Locations (Seq: 1)] - [Unit Mix (Seq: 15)] Num Units - Both]&gt;</t>
        </r>
      </text>
    </comment>
    <comment ref="U309" authorId="0" shapeId="0" xr:uid="{1016537B-6AC6-4389-8AB2-6716B2E27539}">
      <text>
        <r>
          <rPr>
            <b/>
            <sz val="9"/>
            <color indexed="81"/>
            <rFont val="Tahoma"/>
            <family val="2"/>
          </rPr>
          <t>&lt;[[DEVDeals] - [Deal Property (Seq: 1)] - [Locations (Seq: 1)] - [Unit Mix (Seq: 15)] Square Footage - Both]&gt;</t>
        </r>
      </text>
    </comment>
    <comment ref="V309" authorId="0" shapeId="0" xr:uid="{B4B29E3D-66DB-4578-BE2E-6E34915CB7DE}">
      <text>
        <r>
          <rPr>
            <b/>
            <sz val="9"/>
            <color indexed="81"/>
            <rFont val="Tahoma"/>
            <family val="2"/>
          </rPr>
          <t>&lt;[[DEVDeals] - [Deal Property (Seq: 1)] - [Locations (Seq: 1)] - [Unit Mix (Seq: 15)] Estimated Tenant Paid Utilities - Both]&gt;</t>
        </r>
      </text>
    </comment>
    <comment ref="W309" authorId="0" shapeId="0" xr:uid="{D03D9A44-4144-4271-91CB-4F6D12EF5B39}">
      <text>
        <r>
          <rPr>
            <b/>
            <sz val="9"/>
            <color indexed="81"/>
            <rFont val="Tahoma"/>
            <family val="2"/>
          </rPr>
          <t>&lt;[[DEVDeals] - [Deal Property (Seq: 1)] - [Locations (Seq: 1)] - [Unit Mix (Seq: 15)] - [Unit Mix - User Defined Field Values (Seq: 1)] Rent Information - Resident Paid Rent - Both]&gt;</t>
        </r>
      </text>
    </comment>
    <comment ref="X309" authorId="0" shapeId="0" xr:uid="{7A1A96FD-6071-49C8-AB26-DE9112631115}">
      <text>
        <r>
          <rPr>
            <b/>
            <sz val="9"/>
            <color indexed="81"/>
            <rFont val="Tahoma"/>
            <family val="2"/>
          </rPr>
          <t>&lt;[[DEVDeals] - [Deal Property (Seq: 1)] - [Locations (Seq: 1)] - [Unit Mix (Seq: 15)] - [Unit Mix - User Defined Field Values (Seq: 1)] Rent Information - Rent Subsidy - Both]&gt;</t>
        </r>
      </text>
    </comment>
    <comment ref="Y309" authorId="0" shapeId="0" xr:uid="{0B0B50FA-5A4D-4057-8E70-0C2B85327324}">
      <text>
        <r>
          <rPr>
            <b/>
            <sz val="9"/>
            <color indexed="81"/>
            <rFont val="Tahoma"/>
            <family val="2"/>
          </rPr>
          <t>&lt;[[DEVDeals] - [Deal Property (Seq: 1)] - [Locations (Seq: 1)] - [Unit Mix (Seq: 15)] Notes - Both]&gt;</t>
        </r>
      </text>
    </comment>
    <comment ref="Z309" authorId="0" shapeId="0" xr:uid="{4239FF31-B5C8-4807-B316-F1F539F6BAFE}">
      <text>
        <r>
          <rPr>
            <b/>
            <sz val="9"/>
            <color indexed="81"/>
            <rFont val="Tahoma"/>
            <family val="2"/>
          </rPr>
          <t>&lt;[[DEVDeals] - [Deal Property (Seq: 1)] - [Locations (Seq: 1)] - [Unit Mix (Seq: 15)] Base Rent - Both]&gt;</t>
        </r>
      </text>
    </comment>
    <comment ref="AA309" authorId="0" shapeId="0" xr:uid="{EE243008-8265-4D8B-9820-829012DCE44B}">
      <text>
        <r>
          <rPr>
            <b/>
            <sz val="9"/>
            <color indexed="81"/>
            <rFont val="Tahoma"/>
            <family val="2"/>
          </rPr>
          <t>&lt;[[DEVDeals] - [Deal Property (Seq: 1)] - [Locations (Seq: 1)] - [Unit Mix (Seq: 15)] - [Unit Mix - User Defined Field Values (Seq: 1)] Rent Information - UFAS Unit - Both]&gt;</t>
        </r>
      </text>
    </comment>
    <comment ref="AB309" authorId="0" shapeId="0" xr:uid="{076F73E1-9E4F-4A29-8B73-CC6EBE4F694C}">
      <text>
        <r>
          <rPr>
            <b/>
            <sz val="9"/>
            <color indexed="81"/>
            <rFont val="Tahoma"/>
            <family val="2"/>
          </rPr>
          <t>&lt;[[DEVDeals] - [Deal Property (Seq: 1)] - [Locations (Seq: 1)] - [Unit Mix (Seq: 15)] - [Unit Mix - User Defined Field Values (Seq: 1)] Rent Information - Visitable Unit - Both]&gt;</t>
        </r>
      </text>
    </comment>
    <comment ref="AE309" authorId="0" shapeId="0" xr:uid="{6EC1AB5C-D4E6-4F4D-9FD4-6DB393587000}">
      <text>
        <r>
          <rPr>
            <b/>
            <sz val="9"/>
            <color indexed="81"/>
            <rFont val="Tahoma"/>
            <family val="2"/>
          </rPr>
          <t>&lt;[[DEVDeals] - [Associated TC Deal (Seq: 1)] - [TC Property Current Stage (Seq: 1)] - [Unit Mix (Seq: 15)] Income Target - Both]&gt;</t>
        </r>
      </text>
    </comment>
    <comment ref="AF309" authorId="0" shapeId="0" xr:uid="{730EF6C7-0E71-4FE0-A32B-42BF17591C28}">
      <text>
        <r>
          <rPr>
            <b/>
            <sz val="9"/>
            <color indexed="81"/>
            <rFont val="Tahoma"/>
            <family val="2"/>
          </rPr>
          <t>&lt;[[DEVDeals] - [Associated TC Deal (Seq: 1)] - [TC Property Current Stage (Seq: 1)] - [Unit Mix (Seq: 15)] TC Unit Mix Type - Both]&gt;</t>
        </r>
      </text>
    </comment>
    <comment ref="AG309" authorId="0" shapeId="0" xr:uid="{9B2D8D3E-4C06-48D9-B547-DEAFC4C0B5B8}">
      <text>
        <r>
          <rPr>
            <b/>
            <sz val="9"/>
            <color indexed="81"/>
            <rFont val="Tahoma"/>
            <family val="2"/>
          </rPr>
          <t>&lt;[[DEVDeals] - [Associated TC Deal (Seq: 1)] - [TC Property Current Stage (Seq: 1)] - [Unit Mix (Seq: 15)] Num Units - Both]&gt;</t>
        </r>
      </text>
    </comment>
    <comment ref="AH309" authorId="0" shapeId="0" xr:uid="{FD908DC2-5970-421A-AE91-7092FA8779E5}">
      <text>
        <r>
          <rPr>
            <b/>
            <sz val="9"/>
            <color indexed="81"/>
            <rFont val="Tahoma"/>
            <family val="2"/>
          </rPr>
          <t>&lt;[[DEVDeals] - [Associated TC Deal (Seq: 1)] - [TC Property Current Stage (Seq: 1)] - [Unit Mix (Seq: 15)] Net Rentable Sq Ft - Both]&gt;</t>
        </r>
      </text>
    </comment>
    <comment ref="AI309" authorId="0" shapeId="0" xr:uid="{67DBF9AB-35D1-44FD-8086-C7E1830AB849}">
      <text>
        <r>
          <rPr>
            <b/>
            <sz val="9"/>
            <color indexed="81"/>
            <rFont val="Tahoma"/>
            <family val="2"/>
          </rPr>
          <t>&lt;[[DEVDeals] - [Associated TC Deal (Seq: 1)] - [TC Property Current Stage (Seq: 1)] - [Unit Mix (Seq: 15)] Monthly Rent Per Unit - Both]&gt;</t>
        </r>
      </text>
    </comment>
    <comment ref="Q310" authorId="0" shapeId="0" xr:uid="{6C550CC6-1F49-44B9-AD63-DBAA62D23F1E}">
      <text>
        <r>
          <rPr>
            <b/>
            <sz val="9"/>
            <color indexed="81"/>
            <rFont val="Tahoma"/>
            <family val="2"/>
          </rPr>
          <t>&lt;[[DEVDeals] - [Deal Property (Seq: 1)] - [Locations (Seq: 1)] - [Unit Mix (Seq: 16)] Unit Mix Ami Percent - Both]&gt;</t>
        </r>
      </text>
    </comment>
    <comment ref="R310" authorId="0" shapeId="0" xr:uid="{859C0E01-3A23-4E7F-9257-C42E49BDF435}">
      <text>
        <r>
          <rPr>
            <b/>
            <sz val="9"/>
            <color indexed="81"/>
            <rFont val="Tahoma"/>
            <family val="2"/>
          </rPr>
          <t>&lt;[[DEVDeals] - [Deal Property (Seq: 1)] - [Locations (Seq: 1)] - [Unit Mix (Seq: 16)] Unit Type - Both]&gt;</t>
        </r>
      </text>
    </comment>
    <comment ref="S310" authorId="0" shapeId="0" xr:uid="{0259C4D0-CDE4-410E-A8D0-D7EFAFE0C975}">
      <text>
        <r>
          <rPr>
            <b/>
            <sz val="9"/>
            <color indexed="81"/>
            <rFont val="Tahoma"/>
            <family val="2"/>
          </rPr>
          <t>&lt;[[DEVDeals] - [Deal Property (Seq: 1)] - [Locations (Seq: 1)] - [Unit Mix (Seq: 16)] - [Unit Mix - User Defined Field Values (Seq: 1)] Rent Information - Bathroom Count - Both]&gt;</t>
        </r>
      </text>
    </comment>
    <comment ref="T310" authorId="0" shapeId="0" xr:uid="{94E9A688-3D91-4682-9CCE-CB5ECB8C0032}">
      <text>
        <r>
          <rPr>
            <b/>
            <sz val="9"/>
            <color indexed="81"/>
            <rFont val="Tahoma"/>
            <family val="2"/>
          </rPr>
          <t>&lt;[[DEVDeals] - [Deal Property (Seq: 1)] - [Locations (Seq: 1)] - [Unit Mix (Seq: 16)] Num Units - Both]&gt;</t>
        </r>
      </text>
    </comment>
    <comment ref="U310" authorId="0" shapeId="0" xr:uid="{6FD5C6FB-7BA5-4D09-81A6-1EBED80CA460}">
      <text>
        <r>
          <rPr>
            <b/>
            <sz val="9"/>
            <color indexed="81"/>
            <rFont val="Tahoma"/>
            <family val="2"/>
          </rPr>
          <t>&lt;[[DEVDeals] - [Deal Property (Seq: 1)] - [Locations (Seq: 1)] - [Unit Mix (Seq: 16)] Square Footage - Both]&gt;</t>
        </r>
      </text>
    </comment>
    <comment ref="V310" authorId="0" shapeId="0" xr:uid="{582EB3BA-822A-485E-A336-31496A404968}">
      <text>
        <r>
          <rPr>
            <b/>
            <sz val="9"/>
            <color indexed="81"/>
            <rFont val="Tahoma"/>
            <family val="2"/>
          </rPr>
          <t>&lt;[[DEVDeals] - [Deal Property (Seq: 1)] - [Locations (Seq: 1)] - [Unit Mix (Seq: 16)] Estimated Tenant Paid Utilities - Both]&gt;</t>
        </r>
      </text>
    </comment>
    <comment ref="W310" authorId="0" shapeId="0" xr:uid="{A714DD13-F34A-4167-A04D-7B7C8C94C5BA}">
      <text>
        <r>
          <rPr>
            <b/>
            <sz val="9"/>
            <color indexed="81"/>
            <rFont val="Tahoma"/>
            <family val="2"/>
          </rPr>
          <t>&lt;[[DEVDeals] - [Deal Property (Seq: 1)] - [Locations (Seq: 1)] - [Unit Mix (Seq: 16)] - [Unit Mix - User Defined Field Values (Seq: 1)] Rent Information - Resident Paid Rent - Both]&gt;</t>
        </r>
      </text>
    </comment>
    <comment ref="X310" authorId="0" shapeId="0" xr:uid="{968BE6DC-F668-4863-8562-9D4E4DCFAA32}">
      <text>
        <r>
          <rPr>
            <b/>
            <sz val="9"/>
            <color indexed="81"/>
            <rFont val="Tahoma"/>
            <family val="2"/>
          </rPr>
          <t>&lt;[[DEVDeals] - [Deal Property (Seq: 1)] - [Locations (Seq: 1)] - [Unit Mix (Seq: 16)] - [Unit Mix - User Defined Field Values (Seq: 1)] Rent Information - Rent Subsidy - Both]&gt;</t>
        </r>
      </text>
    </comment>
    <comment ref="Y310" authorId="0" shapeId="0" xr:uid="{C468FC0E-7C7D-4963-B82A-633949D5BF2E}">
      <text>
        <r>
          <rPr>
            <b/>
            <sz val="9"/>
            <color indexed="81"/>
            <rFont val="Tahoma"/>
            <family val="2"/>
          </rPr>
          <t>&lt;[[DEVDeals] - [Deal Property (Seq: 1)] - [Locations (Seq: 1)] - [Unit Mix (Seq: 16)] Notes - Both]&gt;</t>
        </r>
      </text>
    </comment>
    <comment ref="Z310" authorId="0" shapeId="0" xr:uid="{3B13EB37-F7A7-48F0-9B71-77FC474B9E9E}">
      <text>
        <r>
          <rPr>
            <b/>
            <sz val="9"/>
            <color indexed="81"/>
            <rFont val="Tahoma"/>
            <family val="2"/>
          </rPr>
          <t>&lt;[[DEVDeals] - [Deal Property (Seq: 1)] - [Locations (Seq: 1)] - [Unit Mix (Seq: 16)] Base Rent - Both]&gt;</t>
        </r>
      </text>
    </comment>
    <comment ref="AA310" authorId="0" shapeId="0" xr:uid="{73A66FE4-4296-40B2-9F60-2453FCDD7312}">
      <text>
        <r>
          <rPr>
            <b/>
            <sz val="9"/>
            <color indexed="81"/>
            <rFont val="Tahoma"/>
            <family val="2"/>
          </rPr>
          <t>&lt;[[DEVDeals] - [Deal Property (Seq: 1)] - [Locations (Seq: 1)] - [Unit Mix (Seq: 16)] - [Unit Mix - User Defined Field Values (Seq: 1)] Rent Information - UFAS Unit - Both]&gt;</t>
        </r>
      </text>
    </comment>
    <comment ref="AB310" authorId="0" shapeId="0" xr:uid="{AD0CB430-62B7-4484-80A2-87D79D7EAE9B}">
      <text>
        <r>
          <rPr>
            <b/>
            <sz val="9"/>
            <color indexed="81"/>
            <rFont val="Tahoma"/>
            <family val="2"/>
          </rPr>
          <t>&lt;[[DEVDeals] - [Deal Property (Seq: 1)] - [Locations (Seq: 1)] - [Unit Mix (Seq: 16)] - [Unit Mix - User Defined Field Values (Seq: 1)] Rent Information - Visitable Unit - Both]&gt;</t>
        </r>
      </text>
    </comment>
    <comment ref="AE310" authorId="0" shapeId="0" xr:uid="{DE5F6B02-8AF6-4D29-AEBC-9AA3D771D1AA}">
      <text>
        <r>
          <rPr>
            <b/>
            <sz val="9"/>
            <color indexed="81"/>
            <rFont val="Tahoma"/>
            <family val="2"/>
          </rPr>
          <t>&lt;[[DEVDeals] - [Associated TC Deal (Seq: 1)] - [TC Property Current Stage (Seq: 1)] - [Unit Mix (Seq: 16)] Income Target - Both]&gt;</t>
        </r>
      </text>
    </comment>
    <comment ref="AF310" authorId="0" shapeId="0" xr:uid="{4B7FCDD9-52B5-4E2D-892D-A3DC04758788}">
      <text>
        <r>
          <rPr>
            <b/>
            <sz val="9"/>
            <color indexed="81"/>
            <rFont val="Tahoma"/>
            <family val="2"/>
          </rPr>
          <t>&lt;[[DEVDeals] - [Associated TC Deal (Seq: 1)] - [TC Property Current Stage (Seq: 1)] - [Unit Mix (Seq: 16)] TC Unit Mix Type - Both]&gt;</t>
        </r>
      </text>
    </comment>
    <comment ref="AG310" authorId="0" shapeId="0" xr:uid="{EA65E713-3034-4462-BFBF-4F56DAF34E2E}">
      <text>
        <r>
          <rPr>
            <b/>
            <sz val="9"/>
            <color indexed="81"/>
            <rFont val="Tahoma"/>
            <family val="2"/>
          </rPr>
          <t>&lt;[[DEVDeals] - [Associated TC Deal (Seq: 1)] - [TC Property Current Stage (Seq: 1)] - [Unit Mix (Seq: 16)] Num Units - Both]&gt;</t>
        </r>
      </text>
    </comment>
    <comment ref="AH310" authorId="0" shapeId="0" xr:uid="{7EBD91C5-D355-4DF1-BD23-473443A8F88A}">
      <text>
        <r>
          <rPr>
            <b/>
            <sz val="9"/>
            <color indexed="81"/>
            <rFont val="Tahoma"/>
            <family val="2"/>
          </rPr>
          <t>&lt;[[DEVDeals] - [Associated TC Deal (Seq: 1)] - [TC Property Current Stage (Seq: 1)] - [Unit Mix (Seq: 16)] Net Rentable Sq Ft - Both]&gt;</t>
        </r>
      </text>
    </comment>
    <comment ref="AI310" authorId="0" shapeId="0" xr:uid="{DC1567DD-9E7C-4444-A390-0F1A94DFD65E}">
      <text>
        <r>
          <rPr>
            <b/>
            <sz val="9"/>
            <color indexed="81"/>
            <rFont val="Tahoma"/>
            <family val="2"/>
          </rPr>
          <t>&lt;[[DEVDeals] - [Associated TC Deal (Seq: 1)] - [TC Property Current Stage (Seq: 1)] - [Unit Mix (Seq: 16)] Monthly Rent Per Unit - Both]&gt;</t>
        </r>
      </text>
    </comment>
    <comment ref="Q311" authorId="0" shapeId="0" xr:uid="{7D902A94-9B13-4E3C-AE5B-1466524E9E10}">
      <text>
        <r>
          <rPr>
            <b/>
            <sz val="9"/>
            <color indexed="81"/>
            <rFont val="Tahoma"/>
            <family val="2"/>
          </rPr>
          <t>&lt;[[DEVDeals] - [Deal Property (Seq: 1)] - [Locations (Seq: 1)] - [Unit Mix (Seq: 17)] Unit Mix Ami Percent - Both]&gt;</t>
        </r>
      </text>
    </comment>
    <comment ref="R311" authorId="0" shapeId="0" xr:uid="{4C171126-9F42-4214-B907-6B6F9F7CD58C}">
      <text>
        <r>
          <rPr>
            <b/>
            <sz val="9"/>
            <color indexed="81"/>
            <rFont val="Tahoma"/>
            <family val="2"/>
          </rPr>
          <t>&lt;[[DEVDeals] - [Deal Property (Seq: 1)] - [Locations (Seq: 1)] - [Unit Mix (Seq: 17)] Unit Type - Both]&gt;</t>
        </r>
      </text>
    </comment>
    <comment ref="S311" authorId="0" shapeId="0" xr:uid="{E3E0BCE9-BBED-4AC6-8D0E-E08A54C7644B}">
      <text>
        <r>
          <rPr>
            <b/>
            <sz val="9"/>
            <color indexed="81"/>
            <rFont val="Tahoma"/>
            <family val="2"/>
          </rPr>
          <t>&lt;[[DEVDeals] - [Deal Property (Seq: 1)] - [Locations (Seq: 1)] - [Unit Mix (Seq: 17)] - [Unit Mix - User Defined Field Values (Seq: 1)] Rent Information - Bathroom Count - Both]&gt;</t>
        </r>
      </text>
    </comment>
    <comment ref="T311" authorId="0" shapeId="0" xr:uid="{A5CAFA2D-3BA5-475F-91F2-D693439F7EA1}">
      <text>
        <r>
          <rPr>
            <b/>
            <sz val="9"/>
            <color indexed="81"/>
            <rFont val="Tahoma"/>
            <family val="2"/>
          </rPr>
          <t>&lt;[[DEVDeals] - [Deal Property (Seq: 1)] - [Locations (Seq: 1)] - [Unit Mix (Seq: 17)] Num Units - Both]&gt;</t>
        </r>
      </text>
    </comment>
    <comment ref="U311" authorId="0" shapeId="0" xr:uid="{C6199C6C-BE34-4D4B-9481-CF1D5B7B530F}">
      <text>
        <r>
          <rPr>
            <b/>
            <sz val="9"/>
            <color indexed="81"/>
            <rFont val="Tahoma"/>
            <family val="2"/>
          </rPr>
          <t>&lt;[[DEVDeals] - [Deal Property (Seq: 1)] - [Locations (Seq: 1)] - [Unit Mix (Seq: 17)] Square Footage - Both]&gt;</t>
        </r>
      </text>
    </comment>
    <comment ref="V311" authorId="0" shapeId="0" xr:uid="{A21499AF-EAD1-47AF-8A12-1A8960F8E4C2}">
      <text>
        <r>
          <rPr>
            <b/>
            <sz val="9"/>
            <color indexed="81"/>
            <rFont val="Tahoma"/>
            <family val="2"/>
          </rPr>
          <t>&lt;[[DEVDeals] - [Deal Property (Seq: 1)] - [Locations (Seq: 1)] - [Unit Mix (Seq: 17)] Estimated Tenant Paid Utilities - Both]&gt;</t>
        </r>
      </text>
    </comment>
    <comment ref="W311" authorId="0" shapeId="0" xr:uid="{F030758C-2E33-4798-A582-14D7056E0818}">
      <text>
        <r>
          <rPr>
            <b/>
            <sz val="9"/>
            <color indexed="81"/>
            <rFont val="Tahoma"/>
            <family val="2"/>
          </rPr>
          <t>&lt;[[DEVDeals] - [Deal Property (Seq: 1)] - [Locations (Seq: 1)] - [Unit Mix (Seq: 17)] - [Unit Mix - User Defined Field Values (Seq: 1)] Rent Information - Resident Paid Rent - Both]&gt;</t>
        </r>
      </text>
    </comment>
    <comment ref="X311" authorId="0" shapeId="0" xr:uid="{2E252329-3DD8-4F5F-B8B6-D39A66460374}">
      <text>
        <r>
          <rPr>
            <b/>
            <sz val="9"/>
            <color indexed="81"/>
            <rFont val="Tahoma"/>
            <family val="2"/>
          </rPr>
          <t>&lt;[[DEVDeals] - [Deal Property (Seq: 1)] - [Locations (Seq: 1)] - [Unit Mix (Seq: 17)] - [Unit Mix - User Defined Field Values (Seq: 1)] Rent Information - Rent Subsidy - Both]&gt;</t>
        </r>
      </text>
    </comment>
    <comment ref="Y311" authorId="0" shapeId="0" xr:uid="{1B4A3126-70BF-459B-8CB4-F5904F744E15}">
      <text>
        <r>
          <rPr>
            <b/>
            <sz val="9"/>
            <color indexed="81"/>
            <rFont val="Tahoma"/>
            <family val="2"/>
          </rPr>
          <t>&lt;[[DEVDeals] - [Deal Property (Seq: 1)] - [Locations (Seq: 1)] - [Unit Mix (Seq: 17)] Notes - Both]&gt;</t>
        </r>
      </text>
    </comment>
    <comment ref="Z311" authorId="0" shapeId="0" xr:uid="{A39E03F6-8F1F-4BE8-8695-647CCE827F5E}">
      <text>
        <r>
          <rPr>
            <b/>
            <sz val="9"/>
            <color indexed="81"/>
            <rFont val="Tahoma"/>
            <family val="2"/>
          </rPr>
          <t>&lt;[[DEVDeals] - [Deal Property (Seq: 1)] - [Locations (Seq: 1)] - [Unit Mix (Seq: 17)] Base Rent - Both]&gt;</t>
        </r>
      </text>
    </comment>
    <comment ref="AA311" authorId="0" shapeId="0" xr:uid="{2EB574BA-8227-4085-8460-77710CFA7EA8}">
      <text>
        <r>
          <rPr>
            <b/>
            <sz val="9"/>
            <color indexed="81"/>
            <rFont val="Tahoma"/>
            <family val="2"/>
          </rPr>
          <t>&lt;[[DEVDeals] - [Deal Property (Seq: 1)] - [Locations (Seq: 1)] - [Unit Mix (Seq: 17)] - [Unit Mix - User Defined Field Values (Seq: 1)] Rent Information - UFAS Unit - Both]&gt;</t>
        </r>
      </text>
    </comment>
    <comment ref="AB311" authorId="0" shapeId="0" xr:uid="{08BEF38D-C100-4937-A3E0-241112E2D606}">
      <text>
        <r>
          <rPr>
            <b/>
            <sz val="9"/>
            <color indexed="81"/>
            <rFont val="Tahoma"/>
            <family val="2"/>
          </rPr>
          <t>&lt;[[DEVDeals] - [Deal Property (Seq: 1)] - [Locations (Seq: 1)] - [Unit Mix (Seq: 17)] - [Unit Mix - User Defined Field Values (Seq: 1)] Rent Information - Visitable Unit - Both]&gt;</t>
        </r>
      </text>
    </comment>
    <comment ref="AE311" authorId="0" shapeId="0" xr:uid="{66F2A5D8-ED5A-4773-ABED-9E98F761071B}">
      <text>
        <r>
          <rPr>
            <b/>
            <sz val="9"/>
            <color indexed="81"/>
            <rFont val="Tahoma"/>
            <family val="2"/>
          </rPr>
          <t>&lt;[[DEVDeals] - [Associated TC Deal (Seq: 1)] - [TC Property Current Stage (Seq: 1)] - [Unit Mix (Seq: 17)] Income Target - Both]&gt;</t>
        </r>
      </text>
    </comment>
    <comment ref="AF311" authorId="0" shapeId="0" xr:uid="{8A9F5D89-FA30-445C-9043-320B0D8DB9B7}">
      <text>
        <r>
          <rPr>
            <b/>
            <sz val="9"/>
            <color indexed="81"/>
            <rFont val="Tahoma"/>
            <family val="2"/>
          </rPr>
          <t>&lt;[[DEVDeals] - [Associated TC Deal (Seq: 1)] - [TC Property Current Stage (Seq: 1)] - [Unit Mix (Seq: 17)] TC Unit Mix Type - Both]&gt;</t>
        </r>
      </text>
    </comment>
    <comment ref="AG311" authorId="0" shapeId="0" xr:uid="{38BAD51F-DF39-4D4A-A68F-44E15EFD7E82}">
      <text>
        <r>
          <rPr>
            <b/>
            <sz val="9"/>
            <color indexed="81"/>
            <rFont val="Tahoma"/>
            <family val="2"/>
          </rPr>
          <t>&lt;[[DEVDeals] - [Associated TC Deal (Seq: 1)] - [TC Property Current Stage (Seq: 1)] - [Unit Mix (Seq: 17)] Num Units - Both]&gt;</t>
        </r>
      </text>
    </comment>
    <comment ref="AH311" authorId="0" shapeId="0" xr:uid="{8DEFAD81-7689-4AE9-ADAA-70FAFDBB689A}">
      <text>
        <r>
          <rPr>
            <b/>
            <sz val="9"/>
            <color indexed="81"/>
            <rFont val="Tahoma"/>
            <family val="2"/>
          </rPr>
          <t>&lt;[[DEVDeals] - [Associated TC Deal (Seq: 1)] - [TC Property Current Stage (Seq: 1)] - [Unit Mix (Seq: 17)] Net Rentable Sq Ft - Both]&gt;</t>
        </r>
      </text>
    </comment>
    <comment ref="AI311" authorId="0" shapeId="0" xr:uid="{DBC46C75-D767-4DC3-9FDA-4D7033992463}">
      <text>
        <r>
          <rPr>
            <b/>
            <sz val="9"/>
            <color indexed="81"/>
            <rFont val="Tahoma"/>
            <family val="2"/>
          </rPr>
          <t>&lt;[[DEVDeals] - [Associated TC Deal (Seq: 1)] - [TC Property Current Stage (Seq: 1)] - [Unit Mix (Seq: 17)] Monthly Rent Per Unit - Both]&gt;</t>
        </r>
      </text>
    </comment>
    <comment ref="Q312" authorId="0" shapeId="0" xr:uid="{5A7175ED-BF55-4BBF-B581-4672EFF05527}">
      <text>
        <r>
          <rPr>
            <b/>
            <sz val="9"/>
            <color indexed="81"/>
            <rFont val="Tahoma"/>
            <family val="2"/>
          </rPr>
          <t>&lt;[[DEVDeals] - [Deal Property (Seq: 1)] - [Locations (Seq: 1)] - [Unit Mix (Seq: 18)] Unit Mix Ami Percent - Both]&gt;</t>
        </r>
      </text>
    </comment>
    <comment ref="R312" authorId="0" shapeId="0" xr:uid="{9E0582E9-1B0E-4C75-B640-24B93CE2CB80}">
      <text>
        <r>
          <rPr>
            <b/>
            <sz val="9"/>
            <color indexed="81"/>
            <rFont val="Tahoma"/>
            <family val="2"/>
          </rPr>
          <t>&lt;[[DEVDeals] - [Deal Property (Seq: 1)] - [Locations (Seq: 1)] - [Unit Mix (Seq: 18)] Unit Type - Both]&gt;</t>
        </r>
      </text>
    </comment>
    <comment ref="S312" authorId="0" shapeId="0" xr:uid="{08813E2C-DA60-4EDA-BA34-6EE3B2A67C2C}">
      <text>
        <r>
          <rPr>
            <b/>
            <sz val="9"/>
            <color indexed="81"/>
            <rFont val="Tahoma"/>
            <family val="2"/>
          </rPr>
          <t>&lt;[[DEVDeals] - [Deal Property (Seq: 1)] - [Locations (Seq: 1)] - [Unit Mix (Seq: 18)] - [Unit Mix - User Defined Field Values (Seq: 1)] Rent Information - Bathroom Count - Both]&gt;</t>
        </r>
      </text>
    </comment>
    <comment ref="T312" authorId="0" shapeId="0" xr:uid="{3267C072-40A4-4E8E-A0DD-AA67B058782A}">
      <text>
        <r>
          <rPr>
            <b/>
            <sz val="9"/>
            <color indexed="81"/>
            <rFont val="Tahoma"/>
            <family val="2"/>
          </rPr>
          <t>&lt;[[DEVDeals] - [Deal Property (Seq: 1)] - [Locations (Seq: 1)] - [Unit Mix (Seq: 18)] Num Units - Both]&gt;</t>
        </r>
      </text>
    </comment>
    <comment ref="U312" authorId="0" shapeId="0" xr:uid="{294F5CB8-8B14-4CD8-8C3F-4B52E3682A32}">
      <text>
        <r>
          <rPr>
            <b/>
            <sz val="9"/>
            <color indexed="81"/>
            <rFont val="Tahoma"/>
            <family val="2"/>
          </rPr>
          <t>&lt;[[DEVDeals] - [Deal Property (Seq: 1)] - [Locations (Seq: 1)] - [Unit Mix (Seq: 18)] Square Footage - Both]&gt;</t>
        </r>
      </text>
    </comment>
    <comment ref="V312" authorId="0" shapeId="0" xr:uid="{DD6846F5-EBAF-4658-92FA-74DE509C3A6A}">
      <text>
        <r>
          <rPr>
            <b/>
            <sz val="9"/>
            <color indexed="81"/>
            <rFont val="Tahoma"/>
            <family val="2"/>
          </rPr>
          <t>&lt;[[DEVDeals] - [Deal Property (Seq: 1)] - [Locations (Seq: 1)] - [Unit Mix (Seq: 18)] Estimated Tenant Paid Utilities - Both]&gt;</t>
        </r>
      </text>
    </comment>
    <comment ref="W312" authorId="0" shapeId="0" xr:uid="{87D2A240-A6A1-4257-BA94-4832489465A0}">
      <text>
        <r>
          <rPr>
            <b/>
            <sz val="9"/>
            <color indexed="81"/>
            <rFont val="Tahoma"/>
            <family val="2"/>
          </rPr>
          <t>&lt;[[DEVDeals] - [Deal Property (Seq: 1)] - [Locations (Seq: 1)] - [Unit Mix (Seq: 18)] - [Unit Mix - User Defined Field Values (Seq: 1)] Rent Information - Resident Paid Rent - Both]&gt;</t>
        </r>
      </text>
    </comment>
    <comment ref="X312" authorId="0" shapeId="0" xr:uid="{3E29E21A-7958-4521-95C2-1321E43033D8}">
      <text>
        <r>
          <rPr>
            <b/>
            <sz val="9"/>
            <color indexed="81"/>
            <rFont val="Tahoma"/>
            <family val="2"/>
          </rPr>
          <t>&lt;[[DEVDeals] - [Deal Property (Seq: 1)] - [Locations (Seq: 1)] - [Unit Mix (Seq: 18)] - [Unit Mix - User Defined Field Values (Seq: 1)] Rent Information - Rent Subsidy - Both]&gt;</t>
        </r>
      </text>
    </comment>
    <comment ref="Y312" authorId="0" shapeId="0" xr:uid="{AF3F713D-79FB-4206-B26A-15D659AF6270}">
      <text>
        <r>
          <rPr>
            <b/>
            <sz val="9"/>
            <color indexed="81"/>
            <rFont val="Tahoma"/>
            <family val="2"/>
          </rPr>
          <t>&lt;[[DEVDeals] - [Deal Property (Seq: 1)] - [Locations (Seq: 1)] - [Unit Mix (Seq: 18)] Notes - Both]&gt;</t>
        </r>
      </text>
    </comment>
    <comment ref="Z312" authorId="0" shapeId="0" xr:uid="{9457F0A4-C8C1-48B5-A5AB-215DDA468648}">
      <text>
        <r>
          <rPr>
            <b/>
            <sz val="9"/>
            <color indexed="81"/>
            <rFont val="Tahoma"/>
            <family val="2"/>
          </rPr>
          <t>&lt;[[DEVDeals] - [Deal Property (Seq: 1)] - [Locations (Seq: 1)] - [Unit Mix (Seq: 18)] Base Rent - Both]&gt;</t>
        </r>
      </text>
    </comment>
    <comment ref="AA312" authorId="0" shapeId="0" xr:uid="{D01206C0-2E72-44A2-BD7E-A21EFCE36D4C}">
      <text>
        <r>
          <rPr>
            <b/>
            <sz val="9"/>
            <color indexed="81"/>
            <rFont val="Tahoma"/>
            <family val="2"/>
          </rPr>
          <t>&lt;[[DEVDeals] - [Deal Property (Seq: 1)] - [Locations (Seq: 1)] - [Unit Mix (Seq: 18)] - [Unit Mix - User Defined Field Values (Seq: 1)] Rent Information - UFAS Unit - Both]&gt;</t>
        </r>
      </text>
    </comment>
    <comment ref="AB312" authorId="0" shapeId="0" xr:uid="{E337F29A-B336-4ADD-82E9-E19F97A827BA}">
      <text>
        <r>
          <rPr>
            <b/>
            <sz val="9"/>
            <color indexed="81"/>
            <rFont val="Tahoma"/>
            <family val="2"/>
          </rPr>
          <t>&lt;[[DEVDeals] - [Deal Property (Seq: 1)] - [Locations (Seq: 1)] - [Unit Mix (Seq: 18)] - [Unit Mix - User Defined Field Values (Seq: 1)] Rent Information - Visitable Unit - Both]&gt;</t>
        </r>
      </text>
    </comment>
    <comment ref="AE312" authorId="0" shapeId="0" xr:uid="{6C8A7891-AA7C-44E2-BCCD-2CBE4D97C83F}">
      <text>
        <r>
          <rPr>
            <b/>
            <sz val="9"/>
            <color indexed="81"/>
            <rFont val="Tahoma"/>
            <family val="2"/>
          </rPr>
          <t>&lt;[[DEVDeals] - [Associated TC Deal (Seq: 1)] - [TC Property Current Stage (Seq: 1)] - [Unit Mix (Seq: 18)] Income Target - Both]&gt;</t>
        </r>
      </text>
    </comment>
    <comment ref="AF312" authorId="0" shapeId="0" xr:uid="{703F88FE-6C75-454C-888C-974D7CB85D1A}">
      <text>
        <r>
          <rPr>
            <b/>
            <sz val="9"/>
            <color indexed="81"/>
            <rFont val="Tahoma"/>
            <family val="2"/>
          </rPr>
          <t>&lt;[[DEVDeals] - [Associated TC Deal (Seq: 1)] - [TC Property Current Stage (Seq: 1)] - [Unit Mix (Seq: 18)] TC Unit Mix Type - Both]&gt;</t>
        </r>
      </text>
    </comment>
    <comment ref="AG312" authorId="0" shapeId="0" xr:uid="{70D1DF73-E881-4DB8-9DD7-83EE477BE9C7}">
      <text>
        <r>
          <rPr>
            <b/>
            <sz val="9"/>
            <color indexed="81"/>
            <rFont val="Tahoma"/>
            <family val="2"/>
          </rPr>
          <t>&lt;[[DEVDeals] - [Associated TC Deal (Seq: 1)] - [TC Property Current Stage (Seq: 1)] - [Unit Mix (Seq: 18)] Num Units - Both]&gt;</t>
        </r>
      </text>
    </comment>
    <comment ref="AH312" authorId="0" shapeId="0" xr:uid="{580D545C-5EFE-4633-ADE9-B54D23E8D3DF}">
      <text>
        <r>
          <rPr>
            <b/>
            <sz val="9"/>
            <color indexed="81"/>
            <rFont val="Tahoma"/>
            <family val="2"/>
          </rPr>
          <t>&lt;[[DEVDeals] - [Associated TC Deal (Seq: 1)] - [TC Property Current Stage (Seq: 1)] - [Unit Mix (Seq: 18)] Net Rentable Sq Ft - Both]&gt;</t>
        </r>
      </text>
    </comment>
    <comment ref="AI312" authorId="0" shapeId="0" xr:uid="{12E7D206-03C1-4DF0-9698-5723B0183D03}">
      <text>
        <r>
          <rPr>
            <b/>
            <sz val="9"/>
            <color indexed="81"/>
            <rFont val="Tahoma"/>
            <family val="2"/>
          </rPr>
          <t>&lt;[[DEVDeals] - [Associated TC Deal (Seq: 1)] - [TC Property Current Stage (Seq: 1)] - [Unit Mix (Seq: 18)] Monthly Rent Per Unit - Both]&gt;</t>
        </r>
      </text>
    </comment>
    <comment ref="Q313" authorId="0" shapeId="0" xr:uid="{B4427C91-23EA-49B4-BA30-ECA7D77E6C60}">
      <text>
        <r>
          <rPr>
            <b/>
            <sz val="9"/>
            <color indexed="81"/>
            <rFont val="Tahoma"/>
            <family val="2"/>
          </rPr>
          <t>&lt;[[DEVDeals] - [Deal Property (Seq: 1)] - [Locations (Seq: 1)] - [Unit Mix (Seq: 19)] Unit Mix Ami Percent - Both]&gt;</t>
        </r>
      </text>
    </comment>
    <comment ref="R313" authorId="0" shapeId="0" xr:uid="{8895494B-D027-4DB4-99F5-F9D68DA036FE}">
      <text>
        <r>
          <rPr>
            <b/>
            <sz val="9"/>
            <color indexed="81"/>
            <rFont val="Tahoma"/>
            <family val="2"/>
          </rPr>
          <t>&lt;[[DEVDeals] - [Deal Property (Seq: 1)] - [Locations (Seq: 1)] - [Unit Mix (Seq: 19)] Unit Type - Both]&gt;</t>
        </r>
      </text>
    </comment>
    <comment ref="S313" authorId="0" shapeId="0" xr:uid="{E3C77D60-225C-4175-8636-BEEB03DE1465}">
      <text>
        <r>
          <rPr>
            <b/>
            <sz val="9"/>
            <color indexed="81"/>
            <rFont val="Tahoma"/>
            <family val="2"/>
          </rPr>
          <t>&lt;[[DEVDeals] - [Deal Property (Seq: 1)] - [Locations (Seq: 1)] - [Unit Mix (Seq: 19)] - [Unit Mix - User Defined Field Values (Seq: 1)] Rent Information - Bathroom Count - Both]&gt;</t>
        </r>
      </text>
    </comment>
    <comment ref="T313" authorId="0" shapeId="0" xr:uid="{AA01237E-DFD5-4ED1-9303-77B777658D68}">
      <text>
        <r>
          <rPr>
            <b/>
            <sz val="9"/>
            <color indexed="81"/>
            <rFont val="Tahoma"/>
            <family val="2"/>
          </rPr>
          <t>&lt;[[DEVDeals] - [Deal Property (Seq: 1)] - [Locations (Seq: 1)] - [Unit Mix (Seq: 19)] Num Units - Both]&gt;</t>
        </r>
      </text>
    </comment>
    <comment ref="U313" authorId="0" shapeId="0" xr:uid="{11F6345B-E559-4CCE-B00C-CFA2289F0647}">
      <text>
        <r>
          <rPr>
            <b/>
            <sz val="9"/>
            <color indexed="81"/>
            <rFont val="Tahoma"/>
            <family val="2"/>
          </rPr>
          <t>&lt;[[DEVDeals] - [Deal Property (Seq: 1)] - [Locations (Seq: 1)] - [Unit Mix (Seq: 19)] Square Footage - Both]&gt;</t>
        </r>
      </text>
    </comment>
    <comment ref="V313" authorId="0" shapeId="0" xr:uid="{4E5ADC72-8CBA-48C8-8B41-C899EE04CB07}">
      <text>
        <r>
          <rPr>
            <b/>
            <sz val="9"/>
            <color indexed="81"/>
            <rFont val="Tahoma"/>
            <family val="2"/>
          </rPr>
          <t>&lt;[[DEVDeals] - [Deal Property (Seq: 1)] - [Locations (Seq: 1)] - [Unit Mix (Seq: 19)] Estimated Tenant Paid Utilities - Both]&gt;</t>
        </r>
      </text>
    </comment>
    <comment ref="W313" authorId="0" shapeId="0" xr:uid="{FE9710D8-33C6-472E-81BA-E3AD8D245F1D}">
      <text>
        <r>
          <rPr>
            <b/>
            <sz val="9"/>
            <color indexed="81"/>
            <rFont val="Tahoma"/>
            <family val="2"/>
          </rPr>
          <t>&lt;[[DEVDeals] - [Deal Property (Seq: 1)] - [Locations (Seq: 1)] - [Unit Mix (Seq: 19)] - [Unit Mix - User Defined Field Values (Seq: 1)] Rent Information - Resident Paid Rent - Both]&gt;</t>
        </r>
      </text>
    </comment>
    <comment ref="X313" authorId="0" shapeId="0" xr:uid="{FA177B84-2D8D-4F65-AEC5-BBFCAACFB739}">
      <text>
        <r>
          <rPr>
            <b/>
            <sz val="9"/>
            <color indexed="81"/>
            <rFont val="Tahoma"/>
            <family val="2"/>
          </rPr>
          <t>&lt;[[DEVDeals] - [Deal Property (Seq: 1)] - [Locations (Seq: 1)] - [Unit Mix (Seq: 19)] - [Unit Mix - User Defined Field Values (Seq: 1)] Rent Information - Rent Subsidy - Both]&gt;</t>
        </r>
      </text>
    </comment>
    <comment ref="Y313" authorId="0" shapeId="0" xr:uid="{56A31F9A-7D03-4188-B012-065A8AEB11D2}">
      <text>
        <r>
          <rPr>
            <b/>
            <sz val="9"/>
            <color indexed="81"/>
            <rFont val="Tahoma"/>
            <family val="2"/>
          </rPr>
          <t>&lt;[[DEVDeals] - [Deal Property (Seq: 1)] - [Locations (Seq: 1)] - [Unit Mix (Seq: 19)] Notes - Both]&gt;</t>
        </r>
      </text>
    </comment>
    <comment ref="Z313" authorId="0" shapeId="0" xr:uid="{53DB7215-A05B-4581-8515-F4DB239EBEE5}">
      <text>
        <r>
          <rPr>
            <b/>
            <sz val="9"/>
            <color indexed="81"/>
            <rFont val="Tahoma"/>
            <family val="2"/>
          </rPr>
          <t>&lt;[[DEVDeals] - [Deal Property (Seq: 1)] - [Locations (Seq: 1)] - [Unit Mix (Seq: 19)] Base Rent - Both]&gt;</t>
        </r>
      </text>
    </comment>
    <comment ref="AA313" authorId="0" shapeId="0" xr:uid="{31E61D39-9883-45E9-9774-988CCB49933A}">
      <text>
        <r>
          <rPr>
            <b/>
            <sz val="9"/>
            <color indexed="81"/>
            <rFont val="Tahoma"/>
            <family val="2"/>
          </rPr>
          <t>&lt;[[DEVDeals] - [Deal Property (Seq: 1)] - [Locations (Seq: 1)] - [Unit Mix (Seq: 19)] - [Unit Mix - User Defined Field Values (Seq: 1)] Rent Information - UFAS Unit - Both]&gt;</t>
        </r>
      </text>
    </comment>
    <comment ref="AB313" authorId="0" shapeId="0" xr:uid="{B30028DA-4EE5-4232-8F84-4234F01295F4}">
      <text>
        <r>
          <rPr>
            <b/>
            <sz val="9"/>
            <color indexed="81"/>
            <rFont val="Tahoma"/>
            <family val="2"/>
          </rPr>
          <t>&lt;[[DEVDeals] - [Deal Property (Seq: 1)] - [Locations (Seq: 1)] - [Unit Mix (Seq: 19)] - [Unit Mix - User Defined Field Values (Seq: 1)] Rent Information - Visitable Unit - Both]&gt;</t>
        </r>
      </text>
    </comment>
    <comment ref="AE313" authorId="0" shapeId="0" xr:uid="{3D42B495-150A-42E5-A170-8A70E1480F02}">
      <text>
        <r>
          <rPr>
            <b/>
            <sz val="9"/>
            <color indexed="81"/>
            <rFont val="Tahoma"/>
            <family val="2"/>
          </rPr>
          <t>&lt;[[DEVDeals] - [Associated TC Deal (Seq: 1)] - [TC Property Current Stage (Seq: 1)] - [Unit Mix (Seq: 19)] Income Target - Both]&gt;</t>
        </r>
      </text>
    </comment>
    <comment ref="AF313" authorId="0" shapeId="0" xr:uid="{815A7494-F58D-493A-A596-9019326885C9}">
      <text>
        <r>
          <rPr>
            <b/>
            <sz val="9"/>
            <color indexed="81"/>
            <rFont val="Tahoma"/>
            <family val="2"/>
          </rPr>
          <t>&lt;[[DEVDeals] - [Associated TC Deal (Seq: 1)] - [TC Property Current Stage (Seq: 1)] - [Unit Mix (Seq: 19)] TC Unit Mix Type - Both]&gt;</t>
        </r>
      </text>
    </comment>
    <comment ref="AG313" authorId="0" shapeId="0" xr:uid="{FB307E0E-D9BA-4C9F-BFD0-9DFD58B224A9}">
      <text>
        <r>
          <rPr>
            <b/>
            <sz val="9"/>
            <color indexed="81"/>
            <rFont val="Tahoma"/>
            <family val="2"/>
          </rPr>
          <t>&lt;[[DEVDeals] - [Associated TC Deal (Seq: 1)] - [TC Property Current Stage (Seq: 1)] - [Unit Mix (Seq: 19)] Num Units - Both]&gt;</t>
        </r>
      </text>
    </comment>
    <comment ref="AH313" authorId="0" shapeId="0" xr:uid="{ADBF3C68-359D-4642-9A5B-C29306794D2B}">
      <text>
        <r>
          <rPr>
            <b/>
            <sz val="9"/>
            <color indexed="81"/>
            <rFont val="Tahoma"/>
            <family val="2"/>
          </rPr>
          <t>&lt;[[DEVDeals] - [Associated TC Deal (Seq: 1)] - [TC Property Current Stage (Seq: 1)] - [Unit Mix (Seq: 19)] Net Rentable Sq Ft - Both]&gt;</t>
        </r>
      </text>
    </comment>
    <comment ref="AI313" authorId="0" shapeId="0" xr:uid="{DB130ACF-C6B3-4318-B76B-8F8EA6E5A0E9}">
      <text>
        <r>
          <rPr>
            <b/>
            <sz val="9"/>
            <color indexed="81"/>
            <rFont val="Tahoma"/>
            <family val="2"/>
          </rPr>
          <t>&lt;[[DEVDeals] - [Associated TC Deal (Seq: 1)] - [TC Property Current Stage (Seq: 1)] - [Unit Mix (Seq: 19)] Monthly Rent Per Unit - Both]&gt;</t>
        </r>
      </text>
    </comment>
    <comment ref="Q314" authorId="0" shapeId="0" xr:uid="{4D16F9FF-AD53-415E-8B58-B2A59A11BD73}">
      <text>
        <r>
          <rPr>
            <b/>
            <sz val="9"/>
            <color indexed="81"/>
            <rFont val="Tahoma"/>
            <family val="2"/>
          </rPr>
          <t>&lt;[[DEVDeals] - [Deal Property (Seq: 1)] - [Locations (Seq: 1)] - [Unit Mix (Seq: 20)] Unit Mix Ami Percent - Both]&gt;</t>
        </r>
      </text>
    </comment>
    <comment ref="R314" authorId="0" shapeId="0" xr:uid="{151CA7C5-5154-4CC2-9E5F-BD4D172C50A8}">
      <text>
        <r>
          <rPr>
            <b/>
            <sz val="9"/>
            <color indexed="81"/>
            <rFont val="Tahoma"/>
            <family val="2"/>
          </rPr>
          <t>&lt;[[DEVDeals] - [Deal Property (Seq: 1)] - [Locations (Seq: 1)] - [Unit Mix (Seq: 20)] Unit Type - Both]&gt;</t>
        </r>
      </text>
    </comment>
    <comment ref="S314" authorId="0" shapeId="0" xr:uid="{99BEF66B-A2F4-4025-9282-727BF6628876}">
      <text>
        <r>
          <rPr>
            <b/>
            <sz val="9"/>
            <color indexed="81"/>
            <rFont val="Tahoma"/>
            <family val="2"/>
          </rPr>
          <t>&lt;[[DEVDeals] - [Deal Property (Seq: 1)] - [Locations (Seq: 1)] - [Unit Mix (Seq: 20)] - [Unit Mix - User Defined Field Values (Seq: 1)] Rent Information - Bathroom Count - Both]&gt;</t>
        </r>
      </text>
    </comment>
    <comment ref="T314" authorId="0" shapeId="0" xr:uid="{7804190D-1F6D-4B46-A41F-2758E59F2794}">
      <text>
        <r>
          <rPr>
            <b/>
            <sz val="9"/>
            <color indexed="81"/>
            <rFont val="Tahoma"/>
            <family val="2"/>
          </rPr>
          <t>&lt;[[DEVDeals] - [Deal Property (Seq: 1)] - [Locations (Seq: 1)] - [Unit Mix (Seq: 20)] Num Units - Both]&gt;</t>
        </r>
      </text>
    </comment>
    <comment ref="U314" authorId="0" shapeId="0" xr:uid="{D1B68600-6D84-4336-9D23-91147FA191F3}">
      <text>
        <r>
          <rPr>
            <b/>
            <sz val="9"/>
            <color indexed="81"/>
            <rFont val="Tahoma"/>
            <family val="2"/>
          </rPr>
          <t>&lt;[[DEVDeals] - [Deal Property (Seq: 1)] - [Locations (Seq: 1)] - [Unit Mix (Seq: 20)] Square Footage - Both]&gt;</t>
        </r>
      </text>
    </comment>
    <comment ref="V314" authorId="0" shapeId="0" xr:uid="{9FCA374A-E288-4912-A365-86EBA2DA1A37}">
      <text>
        <r>
          <rPr>
            <b/>
            <sz val="9"/>
            <color indexed="81"/>
            <rFont val="Tahoma"/>
            <family val="2"/>
          </rPr>
          <t>&lt;[[DEVDeals] - [Deal Property (Seq: 1)] - [Locations (Seq: 1)] - [Unit Mix (Seq: 20)] Estimated Tenant Paid Utilities - Both]&gt;</t>
        </r>
      </text>
    </comment>
    <comment ref="W314" authorId="0" shapeId="0" xr:uid="{7124A17F-9596-457B-85AC-2EF8A4CAEB3A}">
      <text>
        <r>
          <rPr>
            <b/>
            <sz val="9"/>
            <color indexed="81"/>
            <rFont val="Tahoma"/>
            <family val="2"/>
          </rPr>
          <t>&lt;[[DEVDeals] - [Deal Property (Seq: 1)] - [Locations (Seq: 1)] - [Unit Mix (Seq: 20)] - [Unit Mix - User Defined Field Values (Seq: 1)] Rent Information - Resident Paid Rent - Both]&gt;</t>
        </r>
      </text>
    </comment>
    <comment ref="X314" authorId="0" shapeId="0" xr:uid="{68BDE51A-D43C-43F2-8B6A-A7C9C60792E2}">
      <text>
        <r>
          <rPr>
            <b/>
            <sz val="9"/>
            <color indexed="81"/>
            <rFont val="Tahoma"/>
            <family val="2"/>
          </rPr>
          <t>&lt;[[DEVDeals] - [Deal Property (Seq: 1)] - [Locations (Seq: 1)] - [Unit Mix (Seq: 20)] - [Unit Mix - User Defined Field Values (Seq: 1)] Rent Information - Rent Subsidy - Both]&gt;</t>
        </r>
      </text>
    </comment>
    <comment ref="Y314" authorId="0" shapeId="0" xr:uid="{455CE01F-C03D-4E7C-920D-8A47D7D0CB44}">
      <text>
        <r>
          <rPr>
            <b/>
            <sz val="9"/>
            <color indexed="81"/>
            <rFont val="Tahoma"/>
            <family val="2"/>
          </rPr>
          <t>&lt;[[DEVDeals] - [Deal Property (Seq: 1)] - [Locations (Seq: 1)] - [Unit Mix (Seq: 20)] Notes - Both]&gt;</t>
        </r>
      </text>
    </comment>
    <comment ref="Z314" authorId="0" shapeId="0" xr:uid="{6866DD8C-F7AB-469C-BEC7-347E384E5D03}">
      <text>
        <r>
          <rPr>
            <b/>
            <sz val="9"/>
            <color indexed="81"/>
            <rFont val="Tahoma"/>
            <family val="2"/>
          </rPr>
          <t>&lt;[[DEVDeals] - [Deal Property (Seq: 1)] - [Locations (Seq: 1)] - [Unit Mix (Seq: 20)] Base Rent - Both]&gt;</t>
        </r>
      </text>
    </comment>
    <comment ref="AA314" authorId="0" shapeId="0" xr:uid="{C96CC55C-AA47-4EC8-B2F1-2A960DE83D2D}">
      <text>
        <r>
          <rPr>
            <b/>
            <sz val="9"/>
            <color indexed="81"/>
            <rFont val="Tahoma"/>
            <family val="2"/>
          </rPr>
          <t>&lt;[[DEVDeals] - [Deal Property (Seq: 1)] - [Locations (Seq: 1)] - [Unit Mix (Seq: 20)] - [Unit Mix - User Defined Field Values (Seq: 1)] Rent Information - UFAS Unit - Both]&gt;</t>
        </r>
      </text>
    </comment>
    <comment ref="AB314" authorId="0" shapeId="0" xr:uid="{51323E76-696A-4B2B-817D-2FF252A520B7}">
      <text>
        <r>
          <rPr>
            <b/>
            <sz val="9"/>
            <color indexed="81"/>
            <rFont val="Tahoma"/>
            <family val="2"/>
          </rPr>
          <t>&lt;[[DEVDeals] - [Deal Property (Seq: 1)] - [Locations (Seq: 1)] - [Unit Mix (Seq: 20)] - [Unit Mix - User Defined Field Values (Seq: 1)] Rent Information - Visitable Unit - Both]&gt;</t>
        </r>
      </text>
    </comment>
    <comment ref="AE314" authorId="0" shapeId="0" xr:uid="{72991A27-5464-4B8C-B382-CDC042BDA4F2}">
      <text>
        <r>
          <rPr>
            <b/>
            <sz val="9"/>
            <color indexed="81"/>
            <rFont val="Tahoma"/>
            <family val="2"/>
          </rPr>
          <t>&lt;[[DEVDeals] - [Associated TC Deal (Seq: 1)] - [TC Property Current Stage (Seq: 1)] - [Unit Mix (Seq: 20)] Income Target - Both]&gt;</t>
        </r>
      </text>
    </comment>
    <comment ref="AF314" authorId="0" shapeId="0" xr:uid="{87700C2B-039D-44DF-A327-6152CFF2EA61}">
      <text>
        <r>
          <rPr>
            <b/>
            <sz val="9"/>
            <color indexed="81"/>
            <rFont val="Tahoma"/>
            <family val="2"/>
          </rPr>
          <t>&lt;[[DEVDeals] - [Associated TC Deal (Seq: 1)] - [TC Property Current Stage (Seq: 1)] - [Unit Mix (Seq: 20)] TC Unit Mix Type - Both]&gt;</t>
        </r>
      </text>
    </comment>
    <comment ref="AG314" authorId="0" shapeId="0" xr:uid="{93E6B1A1-73D3-457F-8F91-48C7CF54F521}">
      <text>
        <r>
          <rPr>
            <b/>
            <sz val="9"/>
            <color indexed="81"/>
            <rFont val="Tahoma"/>
            <family val="2"/>
          </rPr>
          <t>&lt;[[DEVDeals] - [Associated TC Deal (Seq: 1)] - [TC Property Current Stage (Seq: 1)] - [Unit Mix (Seq: 20)] Num Units - Both]&gt;</t>
        </r>
      </text>
    </comment>
    <comment ref="AH314" authorId="0" shapeId="0" xr:uid="{2552DBF2-C5C4-447E-9DD2-4D7B17D24EFE}">
      <text>
        <r>
          <rPr>
            <b/>
            <sz val="9"/>
            <color indexed="81"/>
            <rFont val="Tahoma"/>
            <family val="2"/>
          </rPr>
          <t>&lt;[[DEVDeals] - [Associated TC Deal (Seq: 1)] - [TC Property Current Stage (Seq: 1)] - [Unit Mix (Seq: 20)] Net Rentable Sq Ft - Both]&gt;</t>
        </r>
      </text>
    </comment>
    <comment ref="AI314" authorId="0" shapeId="0" xr:uid="{E8BA095C-2D76-47EF-A567-A06B3E5B0461}">
      <text>
        <r>
          <rPr>
            <b/>
            <sz val="9"/>
            <color indexed="81"/>
            <rFont val="Tahoma"/>
            <family val="2"/>
          </rPr>
          <t>&lt;[[DEVDeals] - [Associated TC Deal (Seq: 1)] - [TC Property Current Stage (Seq: 1)] - [Unit Mix (Seq: 20)] Monthly Rent Per Unit - Both]&gt;</t>
        </r>
      </text>
    </comment>
    <comment ref="Q315" authorId="0" shapeId="0" xr:uid="{5DF7F5D8-24D2-40B4-B6AA-A35CF9F7C0AE}">
      <text>
        <r>
          <rPr>
            <b/>
            <sz val="9"/>
            <color indexed="81"/>
            <rFont val="Tahoma"/>
            <family val="2"/>
          </rPr>
          <t>&lt;[[DEVDeals] - [Deal Property (Seq: 1)] - [Locations (Seq: 1)] - [Unit Mix (Seq: 21)] Unit Mix Ami Percent - Both]&gt;</t>
        </r>
      </text>
    </comment>
    <comment ref="R315" authorId="0" shapeId="0" xr:uid="{8F9602CF-BDFD-4C80-9233-F3E3C9AB31BD}">
      <text>
        <r>
          <rPr>
            <b/>
            <sz val="9"/>
            <color indexed="81"/>
            <rFont val="Tahoma"/>
            <family val="2"/>
          </rPr>
          <t>&lt;[[DEVDeals] - [Deal Property (Seq: 1)] - [Locations (Seq: 1)] - [Unit Mix (Seq: 21)] Unit Type - Both]&gt;</t>
        </r>
      </text>
    </comment>
    <comment ref="S315" authorId="0" shapeId="0" xr:uid="{74924228-25BE-45AF-A460-B745F2E30DA9}">
      <text>
        <r>
          <rPr>
            <b/>
            <sz val="9"/>
            <color indexed="81"/>
            <rFont val="Tahoma"/>
            <family val="2"/>
          </rPr>
          <t>&lt;[[DEVDeals] - [Deal Property (Seq: 1)] - [Locations (Seq: 1)] - [Unit Mix (Seq: 21)] - [Unit Mix - User Defined Field Values (Seq: 1)] Rent Information - Bathroom Count - Both]&gt;</t>
        </r>
      </text>
    </comment>
    <comment ref="T315" authorId="0" shapeId="0" xr:uid="{C041E285-7132-4D24-ABDC-D49C8CF37663}">
      <text>
        <r>
          <rPr>
            <b/>
            <sz val="9"/>
            <color indexed="81"/>
            <rFont val="Tahoma"/>
            <family val="2"/>
          </rPr>
          <t>&lt;[[DEVDeals] - [Deal Property (Seq: 1)] - [Locations (Seq: 1)] - [Unit Mix (Seq: 21)] Num Units - Both]&gt;</t>
        </r>
      </text>
    </comment>
    <comment ref="U315" authorId="0" shapeId="0" xr:uid="{C7984188-4110-4746-960A-3081832C1DCC}">
      <text>
        <r>
          <rPr>
            <b/>
            <sz val="9"/>
            <color indexed="81"/>
            <rFont val="Tahoma"/>
            <family val="2"/>
          </rPr>
          <t>&lt;[[DEVDeals] - [Deal Property (Seq: 1)] - [Locations (Seq: 1)] - [Unit Mix (Seq: 21)] Square Footage - Both]&gt;</t>
        </r>
      </text>
    </comment>
    <comment ref="V315" authorId="0" shapeId="0" xr:uid="{A7981F6E-9FCA-42D5-BBEB-B8635CD7CE9B}">
      <text>
        <r>
          <rPr>
            <b/>
            <sz val="9"/>
            <color indexed="81"/>
            <rFont val="Tahoma"/>
            <family val="2"/>
          </rPr>
          <t>&lt;[[DEVDeals] - [Deal Property (Seq: 1)] - [Locations (Seq: 1)] - [Unit Mix (Seq: 21)] Estimated Tenant Paid Utilities - Both]&gt;</t>
        </r>
      </text>
    </comment>
    <comment ref="W315" authorId="0" shapeId="0" xr:uid="{48D8F86C-25D6-41DA-A759-FF0A90942599}">
      <text>
        <r>
          <rPr>
            <b/>
            <sz val="9"/>
            <color indexed="81"/>
            <rFont val="Tahoma"/>
            <family val="2"/>
          </rPr>
          <t>&lt;[[DEVDeals] - [Deal Property (Seq: 1)] - [Locations (Seq: 1)] - [Unit Mix (Seq: 21)] - [Unit Mix - User Defined Field Values (Seq: 1)] Rent Information - Resident Paid Rent - Both]&gt;</t>
        </r>
      </text>
    </comment>
    <comment ref="X315" authorId="0" shapeId="0" xr:uid="{C4E589A3-92F1-482F-9619-00E00596B14D}">
      <text>
        <r>
          <rPr>
            <b/>
            <sz val="9"/>
            <color indexed="81"/>
            <rFont val="Tahoma"/>
            <family val="2"/>
          </rPr>
          <t>&lt;[[DEVDeals] - [Deal Property (Seq: 1)] - [Locations (Seq: 1)] - [Unit Mix (Seq: 21)] - [Unit Mix - User Defined Field Values (Seq: 1)] Rent Information - Rent Subsidy - Both]&gt;</t>
        </r>
      </text>
    </comment>
    <comment ref="Y315" authorId="0" shapeId="0" xr:uid="{0EDBA630-A865-41E8-902C-4BEA02B987FA}">
      <text>
        <r>
          <rPr>
            <b/>
            <sz val="9"/>
            <color indexed="81"/>
            <rFont val="Tahoma"/>
            <family val="2"/>
          </rPr>
          <t>&lt;[[DEVDeals] - [Deal Property (Seq: 1)] - [Locations (Seq: 1)] - [Unit Mix (Seq: 21)] Notes - Both]&gt;</t>
        </r>
      </text>
    </comment>
    <comment ref="Z315" authorId="0" shapeId="0" xr:uid="{1C53BA11-3DD0-45B7-BB97-7195B7E3D9CE}">
      <text>
        <r>
          <rPr>
            <b/>
            <sz val="9"/>
            <color indexed="81"/>
            <rFont val="Tahoma"/>
            <family val="2"/>
          </rPr>
          <t>&lt;[[DEVDeals] - [Deal Property (Seq: 1)] - [Locations (Seq: 1)] - [Unit Mix (Seq: 21)] Base Rent - Both]&gt;</t>
        </r>
      </text>
    </comment>
    <comment ref="AA315" authorId="0" shapeId="0" xr:uid="{B04C5988-0032-4F06-893B-2C6ED738542E}">
      <text>
        <r>
          <rPr>
            <b/>
            <sz val="9"/>
            <color indexed="81"/>
            <rFont val="Tahoma"/>
            <family val="2"/>
          </rPr>
          <t>&lt;[[DEVDeals] - [Deal Property (Seq: 1)] - [Locations (Seq: 1)] - [Unit Mix (Seq: 21)] - [Unit Mix - User Defined Field Values (Seq: 1)] Rent Information - UFAS Unit - Both]&gt;</t>
        </r>
      </text>
    </comment>
    <comment ref="AB315" authorId="0" shapeId="0" xr:uid="{FC2851A2-8DFC-434C-8DBB-07907F6F5316}">
      <text>
        <r>
          <rPr>
            <b/>
            <sz val="9"/>
            <color indexed="81"/>
            <rFont val="Tahoma"/>
            <family val="2"/>
          </rPr>
          <t>&lt;[[DEVDeals] - [Deal Property (Seq: 1)] - [Locations (Seq: 1)] - [Unit Mix (Seq: 21)] - [Unit Mix - User Defined Field Values (Seq: 1)] Rent Information - Visitable Unit - Both]&gt;</t>
        </r>
      </text>
    </comment>
    <comment ref="AE315" authorId="0" shapeId="0" xr:uid="{41DFC5DE-9064-489E-951F-6FAA0E95C8B8}">
      <text>
        <r>
          <rPr>
            <b/>
            <sz val="9"/>
            <color indexed="81"/>
            <rFont val="Tahoma"/>
            <family val="2"/>
          </rPr>
          <t>&lt;[[DEVDeals] - [Associated TC Deal (Seq: 1)] - [TC Property Current Stage (Seq: 1)] - [Unit Mix (Seq: 21)] Income Target - Both]&gt;</t>
        </r>
      </text>
    </comment>
    <comment ref="AF315" authorId="0" shapeId="0" xr:uid="{845D5712-DD09-4691-AC7C-B1E65498E72C}">
      <text>
        <r>
          <rPr>
            <b/>
            <sz val="9"/>
            <color indexed="81"/>
            <rFont val="Tahoma"/>
            <family val="2"/>
          </rPr>
          <t>&lt;[[DEVDeals] - [Associated TC Deal (Seq: 1)] - [TC Property Current Stage (Seq: 1)] - [Unit Mix (Seq: 21)] TC Unit Mix Type - Both]&gt;</t>
        </r>
      </text>
    </comment>
    <comment ref="AG315" authorId="0" shapeId="0" xr:uid="{D9372295-BAEA-4365-A9FA-1D390F99A820}">
      <text>
        <r>
          <rPr>
            <b/>
            <sz val="9"/>
            <color indexed="81"/>
            <rFont val="Tahoma"/>
            <family val="2"/>
          </rPr>
          <t>&lt;[[DEVDeals] - [Associated TC Deal (Seq: 1)] - [TC Property Current Stage (Seq: 1)] - [Unit Mix (Seq: 21)] Num Units - Both]&gt;</t>
        </r>
      </text>
    </comment>
    <comment ref="AH315" authorId="0" shapeId="0" xr:uid="{92719435-8174-46B1-9EE8-C8AEB00963CF}">
      <text>
        <r>
          <rPr>
            <b/>
            <sz val="9"/>
            <color indexed="81"/>
            <rFont val="Tahoma"/>
            <family val="2"/>
          </rPr>
          <t>&lt;[[DEVDeals] - [Associated TC Deal (Seq: 1)] - [TC Property Current Stage (Seq: 1)] - [Unit Mix (Seq: 21)] Net Rentable Sq Ft - Both]&gt;</t>
        </r>
      </text>
    </comment>
    <comment ref="AI315" authorId="0" shapeId="0" xr:uid="{F2207884-3B30-49B6-B82B-02DCD702E081}">
      <text>
        <r>
          <rPr>
            <b/>
            <sz val="9"/>
            <color indexed="81"/>
            <rFont val="Tahoma"/>
            <family val="2"/>
          </rPr>
          <t>&lt;[[DEVDeals] - [Associated TC Deal (Seq: 1)] - [TC Property Current Stage (Seq: 1)] - [Unit Mix (Seq: 21)] Monthly Rent Per Unit - Both]&gt;</t>
        </r>
      </text>
    </comment>
    <comment ref="Q316" authorId="0" shapeId="0" xr:uid="{390BD438-4295-4DC7-8338-9FF7690860AF}">
      <text>
        <r>
          <rPr>
            <b/>
            <sz val="9"/>
            <color indexed="81"/>
            <rFont val="Tahoma"/>
            <family val="2"/>
          </rPr>
          <t>&lt;[[DEVDeals] - [Deal Property (Seq: 1)] - [Locations (Seq: 1)] - [Unit Mix (Seq: 22)] Unit Mix Ami Percent - Both]&gt;</t>
        </r>
      </text>
    </comment>
    <comment ref="R316" authorId="0" shapeId="0" xr:uid="{AEAEAF1B-2B8E-40BD-A8F0-F95846982881}">
      <text>
        <r>
          <rPr>
            <b/>
            <sz val="9"/>
            <color indexed="81"/>
            <rFont val="Tahoma"/>
            <family val="2"/>
          </rPr>
          <t>&lt;[[DEVDeals] - [Deal Property (Seq: 1)] - [Locations (Seq: 1)] - [Unit Mix (Seq: 22)] Unit Type - Both]&gt;</t>
        </r>
      </text>
    </comment>
    <comment ref="S316" authorId="0" shapeId="0" xr:uid="{C7BBD6BF-66AD-48AC-970E-BA59FD937AF4}">
      <text>
        <r>
          <rPr>
            <b/>
            <sz val="9"/>
            <color indexed="81"/>
            <rFont val="Tahoma"/>
            <family val="2"/>
          </rPr>
          <t>&lt;[[DEVDeals] - [Deal Property (Seq: 1)] - [Locations (Seq: 1)] - [Unit Mix (Seq: 22)] - [Unit Mix - User Defined Field Values (Seq: 1)] Rent Information - Bathroom Count - Both]&gt;</t>
        </r>
      </text>
    </comment>
    <comment ref="T316" authorId="0" shapeId="0" xr:uid="{FAD6B99C-AA3B-4731-B5DF-2B1307606509}">
      <text>
        <r>
          <rPr>
            <b/>
            <sz val="9"/>
            <color indexed="81"/>
            <rFont val="Tahoma"/>
            <family val="2"/>
          </rPr>
          <t>&lt;[[DEVDeals] - [Deal Property (Seq: 1)] - [Locations (Seq: 1)] - [Unit Mix (Seq: 22)] Num Units - Both]&gt;</t>
        </r>
      </text>
    </comment>
    <comment ref="U316" authorId="0" shapeId="0" xr:uid="{AEE17D35-24D7-44AD-AF52-5AA8882A0032}">
      <text>
        <r>
          <rPr>
            <b/>
            <sz val="9"/>
            <color indexed="81"/>
            <rFont val="Tahoma"/>
            <family val="2"/>
          </rPr>
          <t>&lt;[[DEVDeals] - [Deal Property (Seq: 1)] - [Locations (Seq: 1)] - [Unit Mix (Seq: 22)] Square Footage - Both]&gt;</t>
        </r>
      </text>
    </comment>
    <comment ref="V316" authorId="0" shapeId="0" xr:uid="{E383A967-C665-45B7-BAB2-BFE8182117AB}">
      <text>
        <r>
          <rPr>
            <b/>
            <sz val="9"/>
            <color indexed="81"/>
            <rFont val="Tahoma"/>
            <family val="2"/>
          </rPr>
          <t>&lt;[[DEVDeals] - [Deal Property (Seq: 1)] - [Locations (Seq: 1)] - [Unit Mix (Seq: 22)] Estimated Tenant Paid Utilities - Both]&gt;</t>
        </r>
      </text>
    </comment>
    <comment ref="W316" authorId="0" shapeId="0" xr:uid="{44BA7701-F9D3-47CF-BDA5-D7E138AA98F7}">
      <text>
        <r>
          <rPr>
            <b/>
            <sz val="9"/>
            <color indexed="81"/>
            <rFont val="Tahoma"/>
            <family val="2"/>
          </rPr>
          <t>&lt;[[DEVDeals] - [Deal Property (Seq: 1)] - [Locations (Seq: 1)] - [Unit Mix (Seq: 22)] - [Unit Mix - User Defined Field Values (Seq: 1)] Rent Information - Resident Paid Rent - Both]&gt;</t>
        </r>
      </text>
    </comment>
    <comment ref="X316" authorId="0" shapeId="0" xr:uid="{45883F79-59C2-44DB-9B6B-93FD2E012125}">
      <text>
        <r>
          <rPr>
            <b/>
            <sz val="9"/>
            <color indexed="81"/>
            <rFont val="Tahoma"/>
            <family val="2"/>
          </rPr>
          <t>&lt;[[DEVDeals] - [Deal Property (Seq: 1)] - [Locations (Seq: 1)] - [Unit Mix (Seq: 22)] - [Unit Mix - User Defined Field Values (Seq: 1)] Rent Information - Rent Subsidy - Both]&gt;</t>
        </r>
      </text>
    </comment>
    <comment ref="Y316" authorId="0" shapeId="0" xr:uid="{91EF42E5-FA3A-4623-B4F3-6B514BFD5E2A}">
      <text>
        <r>
          <rPr>
            <b/>
            <sz val="9"/>
            <color indexed="81"/>
            <rFont val="Tahoma"/>
            <family val="2"/>
          </rPr>
          <t>&lt;[[DEVDeals] - [Deal Property (Seq: 1)] - [Locations (Seq: 1)] - [Unit Mix (Seq: 22)] Notes - Both]&gt;</t>
        </r>
      </text>
    </comment>
    <comment ref="Z316" authorId="0" shapeId="0" xr:uid="{9D590661-6807-49B7-B3C5-CFA78155780A}">
      <text>
        <r>
          <rPr>
            <b/>
            <sz val="9"/>
            <color indexed="81"/>
            <rFont val="Tahoma"/>
            <family val="2"/>
          </rPr>
          <t>&lt;[[DEVDeals] - [Deal Property (Seq: 1)] - [Locations (Seq: 1)] - [Unit Mix (Seq: 22)] Base Rent - Both]&gt;</t>
        </r>
      </text>
    </comment>
    <comment ref="AA316" authorId="0" shapeId="0" xr:uid="{A1E4FD73-22E3-4312-A928-5434DBE476CE}">
      <text>
        <r>
          <rPr>
            <b/>
            <sz val="9"/>
            <color indexed="81"/>
            <rFont val="Tahoma"/>
            <family val="2"/>
          </rPr>
          <t>&lt;[[DEVDeals] - [Deal Property (Seq: 1)] - [Locations (Seq: 1)] - [Unit Mix (Seq: 22)] - [Unit Mix - User Defined Field Values (Seq: 1)] Rent Information - UFAS Unit - Both]&gt;</t>
        </r>
      </text>
    </comment>
    <comment ref="AB316" authorId="0" shapeId="0" xr:uid="{BEFBF5CF-59DC-43A0-B6D5-FA0D2B3FCB3A}">
      <text>
        <r>
          <rPr>
            <b/>
            <sz val="9"/>
            <color indexed="81"/>
            <rFont val="Tahoma"/>
            <family val="2"/>
          </rPr>
          <t>&lt;[[DEVDeals] - [Deal Property (Seq: 1)] - [Locations (Seq: 1)] - [Unit Mix (Seq: 22)] - [Unit Mix - User Defined Field Values (Seq: 1)] Rent Information - Visitable Unit - Both]&gt;</t>
        </r>
      </text>
    </comment>
    <comment ref="AE316" authorId="0" shapeId="0" xr:uid="{880088A8-99D4-4F42-8060-21D32C86CA09}">
      <text>
        <r>
          <rPr>
            <b/>
            <sz val="9"/>
            <color indexed="81"/>
            <rFont val="Tahoma"/>
            <family val="2"/>
          </rPr>
          <t>&lt;[[DEVDeals] - [Associated TC Deal (Seq: 1)] - [TC Property Current Stage (Seq: 1)] - [Unit Mix (Seq: 22)] Income Target - Both]&gt;</t>
        </r>
      </text>
    </comment>
    <comment ref="AF316" authorId="0" shapeId="0" xr:uid="{BCE3763D-0EC2-4F90-A566-AA6BFFA98BD0}">
      <text>
        <r>
          <rPr>
            <b/>
            <sz val="9"/>
            <color indexed="81"/>
            <rFont val="Tahoma"/>
            <family val="2"/>
          </rPr>
          <t>&lt;[[DEVDeals] - [Associated TC Deal (Seq: 1)] - [TC Property Current Stage (Seq: 1)] - [Unit Mix (Seq: 22)] TC Unit Mix Type - Both]&gt;</t>
        </r>
      </text>
    </comment>
    <comment ref="AG316" authorId="0" shapeId="0" xr:uid="{8DF5111B-228F-41BE-8085-7125E5EF27BE}">
      <text>
        <r>
          <rPr>
            <b/>
            <sz val="9"/>
            <color indexed="81"/>
            <rFont val="Tahoma"/>
            <family val="2"/>
          </rPr>
          <t>&lt;[[DEVDeals] - [Associated TC Deal (Seq: 1)] - [TC Property Current Stage (Seq: 1)] - [Unit Mix (Seq: 22)] Num Units - Both]&gt;</t>
        </r>
      </text>
    </comment>
    <comment ref="AH316" authorId="0" shapeId="0" xr:uid="{E08EBFEB-C531-4A00-B4FA-157283120CA7}">
      <text>
        <r>
          <rPr>
            <b/>
            <sz val="9"/>
            <color indexed="81"/>
            <rFont val="Tahoma"/>
            <family val="2"/>
          </rPr>
          <t>&lt;[[DEVDeals] - [Associated TC Deal (Seq: 1)] - [TC Property Current Stage (Seq: 1)] - [Unit Mix (Seq: 22)] Net Rentable Sq Ft - Both]&gt;</t>
        </r>
      </text>
    </comment>
    <comment ref="AI316" authorId="0" shapeId="0" xr:uid="{41D2224C-2FE2-447A-9F34-122DD07EC617}">
      <text>
        <r>
          <rPr>
            <b/>
            <sz val="9"/>
            <color indexed="81"/>
            <rFont val="Tahoma"/>
            <family val="2"/>
          </rPr>
          <t>&lt;[[DEVDeals] - [Associated TC Deal (Seq: 1)] - [TC Property Current Stage (Seq: 1)] - [Unit Mix (Seq: 22)] Monthly Rent Per Unit - Both]&gt;</t>
        </r>
      </text>
    </comment>
    <comment ref="Q317" authorId="0" shapeId="0" xr:uid="{9604A529-6298-4813-841F-4AA7E777F9C1}">
      <text>
        <r>
          <rPr>
            <b/>
            <sz val="9"/>
            <color indexed="81"/>
            <rFont val="Tahoma"/>
            <family val="2"/>
          </rPr>
          <t>&lt;[[DEVDeals] - [Deal Property (Seq: 1)] - [Locations (Seq: 1)] - [Unit Mix (Seq: 23)] Unit Mix Ami Percent - Both]&gt;</t>
        </r>
      </text>
    </comment>
    <comment ref="R317" authorId="0" shapeId="0" xr:uid="{39EEA74F-8129-4153-B0D9-A507E830287A}">
      <text>
        <r>
          <rPr>
            <b/>
            <sz val="9"/>
            <color indexed="81"/>
            <rFont val="Tahoma"/>
            <family val="2"/>
          </rPr>
          <t>&lt;[[DEVDeals] - [Deal Property (Seq: 1)] - [Locations (Seq: 1)] - [Unit Mix (Seq: 23)] Unit Type - Both]&gt;</t>
        </r>
      </text>
    </comment>
    <comment ref="S317" authorId="0" shapeId="0" xr:uid="{6CA5B5B1-20A8-42D4-9D60-1D1F9E4B8E74}">
      <text>
        <r>
          <rPr>
            <b/>
            <sz val="9"/>
            <color indexed="81"/>
            <rFont val="Tahoma"/>
            <family val="2"/>
          </rPr>
          <t>&lt;[[DEVDeals] - [Deal Property (Seq: 1)] - [Locations (Seq: 1)] - [Unit Mix (Seq: 23)] - [Unit Mix - User Defined Field Values (Seq: 1)] Rent Information - Bathroom Count - Both]&gt;</t>
        </r>
      </text>
    </comment>
    <comment ref="T317" authorId="0" shapeId="0" xr:uid="{F3D0CB86-98C4-42C7-995E-83B87A31869A}">
      <text>
        <r>
          <rPr>
            <b/>
            <sz val="9"/>
            <color indexed="81"/>
            <rFont val="Tahoma"/>
            <family val="2"/>
          </rPr>
          <t>&lt;[[DEVDeals] - [Deal Property (Seq: 1)] - [Locations (Seq: 1)] - [Unit Mix (Seq: 23)] Num Units - Both]&gt;</t>
        </r>
      </text>
    </comment>
    <comment ref="U317" authorId="0" shapeId="0" xr:uid="{7809DF55-06D3-4FE8-9EFF-ABF89EC5FD08}">
      <text>
        <r>
          <rPr>
            <b/>
            <sz val="9"/>
            <color indexed="81"/>
            <rFont val="Tahoma"/>
            <family val="2"/>
          </rPr>
          <t>&lt;[[DEVDeals] - [Deal Property (Seq: 1)] - [Locations (Seq: 1)] - [Unit Mix (Seq: 23)] Square Footage - Both]&gt;</t>
        </r>
      </text>
    </comment>
    <comment ref="V317" authorId="0" shapeId="0" xr:uid="{69A1FC83-91B5-45EB-BF9B-031C817DFB00}">
      <text>
        <r>
          <rPr>
            <b/>
            <sz val="9"/>
            <color indexed="81"/>
            <rFont val="Tahoma"/>
            <family val="2"/>
          </rPr>
          <t>&lt;[[DEVDeals] - [Deal Property (Seq: 1)] - [Locations (Seq: 1)] - [Unit Mix (Seq: 23)] Estimated Tenant Paid Utilities - Both]&gt;</t>
        </r>
      </text>
    </comment>
    <comment ref="W317" authorId="0" shapeId="0" xr:uid="{3E821C56-93E3-48D3-8AD9-DBFADFAAA00F}">
      <text>
        <r>
          <rPr>
            <b/>
            <sz val="9"/>
            <color indexed="81"/>
            <rFont val="Tahoma"/>
            <family val="2"/>
          </rPr>
          <t>&lt;[[DEVDeals] - [Deal Property (Seq: 1)] - [Locations (Seq: 1)] - [Unit Mix (Seq: 23)] - [Unit Mix - User Defined Field Values (Seq: 1)] Rent Information - Resident Paid Rent - Both]&gt;</t>
        </r>
      </text>
    </comment>
    <comment ref="X317" authorId="0" shapeId="0" xr:uid="{9F5B5221-5071-4186-8468-BBDDF80D92D4}">
      <text>
        <r>
          <rPr>
            <b/>
            <sz val="9"/>
            <color indexed="81"/>
            <rFont val="Tahoma"/>
            <family val="2"/>
          </rPr>
          <t>&lt;[[DEVDeals] - [Deal Property (Seq: 1)] - [Locations (Seq: 1)] - [Unit Mix (Seq: 23)] - [Unit Mix - User Defined Field Values (Seq: 1)] Rent Information - Rent Subsidy - Both]&gt;</t>
        </r>
      </text>
    </comment>
    <comment ref="Y317" authorId="0" shapeId="0" xr:uid="{685F86D5-A5E3-486C-A40B-CFD3FB10B635}">
      <text>
        <r>
          <rPr>
            <b/>
            <sz val="9"/>
            <color indexed="81"/>
            <rFont val="Tahoma"/>
            <family val="2"/>
          </rPr>
          <t>&lt;[[DEVDeals] - [Deal Property (Seq: 1)] - [Locations (Seq: 1)] - [Unit Mix (Seq: 23)] Notes - Both]&gt;</t>
        </r>
      </text>
    </comment>
    <comment ref="Z317" authorId="0" shapeId="0" xr:uid="{3D7C09FC-1676-4754-AAC9-9CB8F6F70862}">
      <text>
        <r>
          <rPr>
            <b/>
            <sz val="9"/>
            <color indexed="81"/>
            <rFont val="Tahoma"/>
            <family val="2"/>
          </rPr>
          <t>&lt;[[DEVDeals] - [Deal Property (Seq: 1)] - [Locations (Seq: 1)] - [Unit Mix (Seq: 23)] Base Rent - Both]&gt;</t>
        </r>
      </text>
    </comment>
    <comment ref="AA317" authorId="0" shapeId="0" xr:uid="{79D6CF35-DC60-4DA2-AD39-83586F47927B}">
      <text>
        <r>
          <rPr>
            <b/>
            <sz val="9"/>
            <color indexed="81"/>
            <rFont val="Tahoma"/>
            <family val="2"/>
          </rPr>
          <t>&lt;[[DEVDeals] - [Deal Property (Seq: 1)] - [Locations (Seq: 1)] - [Unit Mix (Seq: 23)] - [Unit Mix - User Defined Field Values (Seq: 1)] Rent Information - UFAS Unit - Both]&gt;</t>
        </r>
      </text>
    </comment>
    <comment ref="AB317" authorId="0" shapeId="0" xr:uid="{E0E1767B-7720-4B9B-BC87-5045E58C1B4C}">
      <text>
        <r>
          <rPr>
            <b/>
            <sz val="9"/>
            <color indexed="81"/>
            <rFont val="Tahoma"/>
            <family val="2"/>
          </rPr>
          <t>&lt;[[DEVDeals] - [Deal Property (Seq: 1)] - [Locations (Seq: 1)] - [Unit Mix (Seq: 23)] - [Unit Mix - User Defined Field Values (Seq: 1)] Rent Information - Visitable Unit - Both]&gt;</t>
        </r>
      </text>
    </comment>
    <comment ref="AE317" authorId="0" shapeId="0" xr:uid="{C3A6893B-264F-4ECE-A815-0D140D54C00E}">
      <text>
        <r>
          <rPr>
            <b/>
            <sz val="9"/>
            <color indexed="81"/>
            <rFont val="Tahoma"/>
            <family val="2"/>
          </rPr>
          <t>&lt;[[DEVDeals] - [Associated TC Deal (Seq: 1)] - [TC Property Current Stage (Seq: 1)] - [Unit Mix (Seq: 23)] Income Target - Both]&gt;</t>
        </r>
      </text>
    </comment>
    <comment ref="AF317" authorId="0" shapeId="0" xr:uid="{97A03208-38CE-4469-8403-7F75C1D85441}">
      <text>
        <r>
          <rPr>
            <b/>
            <sz val="9"/>
            <color indexed="81"/>
            <rFont val="Tahoma"/>
            <family val="2"/>
          </rPr>
          <t>&lt;[[DEVDeals] - [Associated TC Deal (Seq: 1)] - [TC Property Current Stage (Seq: 1)] - [Unit Mix (Seq: 23)] TC Unit Mix Type - Both]&gt;</t>
        </r>
      </text>
    </comment>
    <comment ref="AG317" authorId="0" shapeId="0" xr:uid="{58C06FC1-F4D3-4BB7-A9F4-2DABF55D0A74}">
      <text>
        <r>
          <rPr>
            <b/>
            <sz val="9"/>
            <color indexed="81"/>
            <rFont val="Tahoma"/>
            <family val="2"/>
          </rPr>
          <t>&lt;[[DEVDeals] - [Associated TC Deal (Seq: 1)] - [TC Property Current Stage (Seq: 1)] - [Unit Mix (Seq: 23)] Num Units - Both]&gt;</t>
        </r>
      </text>
    </comment>
    <comment ref="AH317" authorId="0" shapeId="0" xr:uid="{49E80F4F-DDF3-46AB-9D3B-8FB907663ED7}">
      <text>
        <r>
          <rPr>
            <b/>
            <sz val="9"/>
            <color indexed="81"/>
            <rFont val="Tahoma"/>
            <family val="2"/>
          </rPr>
          <t>&lt;[[DEVDeals] - [Associated TC Deal (Seq: 1)] - [TC Property Current Stage (Seq: 1)] - [Unit Mix (Seq: 23)] Net Rentable Sq Ft - Both]&gt;</t>
        </r>
      </text>
    </comment>
    <comment ref="AI317" authorId="0" shapeId="0" xr:uid="{2B576FDF-3CBC-4E26-83AE-EFE94EC1C080}">
      <text>
        <r>
          <rPr>
            <b/>
            <sz val="9"/>
            <color indexed="81"/>
            <rFont val="Tahoma"/>
            <family val="2"/>
          </rPr>
          <t>&lt;[[DEVDeals] - [Associated TC Deal (Seq: 1)] - [TC Property Current Stage (Seq: 1)] - [Unit Mix (Seq: 23)] Monthly Rent Per Unit - Both]&gt;</t>
        </r>
      </text>
    </comment>
    <comment ref="Q318" authorId="0" shapeId="0" xr:uid="{1F653A2C-6CA7-4F45-B256-630D0C087B1B}">
      <text>
        <r>
          <rPr>
            <b/>
            <sz val="9"/>
            <color indexed="81"/>
            <rFont val="Tahoma"/>
            <family val="2"/>
          </rPr>
          <t>&lt;[[DEVDeals] - [Deal Property (Seq: 1)] - [Locations (Seq: 1)] - [Unit Mix (Seq: 24)] Unit Mix Ami Percent - Both]&gt;</t>
        </r>
      </text>
    </comment>
    <comment ref="R318" authorId="0" shapeId="0" xr:uid="{DADEB9CD-C1BD-4282-984D-BB6E96424AF6}">
      <text>
        <r>
          <rPr>
            <b/>
            <sz val="9"/>
            <color indexed="81"/>
            <rFont val="Tahoma"/>
            <family val="2"/>
          </rPr>
          <t>&lt;[[DEVDeals] - [Deal Property (Seq: 1)] - [Locations (Seq: 1)] - [Unit Mix (Seq: 24)] Unit Type - Both]&gt;</t>
        </r>
      </text>
    </comment>
    <comment ref="S318" authorId="0" shapeId="0" xr:uid="{3979024D-A0D3-40AF-AC06-5F97A08A09D5}">
      <text>
        <r>
          <rPr>
            <b/>
            <sz val="9"/>
            <color indexed="81"/>
            <rFont val="Tahoma"/>
            <family val="2"/>
          </rPr>
          <t>&lt;[[DEVDeals] - [Deal Property (Seq: 1)] - [Locations (Seq: 1)] - [Unit Mix (Seq: 24)] - [Unit Mix - User Defined Field Values (Seq: 1)] Rent Information - Bathroom Count - Both]&gt;</t>
        </r>
      </text>
    </comment>
    <comment ref="T318" authorId="0" shapeId="0" xr:uid="{1B66A8F5-7D8F-4C3A-95C2-C32115CDF86A}">
      <text>
        <r>
          <rPr>
            <b/>
            <sz val="9"/>
            <color indexed="81"/>
            <rFont val="Tahoma"/>
            <family val="2"/>
          </rPr>
          <t>&lt;[[DEVDeals] - [Deal Property (Seq: 1)] - [Locations (Seq: 1)] - [Unit Mix (Seq: 24)] Num Units - Both]&gt;</t>
        </r>
      </text>
    </comment>
    <comment ref="U318" authorId="0" shapeId="0" xr:uid="{828CD7A8-8578-42C1-9223-829018344AB3}">
      <text>
        <r>
          <rPr>
            <b/>
            <sz val="9"/>
            <color indexed="81"/>
            <rFont val="Tahoma"/>
            <family val="2"/>
          </rPr>
          <t>&lt;[[DEVDeals] - [Deal Property (Seq: 1)] - [Locations (Seq: 1)] - [Unit Mix (Seq: 24)] Square Footage - Both]&gt;</t>
        </r>
      </text>
    </comment>
    <comment ref="V318" authorId="0" shapeId="0" xr:uid="{A5BF5F57-35F5-4481-B540-7F2F9739FFFF}">
      <text>
        <r>
          <rPr>
            <b/>
            <sz val="9"/>
            <color indexed="81"/>
            <rFont val="Tahoma"/>
            <family val="2"/>
          </rPr>
          <t>&lt;[[DEVDeals] - [Deal Property (Seq: 1)] - [Locations (Seq: 1)] - [Unit Mix (Seq: 24)] Estimated Tenant Paid Utilities - Both]&gt;</t>
        </r>
      </text>
    </comment>
    <comment ref="W318" authorId="0" shapeId="0" xr:uid="{F124F838-0CC6-430F-A028-12AD4CA37B6D}">
      <text>
        <r>
          <rPr>
            <b/>
            <sz val="9"/>
            <color indexed="81"/>
            <rFont val="Tahoma"/>
            <family val="2"/>
          </rPr>
          <t>&lt;[[DEVDeals] - [Deal Property (Seq: 1)] - [Locations (Seq: 1)] - [Unit Mix (Seq: 24)] - [Unit Mix - User Defined Field Values (Seq: 1)] Rent Information - Resident Paid Rent - Both]&gt;</t>
        </r>
      </text>
    </comment>
    <comment ref="X318" authorId="0" shapeId="0" xr:uid="{1E2B0A8F-E1EA-4240-B792-AD4076166098}">
      <text>
        <r>
          <rPr>
            <b/>
            <sz val="9"/>
            <color indexed="81"/>
            <rFont val="Tahoma"/>
            <family val="2"/>
          </rPr>
          <t>&lt;[[DEVDeals] - [Deal Property (Seq: 1)] - [Locations (Seq: 1)] - [Unit Mix (Seq: 24)] - [Unit Mix - User Defined Field Values (Seq: 1)] Rent Information - Rent Subsidy - Both]&gt;</t>
        </r>
      </text>
    </comment>
    <comment ref="Y318" authorId="0" shapeId="0" xr:uid="{2FC369A7-DCD3-42C3-80B0-60380DCEAF27}">
      <text>
        <r>
          <rPr>
            <b/>
            <sz val="9"/>
            <color indexed="81"/>
            <rFont val="Tahoma"/>
            <family val="2"/>
          </rPr>
          <t>&lt;[[DEVDeals] - [Deal Property (Seq: 1)] - [Locations (Seq: 1)] - [Unit Mix (Seq: 24)] Notes - Both]&gt;</t>
        </r>
      </text>
    </comment>
    <comment ref="Z318" authorId="0" shapeId="0" xr:uid="{C9567E43-67F3-4008-857E-D0AE80A6E0E3}">
      <text>
        <r>
          <rPr>
            <b/>
            <sz val="9"/>
            <color indexed="81"/>
            <rFont val="Tahoma"/>
            <family val="2"/>
          </rPr>
          <t>&lt;[[DEVDeals] - [Deal Property (Seq: 1)] - [Locations (Seq: 1)] - [Unit Mix (Seq: 24)] Base Rent - Both]&gt;</t>
        </r>
      </text>
    </comment>
    <comment ref="AA318" authorId="0" shapeId="0" xr:uid="{9931CE73-B648-4FE1-BB1B-8050042816D7}">
      <text>
        <r>
          <rPr>
            <b/>
            <sz val="9"/>
            <color indexed="81"/>
            <rFont val="Tahoma"/>
            <family val="2"/>
          </rPr>
          <t>&lt;[[DEVDeals] - [Deal Property (Seq: 1)] - [Locations (Seq: 1)] - [Unit Mix (Seq: 24)] - [Unit Mix - User Defined Field Values (Seq: 1)] Rent Information - UFAS Unit - Both]&gt;</t>
        </r>
      </text>
    </comment>
    <comment ref="AB318" authorId="0" shapeId="0" xr:uid="{5EEA9149-5A0C-4C40-AB50-7DC7AE30FAEE}">
      <text>
        <r>
          <rPr>
            <b/>
            <sz val="9"/>
            <color indexed="81"/>
            <rFont val="Tahoma"/>
            <family val="2"/>
          </rPr>
          <t>&lt;[[DEVDeals] - [Deal Property (Seq: 1)] - [Locations (Seq: 1)] - [Unit Mix (Seq: 24)] - [Unit Mix - User Defined Field Values (Seq: 1)] Rent Information - Visitable Unit - Both]&gt;</t>
        </r>
      </text>
    </comment>
    <comment ref="AE318" authorId="0" shapeId="0" xr:uid="{46CB39FA-8410-4F2F-B91E-2B41A563044C}">
      <text>
        <r>
          <rPr>
            <b/>
            <sz val="9"/>
            <color indexed="81"/>
            <rFont val="Tahoma"/>
            <family val="2"/>
          </rPr>
          <t>&lt;[[DEVDeals] - [Associated TC Deal (Seq: 1)] - [TC Property Current Stage (Seq: 1)] - [Unit Mix (Seq: 24)] Income Target - Both]&gt;</t>
        </r>
      </text>
    </comment>
    <comment ref="AF318" authorId="0" shapeId="0" xr:uid="{0C0197E2-3E37-4EFA-8835-C85DCE66F24B}">
      <text>
        <r>
          <rPr>
            <b/>
            <sz val="9"/>
            <color indexed="81"/>
            <rFont val="Tahoma"/>
            <family val="2"/>
          </rPr>
          <t>&lt;[[DEVDeals] - [Associated TC Deal (Seq: 1)] - [TC Property Current Stage (Seq: 1)] - [Unit Mix (Seq: 24)] TC Unit Mix Type - Both]&gt;</t>
        </r>
      </text>
    </comment>
    <comment ref="AG318" authorId="0" shapeId="0" xr:uid="{3D398EE8-5D4D-42EF-AA80-1BC3508D3302}">
      <text>
        <r>
          <rPr>
            <b/>
            <sz val="9"/>
            <color indexed="81"/>
            <rFont val="Tahoma"/>
            <family val="2"/>
          </rPr>
          <t>&lt;[[DEVDeals] - [Associated TC Deal (Seq: 1)] - [TC Property Current Stage (Seq: 1)] - [Unit Mix (Seq: 24)] Num Units - Both]&gt;</t>
        </r>
      </text>
    </comment>
    <comment ref="AH318" authorId="0" shapeId="0" xr:uid="{2B32BD91-AD9C-4B67-82B4-7BD90972E19A}">
      <text>
        <r>
          <rPr>
            <b/>
            <sz val="9"/>
            <color indexed="81"/>
            <rFont val="Tahoma"/>
            <family val="2"/>
          </rPr>
          <t>&lt;[[DEVDeals] - [Associated TC Deal (Seq: 1)] - [TC Property Current Stage (Seq: 1)] - [Unit Mix (Seq: 24)] Net Rentable Sq Ft - Both]&gt;</t>
        </r>
      </text>
    </comment>
    <comment ref="AI318" authorId="0" shapeId="0" xr:uid="{52EEDDA9-EBC3-4AC0-8AD5-EF7038FD62CA}">
      <text>
        <r>
          <rPr>
            <b/>
            <sz val="9"/>
            <color indexed="81"/>
            <rFont val="Tahoma"/>
            <family val="2"/>
          </rPr>
          <t>&lt;[[DEVDeals] - [Associated TC Deal (Seq: 1)] - [TC Property Current Stage (Seq: 1)] - [Unit Mix (Seq: 24)] Monthly Rent Per Unit - Both]&gt;</t>
        </r>
      </text>
    </comment>
    <comment ref="Q319" authorId="0" shapeId="0" xr:uid="{0BC9A1AF-2776-4D59-B665-A33CB702F91E}">
      <text>
        <r>
          <rPr>
            <b/>
            <sz val="9"/>
            <color indexed="81"/>
            <rFont val="Tahoma"/>
            <family val="2"/>
          </rPr>
          <t>&lt;[[DEVDeals] - [Deal Property (Seq: 1)] - [Locations (Seq: 1)] - [Unit Mix (Seq: 25)] Unit Mix Ami Percent - Both]&gt;</t>
        </r>
      </text>
    </comment>
    <comment ref="R319" authorId="0" shapeId="0" xr:uid="{9C918825-6D57-49C1-B051-B7E8E85DD94D}">
      <text>
        <r>
          <rPr>
            <b/>
            <sz val="9"/>
            <color indexed="81"/>
            <rFont val="Tahoma"/>
            <family val="2"/>
          </rPr>
          <t>&lt;[[DEVDeals] - [Deal Property (Seq: 1)] - [Locations (Seq: 1)] - [Unit Mix (Seq: 25)] Unit Type - Both]&gt;</t>
        </r>
      </text>
    </comment>
    <comment ref="S319" authorId="0" shapeId="0" xr:uid="{3A38170B-D592-49FC-B545-8DAB9E69EC6E}">
      <text>
        <r>
          <rPr>
            <b/>
            <sz val="9"/>
            <color indexed="81"/>
            <rFont val="Tahoma"/>
            <family val="2"/>
          </rPr>
          <t>&lt;[[DEVDeals] - [Deal Property (Seq: 1)] - [Locations (Seq: 1)] - [Unit Mix (Seq: 25)] - [Unit Mix - User Defined Field Values (Seq: 1)] Rent Information - Bathroom Count - Both]&gt;</t>
        </r>
      </text>
    </comment>
    <comment ref="T319" authorId="0" shapeId="0" xr:uid="{85388E39-BAD6-4694-8D9E-FE6955AC4D74}">
      <text>
        <r>
          <rPr>
            <b/>
            <sz val="9"/>
            <color indexed="81"/>
            <rFont val="Tahoma"/>
            <family val="2"/>
          </rPr>
          <t>&lt;[[DEVDeals] - [Deal Property (Seq: 1)] - [Locations (Seq: 1)] - [Unit Mix (Seq: 25)] Num Units - Both]&gt;</t>
        </r>
      </text>
    </comment>
    <comment ref="U319" authorId="0" shapeId="0" xr:uid="{73556AA3-A37C-41D8-9C5A-D2B0128CDBA2}">
      <text>
        <r>
          <rPr>
            <b/>
            <sz val="9"/>
            <color indexed="81"/>
            <rFont val="Tahoma"/>
            <family val="2"/>
          </rPr>
          <t>&lt;[[DEVDeals] - [Deal Property (Seq: 1)] - [Locations (Seq: 1)] - [Unit Mix (Seq: 25)] Square Footage - Both]&gt;</t>
        </r>
      </text>
    </comment>
    <comment ref="V319" authorId="0" shapeId="0" xr:uid="{0F82F648-CBE4-4270-A57E-A057D4AFE9B9}">
      <text>
        <r>
          <rPr>
            <b/>
            <sz val="9"/>
            <color indexed="81"/>
            <rFont val="Tahoma"/>
            <family val="2"/>
          </rPr>
          <t>&lt;[[DEVDeals] - [Deal Property (Seq: 1)] - [Locations (Seq: 1)] - [Unit Mix (Seq: 25)] Estimated Tenant Paid Utilities - Both]&gt;</t>
        </r>
      </text>
    </comment>
    <comment ref="W319" authorId="0" shapeId="0" xr:uid="{A360D78C-0E4E-4031-A207-E6A751539792}">
      <text>
        <r>
          <rPr>
            <b/>
            <sz val="9"/>
            <color indexed="81"/>
            <rFont val="Tahoma"/>
            <family val="2"/>
          </rPr>
          <t>&lt;[[DEVDeals] - [Deal Property (Seq: 1)] - [Locations (Seq: 1)] - [Unit Mix (Seq: 25)] - [Unit Mix - User Defined Field Values (Seq: 1)] Rent Information - Resident Paid Rent - Both]&gt;</t>
        </r>
      </text>
    </comment>
    <comment ref="X319" authorId="0" shapeId="0" xr:uid="{06895FBA-82D5-46E5-A419-86094666C980}">
      <text>
        <r>
          <rPr>
            <b/>
            <sz val="9"/>
            <color indexed="81"/>
            <rFont val="Tahoma"/>
            <family val="2"/>
          </rPr>
          <t>&lt;[[DEVDeals] - [Deal Property (Seq: 1)] - [Locations (Seq: 1)] - [Unit Mix (Seq: 25)] - [Unit Mix - User Defined Field Values (Seq: 1)] Rent Information - Rent Subsidy - Both]&gt;</t>
        </r>
      </text>
    </comment>
    <comment ref="Y319" authorId="0" shapeId="0" xr:uid="{1D37D648-C321-4372-AFA2-C8963AF709EE}">
      <text>
        <r>
          <rPr>
            <b/>
            <sz val="9"/>
            <color indexed="81"/>
            <rFont val="Tahoma"/>
            <family val="2"/>
          </rPr>
          <t>&lt;[[DEVDeals] - [Deal Property (Seq: 1)] - [Locations (Seq: 1)] - [Unit Mix (Seq: 25)] Notes - Both]&gt;</t>
        </r>
      </text>
    </comment>
    <comment ref="Z319" authorId="0" shapeId="0" xr:uid="{96555144-613B-4210-9094-2E8F4CBF485C}">
      <text>
        <r>
          <rPr>
            <b/>
            <sz val="9"/>
            <color indexed="81"/>
            <rFont val="Tahoma"/>
            <family val="2"/>
          </rPr>
          <t>&lt;[[DEVDeals] - [Deal Property (Seq: 1)] - [Locations (Seq: 1)] - [Unit Mix (Seq: 25)] Base Rent - Both]&gt;</t>
        </r>
      </text>
    </comment>
    <comment ref="AA319" authorId="0" shapeId="0" xr:uid="{91D31668-C0BC-4F4E-947F-97341965467A}">
      <text>
        <r>
          <rPr>
            <b/>
            <sz val="9"/>
            <color indexed="81"/>
            <rFont val="Tahoma"/>
            <family val="2"/>
          </rPr>
          <t>&lt;[[DEVDeals] - [Deal Property (Seq: 1)] - [Locations (Seq: 1)] - [Unit Mix (Seq: 25)] - [Unit Mix - User Defined Field Values (Seq: 1)] Rent Information - UFAS Unit - Both]&gt;</t>
        </r>
      </text>
    </comment>
    <comment ref="AB319" authorId="0" shapeId="0" xr:uid="{90C7BC45-E1A2-40D1-9816-0E5DD2E7BFC3}">
      <text>
        <r>
          <rPr>
            <b/>
            <sz val="9"/>
            <color indexed="81"/>
            <rFont val="Tahoma"/>
            <family val="2"/>
          </rPr>
          <t>&lt;[[DEVDeals] - [Deal Property (Seq: 1)] - [Locations (Seq: 1)] - [Unit Mix (Seq: 25)] - [Unit Mix - User Defined Field Values (Seq: 1)] Rent Information - Visitable Unit - Both]&gt;</t>
        </r>
      </text>
    </comment>
    <comment ref="AE319" authorId="0" shapeId="0" xr:uid="{C850740A-06F1-4A04-B729-65D68F9AA230}">
      <text>
        <r>
          <rPr>
            <b/>
            <sz val="9"/>
            <color indexed="81"/>
            <rFont val="Tahoma"/>
            <family val="2"/>
          </rPr>
          <t>&lt;[[DEVDeals] - [Associated TC Deal (Seq: 1)] - [TC Property Current Stage (Seq: 1)] - [Unit Mix (Seq: 25)] Income Target - Both]&gt;</t>
        </r>
      </text>
    </comment>
    <comment ref="AF319" authorId="0" shapeId="0" xr:uid="{D2DDEC41-58BC-42AE-B54A-37213C6CAF27}">
      <text>
        <r>
          <rPr>
            <b/>
            <sz val="9"/>
            <color indexed="81"/>
            <rFont val="Tahoma"/>
            <family val="2"/>
          </rPr>
          <t>&lt;[[DEVDeals] - [Associated TC Deal (Seq: 1)] - [TC Property Current Stage (Seq: 1)] - [Unit Mix (Seq: 25)] TC Unit Mix Type - Both]&gt;</t>
        </r>
      </text>
    </comment>
    <comment ref="AG319" authorId="0" shapeId="0" xr:uid="{0848442D-AA20-43D7-8B05-0968C12944E3}">
      <text>
        <r>
          <rPr>
            <b/>
            <sz val="9"/>
            <color indexed="81"/>
            <rFont val="Tahoma"/>
            <family val="2"/>
          </rPr>
          <t>&lt;[[DEVDeals] - [Associated TC Deal (Seq: 1)] - [TC Property Current Stage (Seq: 1)] - [Unit Mix (Seq: 25)] Num Units - Both]&gt;</t>
        </r>
      </text>
    </comment>
    <comment ref="AH319" authorId="0" shapeId="0" xr:uid="{F31ECF17-F61F-4447-A38D-F5853456F63B}">
      <text>
        <r>
          <rPr>
            <b/>
            <sz val="9"/>
            <color indexed="81"/>
            <rFont val="Tahoma"/>
            <family val="2"/>
          </rPr>
          <t>&lt;[[DEVDeals] - [Associated TC Deal (Seq: 1)] - [TC Property Current Stage (Seq: 1)] - [Unit Mix (Seq: 25)] Net Rentable Sq Ft - Both]&gt;</t>
        </r>
      </text>
    </comment>
    <comment ref="AI319" authorId="0" shapeId="0" xr:uid="{E8EBA9D9-8FB6-4B21-A083-2D8AF6249400}">
      <text>
        <r>
          <rPr>
            <b/>
            <sz val="9"/>
            <color indexed="81"/>
            <rFont val="Tahoma"/>
            <family val="2"/>
          </rPr>
          <t>&lt;[[DEVDeals] - [Associated TC Deal (Seq: 1)] - [TC Property Current Stage (Seq: 1)] - [Unit Mix (Seq: 25)] Monthly Rent Per Unit - Both]&gt;</t>
        </r>
      </text>
    </comment>
    <comment ref="Q320" authorId="0" shapeId="0" xr:uid="{99984349-4984-441B-8400-7827E344157E}">
      <text>
        <r>
          <rPr>
            <b/>
            <sz val="9"/>
            <color indexed="81"/>
            <rFont val="Tahoma"/>
            <family val="2"/>
          </rPr>
          <t>&lt;[[DEVDeals] - [Deal Property (Seq: 1)] - [Locations (Seq: 1)] - [Unit Mix (Seq: 26)] Unit Mix Ami Percent - Both]&gt;</t>
        </r>
      </text>
    </comment>
    <comment ref="R320" authorId="0" shapeId="0" xr:uid="{21303FAA-D506-41C3-ABB1-7DA4C989F05F}">
      <text>
        <r>
          <rPr>
            <b/>
            <sz val="9"/>
            <color indexed="81"/>
            <rFont val="Tahoma"/>
            <family val="2"/>
          </rPr>
          <t>&lt;[[DEVDeals] - [Deal Property (Seq: 1)] - [Locations (Seq: 1)] - [Unit Mix (Seq: 26)] Unit Type - Both]&gt;</t>
        </r>
      </text>
    </comment>
    <comment ref="S320" authorId="0" shapeId="0" xr:uid="{230A2CA1-FCB5-4239-8E4B-A5C79740F963}">
      <text>
        <r>
          <rPr>
            <b/>
            <sz val="9"/>
            <color indexed="81"/>
            <rFont val="Tahoma"/>
            <family val="2"/>
          </rPr>
          <t>&lt;[[DEVDeals] - [Deal Property (Seq: 1)] - [Locations (Seq: 1)] - [Unit Mix (Seq: 26)] - [Unit Mix - User Defined Field Values (Seq: 1)] Rent Information - Bathroom Count - Both]&gt;</t>
        </r>
      </text>
    </comment>
    <comment ref="T320" authorId="0" shapeId="0" xr:uid="{7E9C4AD9-1215-44A9-B61D-D6F5BD92EB14}">
      <text>
        <r>
          <rPr>
            <b/>
            <sz val="9"/>
            <color indexed="81"/>
            <rFont val="Tahoma"/>
            <family val="2"/>
          </rPr>
          <t>&lt;[[DEVDeals] - [Deal Property (Seq: 1)] - [Locations (Seq: 1)] - [Unit Mix (Seq: 26)] Num Units - Both]&gt;</t>
        </r>
      </text>
    </comment>
    <comment ref="U320" authorId="0" shapeId="0" xr:uid="{E61574FE-76B0-4B0B-B0DB-653070FF7434}">
      <text>
        <r>
          <rPr>
            <b/>
            <sz val="9"/>
            <color indexed="81"/>
            <rFont val="Tahoma"/>
            <family val="2"/>
          </rPr>
          <t>&lt;[[DEVDeals] - [Deal Property (Seq: 1)] - [Locations (Seq: 1)] - [Unit Mix (Seq: 26)] Square Footage - Both]&gt;</t>
        </r>
      </text>
    </comment>
    <comment ref="V320" authorId="0" shapeId="0" xr:uid="{1A536AF2-6D4A-4CDD-B3CE-47474304DC03}">
      <text>
        <r>
          <rPr>
            <b/>
            <sz val="9"/>
            <color indexed="81"/>
            <rFont val="Tahoma"/>
            <family val="2"/>
          </rPr>
          <t>&lt;[[DEVDeals] - [Deal Property (Seq: 1)] - [Locations (Seq: 1)] - [Unit Mix (Seq: 26)] Estimated Tenant Paid Utilities - Both]&gt;</t>
        </r>
      </text>
    </comment>
    <comment ref="W320" authorId="0" shapeId="0" xr:uid="{6362F995-2ECA-4E44-935D-261C8282D743}">
      <text>
        <r>
          <rPr>
            <b/>
            <sz val="9"/>
            <color indexed="81"/>
            <rFont val="Tahoma"/>
            <family val="2"/>
          </rPr>
          <t>&lt;[[DEVDeals] - [Deal Property (Seq: 1)] - [Locations (Seq: 1)] - [Unit Mix (Seq: 26)] - [Unit Mix - User Defined Field Values (Seq: 1)] Rent Information - Resident Paid Rent - Both]&gt;</t>
        </r>
      </text>
    </comment>
    <comment ref="X320" authorId="0" shapeId="0" xr:uid="{A0AFAAA0-717C-4C6C-8C81-ED8C9C8E0143}">
      <text>
        <r>
          <rPr>
            <b/>
            <sz val="9"/>
            <color indexed="81"/>
            <rFont val="Tahoma"/>
            <family val="2"/>
          </rPr>
          <t>&lt;[[DEVDeals] - [Deal Property (Seq: 1)] - [Locations (Seq: 1)] - [Unit Mix (Seq: 26)] - [Unit Mix - User Defined Field Values (Seq: 1)] Rent Information - Rent Subsidy - Both]&gt;</t>
        </r>
      </text>
    </comment>
    <comment ref="Y320" authorId="0" shapeId="0" xr:uid="{06C57A61-A9C4-4B46-8285-5770280B27EB}">
      <text>
        <r>
          <rPr>
            <b/>
            <sz val="9"/>
            <color indexed="81"/>
            <rFont val="Tahoma"/>
            <family val="2"/>
          </rPr>
          <t>&lt;[[DEVDeals] - [Deal Property (Seq: 1)] - [Locations (Seq: 1)] - [Unit Mix (Seq: 26)] Notes - Both]&gt;</t>
        </r>
      </text>
    </comment>
    <comment ref="Z320" authorId="0" shapeId="0" xr:uid="{D865F833-AC12-45F8-AF23-0A836C5FF321}">
      <text>
        <r>
          <rPr>
            <b/>
            <sz val="9"/>
            <color indexed="81"/>
            <rFont val="Tahoma"/>
            <family val="2"/>
          </rPr>
          <t>&lt;[[DEVDeals] - [Deal Property (Seq: 1)] - [Locations (Seq: 1)] - [Unit Mix (Seq: 26)] Base Rent - Both]&gt;</t>
        </r>
      </text>
    </comment>
    <comment ref="AA320" authorId="0" shapeId="0" xr:uid="{1D73AE65-3A91-4B00-AC6B-D5D4C1E79137}">
      <text>
        <r>
          <rPr>
            <b/>
            <sz val="9"/>
            <color indexed="81"/>
            <rFont val="Tahoma"/>
            <family val="2"/>
          </rPr>
          <t>&lt;[[DEVDeals] - [Deal Property (Seq: 1)] - [Locations (Seq: 1)] - [Unit Mix (Seq: 26)] - [Unit Mix - User Defined Field Values (Seq: 1)] Rent Information - UFAS Unit - Both]&gt;</t>
        </r>
      </text>
    </comment>
    <comment ref="AB320" authorId="0" shapeId="0" xr:uid="{9948F3CB-F823-4644-A15C-98258ED2342E}">
      <text>
        <r>
          <rPr>
            <b/>
            <sz val="9"/>
            <color indexed="81"/>
            <rFont val="Tahoma"/>
            <family val="2"/>
          </rPr>
          <t>&lt;[[DEVDeals] - [Deal Property (Seq: 1)] - [Locations (Seq: 1)] - [Unit Mix (Seq: 26)] - [Unit Mix - User Defined Field Values (Seq: 1)] Rent Information - Visitable Unit - Both]&gt;</t>
        </r>
      </text>
    </comment>
    <comment ref="AE320" authorId="0" shapeId="0" xr:uid="{DCFF49E7-06FD-475E-A854-83F8ED20C7FB}">
      <text>
        <r>
          <rPr>
            <b/>
            <sz val="9"/>
            <color indexed="81"/>
            <rFont val="Tahoma"/>
            <family val="2"/>
          </rPr>
          <t>&lt;[[DEVDeals] - [Associated TC Deal (Seq: 1)] - [TC Property Current Stage (Seq: 1)] - [Unit Mix (Seq: 26)] Income Target - Both]&gt;</t>
        </r>
      </text>
    </comment>
    <comment ref="AF320" authorId="0" shapeId="0" xr:uid="{C3D58E59-29D4-4201-B9F1-962AB3E9B73A}">
      <text>
        <r>
          <rPr>
            <b/>
            <sz val="9"/>
            <color indexed="81"/>
            <rFont val="Tahoma"/>
            <family val="2"/>
          </rPr>
          <t>&lt;[[DEVDeals] - [Associated TC Deal (Seq: 1)] - [TC Property Current Stage (Seq: 1)] - [Unit Mix (Seq: 26)] TC Unit Mix Type - Both]&gt;</t>
        </r>
      </text>
    </comment>
    <comment ref="AG320" authorId="0" shapeId="0" xr:uid="{6A143067-B75A-4F51-A9F6-02DF7009A54C}">
      <text>
        <r>
          <rPr>
            <b/>
            <sz val="9"/>
            <color indexed="81"/>
            <rFont val="Tahoma"/>
            <family val="2"/>
          </rPr>
          <t>&lt;[[DEVDeals] - [Associated TC Deal (Seq: 1)] - [TC Property Current Stage (Seq: 1)] - [Unit Mix (Seq: 26)] Num Units - Both]&gt;</t>
        </r>
      </text>
    </comment>
    <comment ref="AH320" authorId="0" shapeId="0" xr:uid="{241795D7-C828-4591-B668-70B7E9985529}">
      <text>
        <r>
          <rPr>
            <b/>
            <sz val="9"/>
            <color indexed="81"/>
            <rFont val="Tahoma"/>
            <family val="2"/>
          </rPr>
          <t>&lt;[[DEVDeals] - [Associated TC Deal (Seq: 1)] - [TC Property Current Stage (Seq: 1)] - [Unit Mix (Seq: 26)] Net Rentable Sq Ft - Both]&gt;</t>
        </r>
      </text>
    </comment>
    <comment ref="AI320" authorId="0" shapeId="0" xr:uid="{675A4A4A-6F39-4087-AAA1-8AD96A3A5B87}">
      <text>
        <r>
          <rPr>
            <b/>
            <sz val="9"/>
            <color indexed="81"/>
            <rFont val="Tahoma"/>
            <family val="2"/>
          </rPr>
          <t>&lt;[[DEVDeals] - [Associated TC Deal (Seq: 1)] - [TC Property Current Stage (Seq: 1)] - [Unit Mix (Seq: 26)] Monthly Rent Per Unit - Both]&gt;</t>
        </r>
      </text>
    </comment>
    <comment ref="Q321" authorId="0" shapeId="0" xr:uid="{B37CA3E5-40A6-40CC-A5D1-88CEF18449AE}">
      <text>
        <r>
          <rPr>
            <b/>
            <sz val="9"/>
            <color indexed="81"/>
            <rFont val="Tahoma"/>
            <family val="2"/>
          </rPr>
          <t>&lt;[[DEVDeals] - [Deal Property (Seq: 1)] - [Locations (Seq: 1)] - [Unit Mix (Seq: 27)] Unit Mix Ami Percent - Both]&gt;</t>
        </r>
      </text>
    </comment>
    <comment ref="R321" authorId="0" shapeId="0" xr:uid="{C06BD3A8-FDCA-48E5-B41C-9BA99181239B}">
      <text>
        <r>
          <rPr>
            <b/>
            <sz val="9"/>
            <color indexed="81"/>
            <rFont val="Tahoma"/>
            <family val="2"/>
          </rPr>
          <t>&lt;[[DEVDeals] - [Deal Property (Seq: 1)] - [Locations (Seq: 1)] - [Unit Mix (Seq: 27)] Unit Type - Both]&gt;</t>
        </r>
      </text>
    </comment>
    <comment ref="S321" authorId="0" shapeId="0" xr:uid="{41F926C4-40F2-49EB-AB89-B0B366138666}">
      <text>
        <r>
          <rPr>
            <b/>
            <sz val="9"/>
            <color indexed="81"/>
            <rFont val="Tahoma"/>
            <family val="2"/>
          </rPr>
          <t>&lt;[[DEVDeals] - [Deal Property (Seq: 1)] - [Locations (Seq: 1)] - [Unit Mix (Seq: 27)] - [Unit Mix - User Defined Field Values (Seq: 1)] Rent Information - Bathroom Count - Both]&gt;</t>
        </r>
      </text>
    </comment>
    <comment ref="T321" authorId="0" shapeId="0" xr:uid="{7EBBAB54-E7CA-4CED-97DE-3C3C011E3A78}">
      <text>
        <r>
          <rPr>
            <b/>
            <sz val="9"/>
            <color indexed="81"/>
            <rFont val="Tahoma"/>
            <family val="2"/>
          </rPr>
          <t>&lt;[[DEVDeals] - [Deal Property (Seq: 1)] - [Locations (Seq: 1)] - [Unit Mix (Seq: 27)] Num Units - Both]&gt;</t>
        </r>
      </text>
    </comment>
    <comment ref="U321" authorId="0" shapeId="0" xr:uid="{EAFB6C7F-82B5-470C-BC66-9B5C5CBB3587}">
      <text>
        <r>
          <rPr>
            <b/>
            <sz val="9"/>
            <color indexed="81"/>
            <rFont val="Tahoma"/>
            <family val="2"/>
          </rPr>
          <t>&lt;[[DEVDeals] - [Deal Property (Seq: 1)] - [Locations (Seq: 1)] - [Unit Mix (Seq: 27)] Square Footage - Both]&gt;</t>
        </r>
      </text>
    </comment>
    <comment ref="V321" authorId="0" shapeId="0" xr:uid="{F19A0533-23CB-4076-A8D0-EFCA81F519A2}">
      <text>
        <r>
          <rPr>
            <b/>
            <sz val="9"/>
            <color indexed="81"/>
            <rFont val="Tahoma"/>
            <family val="2"/>
          </rPr>
          <t>&lt;[[DEVDeals] - [Deal Property (Seq: 1)] - [Locations (Seq: 1)] - [Unit Mix (Seq: 27)] Estimated Tenant Paid Utilities - Both]&gt;</t>
        </r>
      </text>
    </comment>
    <comment ref="W321" authorId="0" shapeId="0" xr:uid="{352281E9-EC86-4370-BE4E-2627FEC6F271}">
      <text>
        <r>
          <rPr>
            <b/>
            <sz val="9"/>
            <color indexed="81"/>
            <rFont val="Tahoma"/>
            <family val="2"/>
          </rPr>
          <t>&lt;[[DEVDeals] - [Deal Property (Seq: 1)] - [Locations (Seq: 1)] - [Unit Mix (Seq: 27)] - [Unit Mix - User Defined Field Values (Seq: 1)] Rent Information - Resident Paid Rent - Both]&gt;</t>
        </r>
      </text>
    </comment>
    <comment ref="X321" authorId="0" shapeId="0" xr:uid="{829E7B64-1E67-4DC8-992A-B479AF0A6180}">
      <text>
        <r>
          <rPr>
            <b/>
            <sz val="9"/>
            <color indexed="81"/>
            <rFont val="Tahoma"/>
            <family val="2"/>
          </rPr>
          <t>&lt;[[DEVDeals] - [Deal Property (Seq: 1)] - [Locations (Seq: 1)] - [Unit Mix (Seq: 27)] - [Unit Mix - User Defined Field Values (Seq: 1)] Rent Information - Rent Subsidy - Both]&gt;</t>
        </r>
      </text>
    </comment>
    <comment ref="Y321" authorId="0" shapeId="0" xr:uid="{CCA7652B-919E-4D4A-959E-D7DC6A75CD21}">
      <text>
        <r>
          <rPr>
            <b/>
            <sz val="9"/>
            <color indexed="81"/>
            <rFont val="Tahoma"/>
            <family val="2"/>
          </rPr>
          <t>&lt;[[DEVDeals] - [Deal Property (Seq: 1)] - [Locations (Seq: 1)] - [Unit Mix (Seq: 27)] Notes - Both]&gt;</t>
        </r>
      </text>
    </comment>
    <comment ref="Z321" authorId="0" shapeId="0" xr:uid="{CF52C8AF-A7D0-4F5E-8DD9-1A034B31C418}">
      <text>
        <r>
          <rPr>
            <b/>
            <sz val="9"/>
            <color indexed="81"/>
            <rFont val="Tahoma"/>
            <family val="2"/>
          </rPr>
          <t>&lt;[[DEVDeals] - [Deal Property (Seq: 1)] - [Locations (Seq: 1)] - [Unit Mix (Seq: 27)] Base Rent - Both]&gt;</t>
        </r>
      </text>
    </comment>
    <comment ref="AA321" authorId="0" shapeId="0" xr:uid="{D3EF3DED-D6DF-422E-B299-31F1474631E3}">
      <text>
        <r>
          <rPr>
            <b/>
            <sz val="9"/>
            <color indexed="81"/>
            <rFont val="Tahoma"/>
            <family val="2"/>
          </rPr>
          <t>&lt;[[DEVDeals] - [Deal Property (Seq: 1)] - [Locations (Seq: 1)] - [Unit Mix (Seq: 27)] - [Unit Mix - User Defined Field Values (Seq: 1)] Rent Information - UFAS Unit - Both]&gt;</t>
        </r>
      </text>
    </comment>
    <comment ref="AB321" authorId="0" shapeId="0" xr:uid="{2B009EF3-F5DF-481B-B9A3-0021AC73DC2E}">
      <text>
        <r>
          <rPr>
            <b/>
            <sz val="9"/>
            <color indexed="81"/>
            <rFont val="Tahoma"/>
            <family val="2"/>
          </rPr>
          <t>&lt;[[DEVDeals] - [Deal Property (Seq: 1)] - [Locations (Seq: 1)] - [Unit Mix (Seq: 27)] - [Unit Mix - User Defined Field Values (Seq: 1)] Rent Information - Visitable Unit - Both]&gt;</t>
        </r>
      </text>
    </comment>
    <comment ref="AE321" authorId="0" shapeId="0" xr:uid="{CCF58EBA-AFA4-4DBF-9EA0-C4BE93F78D81}">
      <text>
        <r>
          <rPr>
            <b/>
            <sz val="9"/>
            <color indexed="81"/>
            <rFont val="Tahoma"/>
            <family val="2"/>
          </rPr>
          <t>&lt;[[DEVDeals] - [Associated TC Deal (Seq: 1)] - [TC Property Current Stage (Seq: 1)] - [Unit Mix (Seq: 27)] Income Target - Both]&gt;</t>
        </r>
      </text>
    </comment>
    <comment ref="AF321" authorId="0" shapeId="0" xr:uid="{C5107963-C96A-4A34-B3CE-C2D58D79EAFB}">
      <text>
        <r>
          <rPr>
            <b/>
            <sz val="9"/>
            <color indexed="81"/>
            <rFont val="Tahoma"/>
            <family val="2"/>
          </rPr>
          <t>&lt;[[DEVDeals] - [Associated TC Deal (Seq: 1)] - [TC Property Current Stage (Seq: 1)] - [Unit Mix (Seq: 27)] TC Unit Mix Type - Both]&gt;</t>
        </r>
      </text>
    </comment>
    <comment ref="AG321" authorId="0" shapeId="0" xr:uid="{9AE20044-4F44-4AE9-9F4F-9D37F4987869}">
      <text>
        <r>
          <rPr>
            <b/>
            <sz val="9"/>
            <color indexed="81"/>
            <rFont val="Tahoma"/>
            <family val="2"/>
          </rPr>
          <t>&lt;[[DEVDeals] - [Associated TC Deal (Seq: 1)] - [TC Property Current Stage (Seq: 1)] - [Unit Mix (Seq: 27)] Num Units - Both]&gt;</t>
        </r>
      </text>
    </comment>
    <comment ref="AH321" authorId="0" shapeId="0" xr:uid="{9C5D6E1C-60CA-41D6-AE29-8DC27C4BC9F6}">
      <text>
        <r>
          <rPr>
            <b/>
            <sz val="9"/>
            <color indexed="81"/>
            <rFont val="Tahoma"/>
            <family val="2"/>
          </rPr>
          <t>&lt;[[DEVDeals] - [Associated TC Deal (Seq: 1)] - [TC Property Current Stage (Seq: 1)] - [Unit Mix (Seq: 27)] Net Rentable Sq Ft - Both]&gt;</t>
        </r>
      </text>
    </comment>
    <comment ref="AI321" authorId="0" shapeId="0" xr:uid="{3F4414BC-47FF-4E8A-8840-9D16B36C0D50}">
      <text>
        <r>
          <rPr>
            <b/>
            <sz val="9"/>
            <color indexed="81"/>
            <rFont val="Tahoma"/>
            <family val="2"/>
          </rPr>
          <t>&lt;[[DEVDeals] - [Associated TC Deal (Seq: 1)] - [TC Property Current Stage (Seq: 1)] - [Unit Mix (Seq: 27)] Monthly Rent Per Unit - Both]&gt;</t>
        </r>
      </text>
    </comment>
    <comment ref="Q322" authorId="0" shapeId="0" xr:uid="{BB96C921-2D79-45B7-9DF6-61D82FBA7D22}">
      <text>
        <r>
          <rPr>
            <b/>
            <sz val="9"/>
            <color indexed="81"/>
            <rFont val="Tahoma"/>
            <family val="2"/>
          </rPr>
          <t>&lt;[[DEVDeals] - [Deal Property (Seq: 1)] - [Locations (Seq: 1)] - [Unit Mix (Seq: 28)] Unit Mix Ami Percent - Both]&gt;</t>
        </r>
      </text>
    </comment>
    <comment ref="R322" authorId="0" shapeId="0" xr:uid="{E855EB35-FEA2-422B-85A3-34FD8DCB3887}">
      <text>
        <r>
          <rPr>
            <b/>
            <sz val="9"/>
            <color indexed="81"/>
            <rFont val="Tahoma"/>
            <family val="2"/>
          </rPr>
          <t>&lt;[[DEVDeals] - [Deal Property (Seq: 1)] - [Locations (Seq: 1)] - [Unit Mix (Seq: 28)] Unit Type - Both]&gt;</t>
        </r>
      </text>
    </comment>
    <comment ref="S322" authorId="0" shapeId="0" xr:uid="{4A2581D6-BD9D-4B1B-AE8F-7AD94E76BB94}">
      <text>
        <r>
          <rPr>
            <b/>
            <sz val="9"/>
            <color indexed="81"/>
            <rFont val="Tahoma"/>
            <family val="2"/>
          </rPr>
          <t>&lt;[[DEVDeals] - [Deal Property (Seq: 1)] - [Locations (Seq: 1)] - [Unit Mix (Seq: 28)] - [Unit Mix - User Defined Field Values (Seq: 1)] Rent Information - Bathroom Count - Both]&gt;</t>
        </r>
      </text>
    </comment>
    <comment ref="T322" authorId="0" shapeId="0" xr:uid="{7B101503-43C5-45F1-BF56-B8C7913AB75A}">
      <text>
        <r>
          <rPr>
            <b/>
            <sz val="9"/>
            <color indexed="81"/>
            <rFont val="Tahoma"/>
            <family val="2"/>
          </rPr>
          <t>&lt;[[DEVDeals] - [Deal Property (Seq: 1)] - [Locations (Seq: 1)] - [Unit Mix (Seq: 28)] Num Units - Both]&gt;</t>
        </r>
      </text>
    </comment>
    <comment ref="U322" authorId="0" shapeId="0" xr:uid="{2542F2CA-1ED8-476F-8E96-319F74421026}">
      <text>
        <r>
          <rPr>
            <b/>
            <sz val="9"/>
            <color indexed="81"/>
            <rFont val="Tahoma"/>
            <family val="2"/>
          </rPr>
          <t>&lt;[[DEVDeals] - [Deal Property (Seq: 1)] - [Locations (Seq: 1)] - [Unit Mix (Seq: 28)] Square Footage - Both]&gt;</t>
        </r>
      </text>
    </comment>
    <comment ref="V322" authorId="0" shapeId="0" xr:uid="{B9B94DCC-2F88-4A32-9B72-61153EE0002F}">
      <text>
        <r>
          <rPr>
            <b/>
            <sz val="9"/>
            <color indexed="81"/>
            <rFont val="Tahoma"/>
            <family val="2"/>
          </rPr>
          <t>&lt;[[DEVDeals] - [Deal Property (Seq: 1)] - [Locations (Seq: 1)] - [Unit Mix (Seq: 28)] Estimated Tenant Paid Utilities - Both]&gt;</t>
        </r>
      </text>
    </comment>
    <comment ref="W322" authorId="0" shapeId="0" xr:uid="{A92134A5-D74F-4736-893C-DBFB200657FE}">
      <text>
        <r>
          <rPr>
            <b/>
            <sz val="9"/>
            <color indexed="81"/>
            <rFont val="Tahoma"/>
            <family val="2"/>
          </rPr>
          <t>&lt;[[DEVDeals] - [Deal Property (Seq: 1)] - [Locations (Seq: 1)] - [Unit Mix (Seq: 28)] - [Unit Mix - User Defined Field Values (Seq: 1)] Rent Information - Resident Paid Rent - Both]&gt;</t>
        </r>
      </text>
    </comment>
    <comment ref="X322" authorId="0" shapeId="0" xr:uid="{89548978-968A-462D-9553-2D16D849163A}">
      <text>
        <r>
          <rPr>
            <b/>
            <sz val="9"/>
            <color indexed="81"/>
            <rFont val="Tahoma"/>
            <family val="2"/>
          </rPr>
          <t>&lt;[[DEVDeals] - [Deal Property (Seq: 1)] - [Locations (Seq: 1)] - [Unit Mix (Seq: 28)] - [Unit Mix - User Defined Field Values (Seq: 1)] Rent Information - Rent Subsidy - Both]&gt;</t>
        </r>
      </text>
    </comment>
    <comment ref="Y322" authorId="0" shapeId="0" xr:uid="{54CC978B-FF2E-44BE-A660-357D7967F8A6}">
      <text>
        <r>
          <rPr>
            <b/>
            <sz val="9"/>
            <color indexed="81"/>
            <rFont val="Tahoma"/>
            <family val="2"/>
          </rPr>
          <t>&lt;[[DEVDeals] - [Deal Property (Seq: 1)] - [Locations (Seq: 1)] - [Unit Mix (Seq: 28)] Notes - Both]&gt;</t>
        </r>
      </text>
    </comment>
    <comment ref="Z322" authorId="0" shapeId="0" xr:uid="{19CF1B77-82D6-4F4D-9C51-5B486F88F608}">
      <text>
        <r>
          <rPr>
            <b/>
            <sz val="9"/>
            <color indexed="81"/>
            <rFont val="Tahoma"/>
            <family val="2"/>
          </rPr>
          <t>&lt;[[DEVDeals] - [Deal Property (Seq: 1)] - [Locations (Seq: 1)] - [Unit Mix (Seq: 28)] Base Rent - Both]&gt;</t>
        </r>
      </text>
    </comment>
    <comment ref="AA322" authorId="0" shapeId="0" xr:uid="{3CBF97FE-FEF0-4E1E-B776-7143056CC34C}">
      <text>
        <r>
          <rPr>
            <b/>
            <sz val="9"/>
            <color indexed="81"/>
            <rFont val="Tahoma"/>
            <family val="2"/>
          </rPr>
          <t>&lt;[[DEVDeals] - [Deal Property (Seq: 1)] - [Locations (Seq: 1)] - [Unit Mix (Seq: 28)] - [Unit Mix - User Defined Field Values (Seq: 1)] Rent Information - UFAS Unit - Both]&gt;</t>
        </r>
      </text>
    </comment>
    <comment ref="AB322" authorId="0" shapeId="0" xr:uid="{092A485A-660F-4022-9663-91A810F9E0E3}">
      <text>
        <r>
          <rPr>
            <b/>
            <sz val="9"/>
            <color indexed="81"/>
            <rFont val="Tahoma"/>
            <family val="2"/>
          </rPr>
          <t>&lt;[[DEVDeals] - [Deal Property (Seq: 1)] - [Locations (Seq: 1)] - [Unit Mix (Seq: 28)] - [Unit Mix - User Defined Field Values (Seq: 1)] Rent Information - Visitable Unit - Both]&gt;</t>
        </r>
      </text>
    </comment>
    <comment ref="AE322" authorId="0" shapeId="0" xr:uid="{9D38494D-31B2-4022-A237-589CF7EF0A0D}">
      <text>
        <r>
          <rPr>
            <b/>
            <sz val="9"/>
            <color indexed="81"/>
            <rFont val="Tahoma"/>
            <family val="2"/>
          </rPr>
          <t>&lt;[[DEVDeals] - [Associated TC Deal (Seq: 1)] - [TC Property Current Stage (Seq: 1)] - [Unit Mix (Seq: 28)] Income Target - Both]&gt;</t>
        </r>
      </text>
    </comment>
    <comment ref="AF322" authorId="0" shapeId="0" xr:uid="{46907B23-48BB-45B2-9772-A0C103BF9998}">
      <text>
        <r>
          <rPr>
            <b/>
            <sz val="9"/>
            <color indexed="81"/>
            <rFont val="Tahoma"/>
            <family val="2"/>
          </rPr>
          <t>&lt;[[DEVDeals] - [Associated TC Deal (Seq: 1)] - [TC Property Current Stage (Seq: 1)] - [Unit Mix (Seq: 28)] TC Unit Mix Type - Both]&gt;</t>
        </r>
      </text>
    </comment>
    <comment ref="AG322" authorId="0" shapeId="0" xr:uid="{D2A09D5E-5E79-4204-B525-FB8D5B54F707}">
      <text>
        <r>
          <rPr>
            <b/>
            <sz val="9"/>
            <color indexed="81"/>
            <rFont val="Tahoma"/>
            <family val="2"/>
          </rPr>
          <t>&lt;[[DEVDeals] - [Associated TC Deal (Seq: 1)] - [TC Property Current Stage (Seq: 1)] - [Unit Mix (Seq: 28)] Num Units - Both]&gt;</t>
        </r>
      </text>
    </comment>
    <comment ref="AH322" authorId="0" shapeId="0" xr:uid="{D1CF71E9-07EA-407C-BC00-3121D4B4DFEB}">
      <text>
        <r>
          <rPr>
            <b/>
            <sz val="9"/>
            <color indexed="81"/>
            <rFont val="Tahoma"/>
            <family val="2"/>
          </rPr>
          <t>&lt;[[DEVDeals] - [Associated TC Deal (Seq: 1)] - [TC Property Current Stage (Seq: 1)] - [Unit Mix (Seq: 28)] Net Rentable Sq Ft - Both]&gt;</t>
        </r>
      </text>
    </comment>
    <comment ref="AI322" authorId="0" shapeId="0" xr:uid="{A905DB11-569B-46F5-8D8D-E1C5612E26E3}">
      <text>
        <r>
          <rPr>
            <b/>
            <sz val="9"/>
            <color indexed="81"/>
            <rFont val="Tahoma"/>
            <family val="2"/>
          </rPr>
          <t>&lt;[[DEVDeals] - [Associated TC Deal (Seq: 1)] - [TC Property Current Stage (Seq: 1)] - [Unit Mix (Seq: 28)] Monthly Rent Per Unit - Both]&gt;</t>
        </r>
      </text>
    </comment>
    <comment ref="Q323" authorId="0" shapeId="0" xr:uid="{C6EEE0EE-11A9-44C0-90AA-39C69E5B9E91}">
      <text>
        <r>
          <rPr>
            <b/>
            <sz val="9"/>
            <color indexed="81"/>
            <rFont val="Tahoma"/>
            <family val="2"/>
          </rPr>
          <t>&lt;[[DEVDeals] - [Deal Property (Seq: 1)] - [Locations (Seq: 1)] - [Unit Mix (Seq: 29)] Unit Mix Ami Percent - Both]&gt;</t>
        </r>
      </text>
    </comment>
    <comment ref="R323" authorId="0" shapeId="0" xr:uid="{BFC6AF4E-1601-4F11-9DF9-92EC956305F2}">
      <text>
        <r>
          <rPr>
            <b/>
            <sz val="9"/>
            <color indexed="81"/>
            <rFont val="Tahoma"/>
            <family val="2"/>
          </rPr>
          <t>&lt;[[DEVDeals] - [Deal Property (Seq: 1)] - [Locations (Seq: 1)] - [Unit Mix (Seq: 29)] Unit Type - Both]&gt;</t>
        </r>
      </text>
    </comment>
    <comment ref="S323" authorId="0" shapeId="0" xr:uid="{5C529B43-9F90-4DB9-AEFD-04C00B67CC04}">
      <text>
        <r>
          <rPr>
            <b/>
            <sz val="9"/>
            <color indexed="81"/>
            <rFont val="Tahoma"/>
            <family val="2"/>
          </rPr>
          <t>&lt;[[DEVDeals] - [Deal Property (Seq: 1)] - [Locations (Seq: 1)] - [Unit Mix (Seq: 29)] - [Unit Mix - User Defined Field Values (Seq: 1)] Rent Information - Bathroom Count - Both]&gt;</t>
        </r>
      </text>
    </comment>
    <comment ref="T323" authorId="0" shapeId="0" xr:uid="{788C5602-EBD1-4A70-A1AA-64A69A39B278}">
      <text>
        <r>
          <rPr>
            <b/>
            <sz val="9"/>
            <color indexed="81"/>
            <rFont val="Tahoma"/>
            <family val="2"/>
          </rPr>
          <t>&lt;[[DEVDeals] - [Deal Property (Seq: 1)] - [Locations (Seq: 1)] - [Unit Mix (Seq: 29)] Num Units - Both]&gt;</t>
        </r>
      </text>
    </comment>
    <comment ref="U323" authorId="0" shapeId="0" xr:uid="{CE4A4492-9A46-4E89-BC10-0A8503712EEC}">
      <text>
        <r>
          <rPr>
            <b/>
            <sz val="9"/>
            <color indexed="81"/>
            <rFont val="Tahoma"/>
            <family val="2"/>
          </rPr>
          <t>&lt;[[DEVDeals] - [Deal Property (Seq: 1)] - [Locations (Seq: 1)] - [Unit Mix (Seq: 29)] Square Footage - Both]&gt;</t>
        </r>
      </text>
    </comment>
    <comment ref="V323" authorId="0" shapeId="0" xr:uid="{89524044-2022-484C-8E50-AF447AEA540A}">
      <text>
        <r>
          <rPr>
            <b/>
            <sz val="9"/>
            <color indexed="81"/>
            <rFont val="Tahoma"/>
            <family val="2"/>
          </rPr>
          <t>&lt;[[DEVDeals] - [Deal Property (Seq: 1)] - [Locations (Seq: 1)] - [Unit Mix (Seq: 29)] Estimated Tenant Paid Utilities - Both]&gt;</t>
        </r>
      </text>
    </comment>
    <comment ref="W323" authorId="0" shapeId="0" xr:uid="{FE07926C-4891-4A78-8537-399A017D6011}">
      <text>
        <r>
          <rPr>
            <b/>
            <sz val="9"/>
            <color indexed="81"/>
            <rFont val="Tahoma"/>
            <family val="2"/>
          </rPr>
          <t>&lt;[[DEVDeals] - [Deal Property (Seq: 1)] - [Locations (Seq: 1)] - [Unit Mix (Seq: 29)] - [Unit Mix - User Defined Field Values (Seq: 1)] Rent Information - Resident Paid Rent - Both]&gt;</t>
        </r>
      </text>
    </comment>
    <comment ref="X323" authorId="0" shapeId="0" xr:uid="{69FF7047-1AD9-4163-B9AF-366EE4614E60}">
      <text>
        <r>
          <rPr>
            <b/>
            <sz val="9"/>
            <color indexed="81"/>
            <rFont val="Tahoma"/>
            <family val="2"/>
          </rPr>
          <t>&lt;[[DEVDeals] - [Deal Property (Seq: 1)] - [Locations (Seq: 1)] - [Unit Mix (Seq: 29)] - [Unit Mix - User Defined Field Values (Seq: 1)] Rent Information - Rent Subsidy - Both]&gt;</t>
        </r>
      </text>
    </comment>
    <comment ref="Y323" authorId="0" shapeId="0" xr:uid="{2170DB2C-07C7-4B55-9412-A9DF3A2F68FF}">
      <text>
        <r>
          <rPr>
            <b/>
            <sz val="9"/>
            <color indexed="81"/>
            <rFont val="Tahoma"/>
            <family val="2"/>
          </rPr>
          <t>&lt;[[DEVDeals] - [Deal Property (Seq: 1)] - [Locations (Seq: 1)] - [Unit Mix (Seq: 29)] Notes - Both]&gt;</t>
        </r>
      </text>
    </comment>
    <comment ref="Z323" authorId="0" shapeId="0" xr:uid="{FED1A9E3-A302-4675-B521-5368FAFEE004}">
      <text>
        <r>
          <rPr>
            <b/>
            <sz val="9"/>
            <color indexed="81"/>
            <rFont val="Tahoma"/>
            <family val="2"/>
          </rPr>
          <t>&lt;[[DEVDeals] - [Deal Property (Seq: 1)] - [Locations (Seq: 1)] - [Unit Mix (Seq: 29)] Base Rent - Both]&gt;</t>
        </r>
      </text>
    </comment>
    <comment ref="AA323" authorId="0" shapeId="0" xr:uid="{F0116C87-BBA0-4E1F-B400-0C4E5F345164}">
      <text>
        <r>
          <rPr>
            <b/>
            <sz val="9"/>
            <color indexed="81"/>
            <rFont val="Tahoma"/>
            <family val="2"/>
          </rPr>
          <t>&lt;[[DEVDeals] - [Deal Property (Seq: 1)] - [Locations (Seq: 1)] - [Unit Mix (Seq: 29)] - [Unit Mix - User Defined Field Values (Seq: 1)] Rent Information - UFAS Unit - Both]&gt;</t>
        </r>
      </text>
    </comment>
    <comment ref="AB323" authorId="0" shapeId="0" xr:uid="{CF1536C6-6410-45A9-AED3-1283DBCD5216}">
      <text>
        <r>
          <rPr>
            <b/>
            <sz val="9"/>
            <color indexed="81"/>
            <rFont val="Tahoma"/>
            <family val="2"/>
          </rPr>
          <t>&lt;[[DEVDeals] - [Deal Property (Seq: 1)] - [Locations (Seq: 1)] - [Unit Mix (Seq: 29)] - [Unit Mix - User Defined Field Values (Seq: 1)] Rent Information - Visitable Unit - Both]&gt;</t>
        </r>
      </text>
    </comment>
    <comment ref="AE323" authorId="0" shapeId="0" xr:uid="{01D63454-F809-4E74-9103-2291F5F7FF99}">
      <text>
        <r>
          <rPr>
            <b/>
            <sz val="9"/>
            <color indexed="81"/>
            <rFont val="Tahoma"/>
            <family val="2"/>
          </rPr>
          <t>&lt;[[DEVDeals] - [Associated TC Deal (Seq: 1)] - [TC Property Current Stage (Seq: 1)] - [Unit Mix (Seq: 29)] Income Target - Both]&gt;</t>
        </r>
      </text>
    </comment>
    <comment ref="AF323" authorId="0" shapeId="0" xr:uid="{89F004C1-A10F-4C0A-AA02-CDF2878658B2}">
      <text>
        <r>
          <rPr>
            <b/>
            <sz val="9"/>
            <color indexed="81"/>
            <rFont val="Tahoma"/>
            <family val="2"/>
          </rPr>
          <t>&lt;[[DEVDeals] - [Associated TC Deal (Seq: 1)] - [TC Property Current Stage (Seq: 1)] - [Unit Mix (Seq: 29)] TC Unit Mix Type - Both]&gt;</t>
        </r>
      </text>
    </comment>
    <comment ref="AG323" authorId="0" shapeId="0" xr:uid="{7FB24E98-8F07-452B-B30F-A63728683854}">
      <text>
        <r>
          <rPr>
            <b/>
            <sz val="9"/>
            <color indexed="81"/>
            <rFont val="Tahoma"/>
            <family val="2"/>
          </rPr>
          <t>&lt;[[DEVDeals] - [Associated TC Deal (Seq: 1)] - [TC Property Current Stage (Seq: 1)] - [Unit Mix (Seq: 29)] Num Units - Both]&gt;</t>
        </r>
      </text>
    </comment>
    <comment ref="AH323" authorId="0" shapeId="0" xr:uid="{38FBE66F-B231-430A-B2D8-ADC1EB9E76F5}">
      <text>
        <r>
          <rPr>
            <b/>
            <sz val="9"/>
            <color indexed="81"/>
            <rFont val="Tahoma"/>
            <family val="2"/>
          </rPr>
          <t>&lt;[[DEVDeals] - [Associated TC Deal (Seq: 1)] - [TC Property Current Stage (Seq: 1)] - [Unit Mix (Seq: 29)] Net Rentable Sq Ft - Both]&gt;</t>
        </r>
      </text>
    </comment>
    <comment ref="AI323" authorId="0" shapeId="0" xr:uid="{8C6CE539-0E85-4A13-83A9-A543A34DE831}">
      <text>
        <r>
          <rPr>
            <b/>
            <sz val="9"/>
            <color indexed="81"/>
            <rFont val="Tahoma"/>
            <family val="2"/>
          </rPr>
          <t>&lt;[[DEVDeals] - [Associated TC Deal (Seq: 1)] - [TC Property Current Stage (Seq: 1)] - [Unit Mix (Seq: 29)] Monthly Rent Per Unit - Both]&gt;</t>
        </r>
      </text>
    </comment>
    <comment ref="Q324" authorId="0" shapeId="0" xr:uid="{3D0DD045-7B69-4F29-BC65-FECB970FAB6C}">
      <text>
        <r>
          <rPr>
            <b/>
            <sz val="9"/>
            <color indexed="81"/>
            <rFont val="Tahoma"/>
            <family val="2"/>
          </rPr>
          <t>&lt;[[DEVDeals] - [Deal Property (Seq: 1)] - [Locations (Seq: 1)] - [Unit Mix (Seq: 30)] Unit Mix Ami Percent - Both]&gt;</t>
        </r>
      </text>
    </comment>
    <comment ref="R324" authorId="0" shapeId="0" xr:uid="{9E5EAEBA-7105-47EA-9C9E-35773FC45C0F}">
      <text>
        <r>
          <rPr>
            <b/>
            <sz val="9"/>
            <color indexed="81"/>
            <rFont val="Tahoma"/>
            <family val="2"/>
          </rPr>
          <t>&lt;[[DEVDeals] - [Deal Property (Seq: 1)] - [Locations (Seq: 1)] - [Unit Mix (Seq: 30)] Unit Type - Both]&gt;</t>
        </r>
      </text>
    </comment>
    <comment ref="S324" authorId="0" shapeId="0" xr:uid="{B84A30D6-84C9-4076-A1CE-9BBAB8070D03}">
      <text>
        <r>
          <rPr>
            <b/>
            <sz val="9"/>
            <color indexed="81"/>
            <rFont val="Tahoma"/>
            <family val="2"/>
          </rPr>
          <t>&lt;[[DEVDeals] - [Deal Property (Seq: 1)] - [Locations (Seq: 1)] - [Unit Mix (Seq: 30)] - [Unit Mix - User Defined Field Values (Seq: 1)] Rent Information - Bathroom Count - Both]&gt;</t>
        </r>
      </text>
    </comment>
    <comment ref="T324" authorId="0" shapeId="0" xr:uid="{473767D2-63A3-4264-81BD-AD92B1C0439D}">
      <text>
        <r>
          <rPr>
            <b/>
            <sz val="9"/>
            <color indexed="81"/>
            <rFont val="Tahoma"/>
            <family val="2"/>
          </rPr>
          <t>&lt;[[DEVDeals] - [Deal Property (Seq: 1)] - [Locations (Seq: 1)] - [Unit Mix (Seq: 30)] Num Units - Both]&gt;</t>
        </r>
      </text>
    </comment>
    <comment ref="U324" authorId="0" shapeId="0" xr:uid="{048251D3-CDF0-4B17-BC23-1B52F15A7ADD}">
      <text>
        <r>
          <rPr>
            <b/>
            <sz val="9"/>
            <color indexed="81"/>
            <rFont val="Tahoma"/>
            <family val="2"/>
          </rPr>
          <t>&lt;[[DEVDeals] - [Deal Property (Seq: 1)] - [Locations (Seq: 1)] - [Unit Mix (Seq: 30)] Square Footage - Both]&gt;</t>
        </r>
      </text>
    </comment>
    <comment ref="V324" authorId="0" shapeId="0" xr:uid="{DC0740C1-B18B-433A-99EA-B7AAAE3842DB}">
      <text>
        <r>
          <rPr>
            <b/>
            <sz val="9"/>
            <color indexed="81"/>
            <rFont val="Tahoma"/>
            <family val="2"/>
          </rPr>
          <t>&lt;[[DEVDeals] - [Deal Property (Seq: 1)] - [Locations (Seq: 1)] - [Unit Mix (Seq: 30)] Estimated Tenant Paid Utilities - Both]&gt;</t>
        </r>
      </text>
    </comment>
    <comment ref="W324" authorId="0" shapeId="0" xr:uid="{43B8A0EE-80B0-42BE-8F95-1CC2089998E7}">
      <text>
        <r>
          <rPr>
            <b/>
            <sz val="9"/>
            <color indexed="81"/>
            <rFont val="Tahoma"/>
            <family val="2"/>
          </rPr>
          <t>&lt;[[DEVDeals] - [Deal Property (Seq: 1)] - [Locations (Seq: 1)] - [Unit Mix (Seq: 30)] - [Unit Mix - User Defined Field Values (Seq: 1)] Rent Information - Resident Paid Rent - Both]&gt;</t>
        </r>
      </text>
    </comment>
    <comment ref="X324" authorId="0" shapeId="0" xr:uid="{4D4C6E92-A3A7-4682-85B7-C0FE81AAD125}">
      <text>
        <r>
          <rPr>
            <b/>
            <sz val="9"/>
            <color indexed="81"/>
            <rFont val="Tahoma"/>
            <family val="2"/>
          </rPr>
          <t>&lt;[[DEVDeals] - [Deal Property (Seq: 1)] - [Locations (Seq: 1)] - [Unit Mix (Seq: 30)] - [Unit Mix - User Defined Field Values (Seq: 1)] Rent Information - Rent Subsidy - Both]&gt;</t>
        </r>
      </text>
    </comment>
    <comment ref="Y324" authorId="0" shapeId="0" xr:uid="{19CBB0EC-E797-4139-8FC1-3A2EEB1A5116}">
      <text>
        <r>
          <rPr>
            <b/>
            <sz val="9"/>
            <color indexed="81"/>
            <rFont val="Tahoma"/>
            <family val="2"/>
          </rPr>
          <t>&lt;[[DEVDeals] - [Deal Property (Seq: 1)] - [Locations (Seq: 1)] - [Unit Mix (Seq: 30)] Notes - Both]&gt;</t>
        </r>
      </text>
    </comment>
    <comment ref="Z324" authorId="0" shapeId="0" xr:uid="{63FA3FFC-7673-409E-99AC-5634054700D8}">
      <text>
        <r>
          <rPr>
            <b/>
            <sz val="9"/>
            <color indexed="81"/>
            <rFont val="Tahoma"/>
            <family val="2"/>
          </rPr>
          <t>&lt;[[DEVDeals] - [Deal Property (Seq: 1)] - [Locations (Seq: 1)] - [Unit Mix (Seq: 30)] Base Rent - Both]&gt;</t>
        </r>
      </text>
    </comment>
    <comment ref="AA324" authorId="0" shapeId="0" xr:uid="{0C0F1450-280E-4F63-AA94-38493654AD86}">
      <text>
        <r>
          <rPr>
            <b/>
            <sz val="9"/>
            <color indexed="81"/>
            <rFont val="Tahoma"/>
            <family val="2"/>
          </rPr>
          <t>&lt;[[DEVDeals] - [Deal Property (Seq: 1)] - [Locations (Seq: 1)] - [Unit Mix (Seq: 30)] - [Unit Mix - User Defined Field Values (Seq: 1)] Rent Information - UFAS Unit - Both]&gt;</t>
        </r>
      </text>
    </comment>
    <comment ref="AB324" authorId="0" shapeId="0" xr:uid="{37BC2E90-A025-4BDF-A1EA-25D1383405A1}">
      <text>
        <r>
          <rPr>
            <b/>
            <sz val="9"/>
            <color indexed="81"/>
            <rFont val="Tahoma"/>
            <family val="2"/>
          </rPr>
          <t>&lt;[[DEVDeals] - [Deal Property (Seq: 1)] - [Locations (Seq: 1)] - [Unit Mix (Seq: 30)] - [Unit Mix - User Defined Field Values (Seq: 1)] Rent Information - Visitable Unit - Both]&gt;</t>
        </r>
      </text>
    </comment>
    <comment ref="AE324" authorId="0" shapeId="0" xr:uid="{A7593551-E02B-4D45-8687-B6282FC0AACB}">
      <text>
        <r>
          <rPr>
            <b/>
            <sz val="9"/>
            <color indexed="81"/>
            <rFont val="Tahoma"/>
            <family val="2"/>
          </rPr>
          <t>&lt;[[DEVDeals] - [Associated TC Deal (Seq: 1)] - [TC Property Current Stage (Seq: 1)] - [Unit Mix (Seq: 30)] Income Target - Both]&gt;</t>
        </r>
      </text>
    </comment>
    <comment ref="AF324" authorId="0" shapeId="0" xr:uid="{1A88AD01-2143-487E-9532-D61CAB79328D}">
      <text>
        <r>
          <rPr>
            <b/>
            <sz val="9"/>
            <color indexed="81"/>
            <rFont val="Tahoma"/>
            <family val="2"/>
          </rPr>
          <t>&lt;[[DEVDeals] - [Associated TC Deal (Seq: 1)] - [TC Property Current Stage (Seq: 1)] - [Unit Mix (Seq: 30)] TC Unit Mix Type - Both]&gt;</t>
        </r>
      </text>
    </comment>
    <comment ref="AG324" authorId="0" shapeId="0" xr:uid="{4E9499C6-BD1C-4AEB-AEA4-6EA6B57F6160}">
      <text>
        <r>
          <rPr>
            <b/>
            <sz val="9"/>
            <color indexed="81"/>
            <rFont val="Tahoma"/>
            <family val="2"/>
          </rPr>
          <t>&lt;[[DEVDeals] - [Associated TC Deal (Seq: 1)] - [TC Property Current Stage (Seq: 1)] - [Unit Mix (Seq: 30)] Num Units - Both]&gt;</t>
        </r>
      </text>
    </comment>
    <comment ref="AH324" authorId="0" shapeId="0" xr:uid="{CA7EBE45-DCB0-42E5-8134-35E6A5D1769D}">
      <text>
        <r>
          <rPr>
            <b/>
            <sz val="9"/>
            <color indexed="81"/>
            <rFont val="Tahoma"/>
            <family val="2"/>
          </rPr>
          <t>&lt;[[DEVDeals] - [Associated TC Deal (Seq: 1)] - [TC Property Current Stage (Seq: 1)] - [Unit Mix (Seq: 30)] Net Rentable Sq Ft - Both]&gt;</t>
        </r>
      </text>
    </comment>
    <comment ref="AI324" authorId="0" shapeId="0" xr:uid="{D360895B-3823-4569-998C-BF86C16FC54F}">
      <text>
        <r>
          <rPr>
            <b/>
            <sz val="9"/>
            <color indexed="81"/>
            <rFont val="Tahoma"/>
            <family val="2"/>
          </rPr>
          <t>&lt;[[DEVDeals] - [Associated TC Deal (Seq: 1)] - [TC Property Current Stage (Seq: 1)] - [Unit Mix (Seq: 30)] Monthly Rent Per Unit - Both]&gt;</t>
        </r>
      </text>
    </comment>
    <comment ref="Q325" authorId="0" shapeId="0" xr:uid="{65F9D7F5-2B8B-4F92-9C51-9822E834AF81}">
      <text>
        <r>
          <rPr>
            <b/>
            <sz val="9"/>
            <color indexed="81"/>
            <rFont val="Tahoma"/>
            <family val="2"/>
          </rPr>
          <t>&lt;[[DEVDeals] - [Deal Property (Seq: 1)] - [Locations (Seq: 1)] - [Unit Mix (Seq: 31)] Unit Mix Ami Percent - Both]&gt;</t>
        </r>
      </text>
    </comment>
    <comment ref="R325" authorId="0" shapeId="0" xr:uid="{4D8DE37D-73B4-4458-BFCF-E8E639917A74}">
      <text>
        <r>
          <rPr>
            <b/>
            <sz val="9"/>
            <color indexed="81"/>
            <rFont val="Tahoma"/>
            <family val="2"/>
          </rPr>
          <t>&lt;[[DEVDeals] - [Deal Property (Seq: 1)] - [Locations (Seq: 1)] - [Unit Mix (Seq: 31)] Unit Type - Both]&gt;</t>
        </r>
      </text>
    </comment>
    <comment ref="S325" authorId="0" shapeId="0" xr:uid="{CD3B28D9-4D9E-490F-B7F2-791F45A612D6}">
      <text>
        <r>
          <rPr>
            <b/>
            <sz val="9"/>
            <color indexed="81"/>
            <rFont val="Tahoma"/>
            <family val="2"/>
          </rPr>
          <t>&lt;[[DEVDeals] - [Deal Property (Seq: 1)] - [Locations (Seq: 1)] - [Unit Mix (Seq: 31)] - [Unit Mix - User Defined Field Values (Seq: 1)] Rent Information - Bathroom Count - Both]&gt;</t>
        </r>
      </text>
    </comment>
    <comment ref="T325" authorId="0" shapeId="0" xr:uid="{B2826D8F-B6E4-4AAB-852B-74CDAB8A1C37}">
      <text>
        <r>
          <rPr>
            <b/>
            <sz val="9"/>
            <color indexed="81"/>
            <rFont val="Tahoma"/>
            <family val="2"/>
          </rPr>
          <t>&lt;[[DEVDeals] - [Deal Property (Seq: 1)] - [Locations (Seq: 1)] - [Unit Mix (Seq: 31)] Num Units - Both]&gt;</t>
        </r>
      </text>
    </comment>
    <comment ref="U325" authorId="0" shapeId="0" xr:uid="{607B9FD1-63AF-4C8E-A91E-DFA6B2AE8B87}">
      <text>
        <r>
          <rPr>
            <b/>
            <sz val="9"/>
            <color indexed="81"/>
            <rFont val="Tahoma"/>
            <family val="2"/>
          </rPr>
          <t>&lt;[[DEVDeals] - [Deal Property (Seq: 1)] - [Locations (Seq: 1)] - [Unit Mix (Seq: 31)] Square Footage - Both]&gt;</t>
        </r>
      </text>
    </comment>
    <comment ref="Z325" authorId="0" shapeId="0" xr:uid="{7DDE7876-20AA-4521-AC89-34E23D9E7260}">
      <text>
        <r>
          <rPr>
            <b/>
            <sz val="9"/>
            <color indexed="81"/>
            <rFont val="Tahoma"/>
            <family val="2"/>
          </rPr>
          <t>&lt;[[DEVDeals] - [Deal Property (Seq: 1)] - [Locations (Seq: 1)] - [Unit Mix (Seq: 31)] Base Rent - Both]&gt;</t>
        </r>
      </text>
    </comment>
    <comment ref="AE325" authorId="0" shapeId="0" xr:uid="{F65F02A9-EC5D-4115-9625-4A5AC35D7B74}">
      <text>
        <r>
          <rPr>
            <b/>
            <sz val="9"/>
            <color indexed="81"/>
            <rFont val="Tahoma"/>
            <family val="2"/>
          </rPr>
          <t>&lt;[[DEVDeals] - [Associated TC Deal (Seq: 1)] - [TC Property Current Stage (Seq: 1)] - [Unit Mix (Seq: 31)] Income Target - Both]&gt;</t>
        </r>
      </text>
    </comment>
    <comment ref="AF325" authorId="0" shapeId="0" xr:uid="{EDD54990-54B7-4940-84F6-D13177328897}">
      <text>
        <r>
          <rPr>
            <b/>
            <sz val="9"/>
            <color indexed="81"/>
            <rFont val="Tahoma"/>
            <family val="2"/>
          </rPr>
          <t>&lt;[[DEVDeals] - [Associated TC Deal (Seq: 1)] - [TC Property Current Stage (Seq: 1)] - [Unit Mix (Seq: 31)] TC Unit Mix Type - Both]&gt;</t>
        </r>
      </text>
    </comment>
    <comment ref="AG325" authorId="0" shapeId="0" xr:uid="{CC194B94-FD90-4634-86DC-8B6BAE2D93F6}">
      <text>
        <r>
          <rPr>
            <b/>
            <sz val="9"/>
            <color indexed="81"/>
            <rFont val="Tahoma"/>
            <family val="2"/>
          </rPr>
          <t>&lt;[[DEVDeals] - [Associated TC Deal (Seq: 1)] - [TC Property Current Stage (Seq: 1)] - [Unit Mix (Seq: 31)] Num Units - Both]&gt;</t>
        </r>
      </text>
    </comment>
    <comment ref="AH325" authorId="0" shapeId="0" xr:uid="{F8CD642C-1FCF-4216-8DD6-736E63D91B9E}">
      <text>
        <r>
          <rPr>
            <b/>
            <sz val="9"/>
            <color indexed="81"/>
            <rFont val="Tahoma"/>
            <family val="2"/>
          </rPr>
          <t>&lt;[[DEVDeals] - [Associated TC Deal (Seq: 1)] - [TC Property Current Stage (Seq: 1)] - [Unit Mix (Seq: 31)] Net Rentable Sq Ft - Both]&gt;</t>
        </r>
      </text>
    </comment>
    <comment ref="AI325" authorId="0" shapeId="0" xr:uid="{E6712D2B-0394-41D1-84E9-C2C96E45DBAF}">
      <text>
        <r>
          <rPr>
            <b/>
            <sz val="9"/>
            <color indexed="81"/>
            <rFont val="Tahoma"/>
            <family val="2"/>
          </rPr>
          <t>&lt;[[DEVDeals] - [Associated TC Deal (Seq: 1)] - [TC Property Current Stage (Seq: 1)] - [Unit Mix (Seq: 31)] Monthly Rent Per Unit - Both]&gt;</t>
        </r>
      </text>
    </comment>
    <comment ref="Q326" authorId="0" shapeId="0" xr:uid="{C2C9C0F0-3548-4793-8FC0-D29A46BE1606}">
      <text>
        <r>
          <rPr>
            <b/>
            <sz val="9"/>
            <color indexed="81"/>
            <rFont val="Tahoma"/>
            <family val="2"/>
          </rPr>
          <t>&lt;[[DEVDeals] - [Deal Property (Seq: 1)] - [Locations (Seq: 1)] - [Unit Mix (Seq: 32)] Unit Mix Ami Percent - Both]&gt;</t>
        </r>
      </text>
    </comment>
    <comment ref="R326" authorId="0" shapeId="0" xr:uid="{A84C9992-9FED-4A07-9AD1-83603D3E2280}">
      <text>
        <r>
          <rPr>
            <b/>
            <sz val="9"/>
            <color indexed="81"/>
            <rFont val="Tahoma"/>
            <family val="2"/>
          </rPr>
          <t>&lt;[[DEVDeals] - [Deal Property (Seq: 1)] - [Locations (Seq: 1)] - [Unit Mix (Seq: 32)] Unit Type - Both]&gt;</t>
        </r>
      </text>
    </comment>
    <comment ref="S326" authorId="0" shapeId="0" xr:uid="{2E55502C-673E-470F-A567-5E1F8BAAA5F7}">
      <text>
        <r>
          <rPr>
            <b/>
            <sz val="9"/>
            <color indexed="81"/>
            <rFont val="Tahoma"/>
            <family val="2"/>
          </rPr>
          <t>&lt;[[DEVDeals] - [Deal Property (Seq: 1)] - [Locations (Seq: 1)] - [Unit Mix (Seq: 32)] - [Unit Mix - User Defined Field Values (Seq: 1)] Rent Information - Bathroom Count - Both]&gt;</t>
        </r>
      </text>
    </comment>
    <comment ref="T326" authorId="0" shapeId="0" xr:uid="{04E9A2B9-8EBD-4EE1-B329-E7CE45087776}">
      <text>
        <r>
          <rPr>
            <b/>
            <sz val="9"/>
            <color indexed="81"/>
            <rFont val="Tahoma"/>
            <family val="2"/>
          </rPr>
          <t>&lt;[[DEVDeals] - [Deal Property (Seq: 1)] - [Locations (Seq: 1)] - [Unit Mix (Seq: 32)] Num Units - Both]&gt;</t>
        </r>
      </text>
    </comment>
    <comment ref="U326" authorId="0" shapeId="0" xr:uid="{7A72A12B-79C8-46A1-97C2-4CBA426A621E}">
      <text>
        <r>
          <rPr>
            <b/>
            <sz val="9"/>
            <color indexed="81"/>
            <rFont val="Tahoma"/>
            <family val="2"/>
          </rPr>
          <t>&lt;[[DEVDeals] - [Deal Property (Seq: 1)] - [Locations (Seq: 1)] - [Unit Mix (Seq: 32)] Square Footage - Both]&gt;</t>
        </r>
      </text>
    </comment>
    <comment ref="Z326" authorId="0" shapeId="0" xr:uid="{598D9F59-1DEE-4BF1-9E62-82C29578B504}">
      <text>
        <r>
          <rPr>
            <b/>
            <sz val="9"/>
            <color indexed="81"/>
            <rFont val="Tahoma"/>
            <family val="2"/>
          </rPr>
          <t>&lt;[[DEVDeals] - [Deal Property (Seq: 1)] - [Locations (Seq: 1)] - [Unit Mix (Seq: 32)] Base Rent - Both]&gt;</t>
        </r>
      </text>
    </comment>
    <comment ref="AE326" authorId="0" shapeId="0" xr:uid="{99783421-B264-43B1-A1CC-31CD82BED9F2}">
      <text>
        <r>
          <rPr>
            <b/>
            <sz val="9"/>
            <color indexed="81"/>
            <rFont val="Tahoma"/>
            <family val="2"/>
          </rPr>
          <t>&lt;[[DEVDeals] - [Associated TC Deal (Seq: 1)] - [TC Property Current Stage (Seq: 1)] - [Unit Mix (Seq: 32)] Income Target - Both]&gt;</t>
        </r>
      </text>
    </comment>
    <comment ref="AF326" authorId="0" shapeId="0" xr:uid="{B616C814-15EB-46ED-8736-CCAAD7473B66}">
      <text>
        <r>
          <rPr>
            <b/>
            <sz val="9"/>
            <color indexed="81"/>
            <rFont val="Tahoma"/>
            <family val="2"/>
          </rPr>
          <t>&lt;[[DEVDeals] - [Associated TC Deal (Seq: 1)] - [TC Property Current Stage (Seq: 1)] - [Unit Mix (Seq: 32)] TC Unit Mix Type - Both]&gt;</t>
        </r>
      </text>
    </comment>
    <comment ref="AG326" authorId="0" shapeId="0" xr:uid="{FE8568A9-C89F-4FE1-98D4-677C90B4DDA6}">
      <text>
        <r>
          <rPr>
            <b/>
            <sz val="9"/>
            <color indexed="81"/>
            <rFont val="Tahoma"/>
            <family val="2"/>
          </rPr>
          <t>&lt;[[DEVDeals] - [Associated TC Deal (Seq: 1)] - [TC Property Current Stage (Seq: 1)] - [Unit Mix (Seq: 32)] Num Units - Both]&gt;</t>
        </r>
      </text>
    </comment>
    <comment ref="AH326" authorId="0" shapeId="0" xr:uid="{F73C0FD9-C44A-43A0-8CAF-1B13BD4C6F20}">
      <text>
        <r>
          <rPr>
            <b/>
            <sz val="9"/>
            <color indexed="81"/>
            <rFont val="Tahoma"/>
            <family val="2"/>
          </rPr>
          <t>&lt;[[DEVDeals] - [Associated TC Deal (Seq: 1)] - [TC Property Current Stage (Seq: 1)] - [Unit Mix (Seq: 32)] Net Rentable Sq Ft - Both]&gt;</t>
        </r>
      </text>
    </comment>
    <comment ref="AI326" authorId="0" shapeId="0" xr:uid="{30FBB1BF-EC38-43C1-B04D-9CB3E0A9DD0D}">
      <text>
        <r>
          <rPr>
            <b/>
            <sz val="9"/>
            <color indexed="81"/>
            <rFont val="Tahoma"/>
            <family val="2"/>
          </rPr>
          <t>&lt;[[DEVDeals] - [Associated TC Deal (Seq: 1)] - [TC Property Current Stage (Seq: 1)] - [Unit Mix (Seq: 32)] Monthly Rent Per Unit - Both]&gt;</t>
        </r>
      </text>
    </comment>
    <comment ref="Q327" authorId="0" shapeId="0" xr:uid="{5F74D6C4-BE42-4F6F-B7A1-283F73FE12B6}">
      <text>
        <r>
          <rPr>
            <b/>
            <sz val="9"/>
            <color indexed="81"/>
            <rFont val="Tahoma"/>
            <family val="2"/>
          </rPr>
          <t>&lt;[[DEVDeals] - [Deal Property (Seq: 1)] - [Locations (Seq: 1)] - [Unit Mix (Seq: 33)] Unit Mix Ami Percent - Both]&gt;</t>
        </r>
      </text>
    </comment>
    <comment ref="R327" authorId="0" shapeId="0" xr:uid="{D102EE84-FC87-44C4-9BE4-452EC0E68EA9}">
      <text>
        <r>
          <rPr>
            <b/>
            <sz val="9"/>
            <color indexed="81"/>
            <rFont val="Tahoma"/>
            <family val="2"/>
          </rPr>
          <t>&lt;[[DEVDeals] - [Deal Property (Seq: 1)] - [Locations (Seq: 1)] - [Unit Mix (Seq: 33)] Unit Type - Both]&gt;</t>
        </r>
      </text>
    </comment>
    <comment ref="S327" authorId="0" shapeId="0" xr:uid="{A3D1DC46-BB05-4E13-B0E9-385BBA63D6D4}">
      <text>
        <r>
          <rPr>
            <b/>
            <sz val="9"/>
            <color indexed="81"/>
            <rFont val="Tahoma"/>
            <family val="2"/>
          </rPr>
          <t>&lt;[[DEVDeals] - [Deal Property (Seq: 1)] - [Locations (Seq: 1)] - [Unit Mix (Seq: 33)] - [Unit Mix - User Defined Field Values (Seq: 1)] Rent Information - Bathroom Count - Both]&gt;</t>
        </r>
      </text>
    </comment>
    <comment ref="T327" authorId="0" shapeId="0" xr:uid="{5EEFBD04-0A0B-4F07-A989-10F465DC6757}">
      <text>
        <r>
          <rPr>
            <b/>
            <sz val="9"/>
            <color indexed="81"/>
            <rFont val="Tahoma"/>
            <family val="2"/>
          </rPr>
          <t>&lt;[[DEVDeals] - [Deal Property (Seq: 1)] - [Locations (Seq: 1)] - [Unit Mix (Seq: 33)] Num Units - Both]&gt;</t>
        </r>
      </text>
    </comment>
    <comment ref="U327" authorId="0" shapeId="0" xr:uid="{ED796104-5B67-4DB3-BCCA-E1ACC0B3385F}">
      <text>
        <r>
          <rPr>
            <b/>
            <sz val="9"/>
            <color indexed="81"/>
            <rFont val="Tahoma"/>
            <family val="2"/>
          </rPr>
          <t>&lt;[[DEVDeals] - [Deal Property (Seq: 1)] - [Locations (Seq: 1)] - [Unit Mix (Seq: 33)] Square Footage - Both]&gt;</t>
        </r>
      </text>
    </comment>
    <comment ref="Z327" authorId="0" shapeId="0" xr:uid="{48D239FC-B168-408F-A024-7E9C23BDDF99}">
      <text>
        <r>
          <rPr>
            <b/>
            <sz val="9"/>
            <color indexed="81"/>
            <rFont val="Tahoma"/>
            <family val="2"/>
          </rPr>
          <t>&lt;[[DEVDeals] - [Deal Property (Seq: 1)] - [Locations (Seq: 1)] - [Unit Mix (Seq: 33)] Base Rent - Both]&gt;</t>
        </r>
      </text>
    </comment>
    <comment ref="AE327" authorId="0" shapeId="0" xr:uid="{7FE5D39E-18AA-4559-8F32-D68EF676352F}">
      <text>
        <r>
          <rPr>
            <b/>
            <sz val="9"/>
            <color indexed="81"/>
            <rFont val="Tahoma"/>
            <family val="2"/>
          </rPr>
          <t>&lt;[[DEVDeals] - [Associated TC Deal (Seq: 1)] - [TC Property Current Stage (Seq: 1)] - [Unit Mix (Seq: 33)] Income Target - Both]&gt;</t>
        </r>
      </text>
    </comment>
    <comment ref="AF327" authorId="0" shapeId="0" xr:uid="{4EF75088-598E-4778-BD95-0947AB75F783}">
      <text>
        <r>
          <rPr>
            <b/>
            <sz val="9"/>
            <color indexed="81"/>
            <rFont val="Tahoma"/>
            <family val="2"/>
          </rPr>
          <t>&lt;[[DEVDeals] - [Associated TC Deal (Seq: 1)] - [TC Property Current Stage (Seq: 1)] - [Unit Mix (Seq: 33)] TC Unit Mix Type - Both]&gt;</t>
        </r>
      </text>
    </comment>
    <comment ref="AG327" authorId="0" shapeId="0" xr:uid="{95096EF8-4A5B-40E2-9D49-463B2A81FC1F}">
      <text>
        <r>
          <rPr>
            <b/>
            <sz val="9"/>
            <color indexed="81"/>
            <rFont val="Tahoma"/>
            <family val="2"/>
          </rPr>
          <t>&lt;[[DEVDeals] - [Associated TC Deal (Seq: 1)] - [TC Property Current Stage (Seq: 1)] - [Unit Mix (Seq: 33)] Num Units - Both]&gt;</t>
        </r>
      </text>
    </comment>
    <comment ref="AH327" authorId="0" shapeId="0" xr:uid="{C5029CDD-7C6D-4BB8-8D90-B6D767C7AC43}">
      <text>
        <r>
          <rPr>
            <b/>
            <sz val="9"/>
            <color indexed="81"/>
            <rFont val="Tahoma"/>
            <family val="2"/>
          </rPr>
          <t>&lt;[[DEVDeals] - [Associated TC Deal (Seq: 1)] - [TC Property Current Stage (Seq: 1)] - [Unit Mix (Seq: 33)] Net Rentable Sq Ft - Both]&gt;</t>
        </r>
      </text>
    </comment>
    <comment ref="AI327" authorId="0" shapeId="0" xr:uid="{494FEC66-ADFA-4EFA-BA6E-461A2394C675}">
      <text>
        <r>
          <rPr>
            <b/>
            <sz val="9"/>
            <color indexed="81"/>
            <rFont val="Tahoma"/>
            <family val="2"/>
          </rPr>
          <t>&lt;[[DEVDeals] - [Associated TC Deal (Seq: 1)] - [TC Property Current Stage (Seq: 1)] - [Unit Mix (Seq: 33)] Monthly Rent Per Unit - Both]&gt;</t>
        </r>
      </text>
    </comment>
    <comment ref="Q328" authorId="0" shapeId="0" xr:uid="{928A6A72-8B8A-42DE-88B0-E59B745D8433}">
      <text>
        <r>
          <rPr>
            <b/>
            <sz val="9"/>
            <color indexed="81"/>
            <rFont val="Tahoma"/>
            <family val="2"/>
          </rPr>
          <t>&lt;[[DEVDeals] - [Deal Property (Seq: 1)] - [Locations (Seq: 1)] - [Unit Mix (Seq: 34)] Unit Mix Ami Percent - Both]&gt;</t>
        </r>
      </text>
    </comment>
    <comment ref="R328" authorId="0" shapeId="0" xr:uid="{1845FDFE-8357-4C27-AA47-0AE073525959}">
      <text>
        <r>
          <rPr>
            <b/>
            <sz val="9"/>
            <color indexed="81"/>
            <rFont val="Tahoma"/>
            <family val="2"/>
          </rPr>
          <t>&lt;[[DEVDeals] - [Deal Property (Seq: 1)] - [Locations (Seq: 1)] - [Unit Mix (Seq: 34)] Unit Type - Both]&gt;</t>
        </r>
      </text>
    </comment>
    <comment ref="S328" authorId="0" shapeId="0" xr:uid="{1BD00E60-D6C0-4CB3-951F-32581B9D04B5}">
      <text>
        <r>
          <rPr>
            <b/>
            <sz val="9"/>
            <color indexed="81"/>
            <rFont val="Tahoma"/>
            <family val="2"/>
          </rPr>
          <t>&lt;[[DEVDeals] - [Deal Property (Seq: 1)] - [Locations (Seq: 1)] - [Unit Mix (Seq: 34)] - [Unit Mix - User Defined Field Values (Seq: 1)] Rent Information - Bathroom Count - Both]&gt;</t>
        </r>
      </text>
    </comment>
    <comment ref="T328" authorId="0" shapeId="0" xr:uid="{D1A0F1B1-3040-4A27-BE32-25BE84DAC397}">
      <text>
        <r>
          <rPr>
            <b/>
            <sz val="9"/>
            <color indexed="81"/>
            <rFont val="Tahoma"/>
            <family val="2"/>
          </rPr>
          <t>&lt;[[DEVDeals] - [Deal Property (Seq: 1)] - [Locations (Seq: 1)] - [Unit Mix (Seq: 34)] Num Units - Both]&gt;</t>
        </r>
      </text>
    </comment>
    <comment ref="U328" authorId="0" shapeId="0" xr:uid="{C6F73E82-E250-48AF-98D4-04F3EF10BA89}">
      <text>
        <r>
          <rPr>
            <b/>
            <sz val="9"/>
            <color indexed="81"/>
            <rFont val="Tahoma"/>
            <family val="2"/>
          </rPr>
          <t>&lt;[[DEVDeals] - [Deal Property (Seq: 1)] - [Locations (Seq: 1)] - [Unit Mix (Seq: 34)] Square Footage - Both]&gt;</t>
        </r>
      </text>
    </comment>
    <comment ref="Z328" authorId="0" shapeId="0" xr:uid="{91897CB5-97F8-43BF-9EA6-37D5B8664645}">
      <text>
        <r>
          <rPr>
            <b/>
            <sz val="9"/>
            <color indexed="81"/>
            <rFont val="Tahoma"/>
            <family val="2"/>
          </rPr>
          <t>&lt;[[DEVDeals] - [Deal Property (Seq: 1)] - [Locations (Seq: 1)] - [Unit Mix (Seq: 34)] Base Rent - Both]&gt;</t>
        </r>
      </text>
    </comment>
    <comment ref="AE328" authorId="0" shapeId="0" xr:uid="{475EA129-9576-431D-B5CE-1AF15281234C}">
      <text>
        <r>
          <rPr>
            <b/>
            <sz val="9"/>
            <color indexed="81"/>
            <rFont val="Tahoma"/>
            <family val="2"/>
          </rPr>
          <t>&lt;[[DEVDeals] - [Associated TC Deal (Seq: 1)] - [TC Property Current Stage (Seq: 1)] - [Unit Mix (Seq: 34)] Income Target - Both]&gt;</t>
        </r>
      </text>
    </comment>
    <comment ref="AF328" authorId="0" shapeId="0" xr:uid="{6FEBEC15-AED2-4A02-8E46-9E1F7C8C5D56}">
      <text>
        <r>
          <rPr>
            <b/>
            <sz val="9"/>
            <color indexed="81"/>
            <rFont val="Tahoma"/>
            <family val="2"/>
          </rPr>
          <t>&lt;[[DEVDeals] - [Associated TC Deal (Seq: 1)] - [TC Property Current Stage (Seq: 1)] - [Unit Mix (Seq: 34)] TC Unit Mix Type - Both]&gt;</t>
        </r>
      </text>
    </comment>
    <comment ref="AG328" authorId="0" shapeId="0" xr:uid="{F003BE50-7CFA-40DC-ACE2-22BC62345E4E}">
      <text>
        <r>
          <rPr>
            <b/>
            <sz val="9"/>
            <color indexed="81"/>
            <rFont val="Tahoma"/>
            <family val="2"/>
          </rPr>
          <t>&lt;[[DEVDeals] - [Associated TC Deal (Seq: 1)] - [TC Property Current Stage (Seq: 1)] - [Unit Mix (Seq: 34)] Num Units - Both]&gt;</t>
        </r>
      </text>
    </comment>
    <comment ref="AH328" authorId="0" shapeId="0" xr:uid="{B0D44C6A-B26B-4D1F-9936-9EA6E253507B}">
      <text>
        <r>
          <rPr>
            <b/>
            <sz val="9"/>
            <color indexed="81"/>
            <rFont val="Tahoma"/>
            <family val="2"/>
          </rPr>
          <t>&lt;[[DEVDeals] - [Associated TC Deal (Seq: 1)] - [TC Property Current Stage (Seq: 1)] - [Unit Mix (Seq: 34)] Net Rentable Sq Ft - Both]&gt;</t>
        </r>
      </text>
    </comment>
    <comment ref="AI328" authorId="0" shapeId="0" xr:uid="{58AFD1A5-8A0D-4CF2-9871-C21F019EA913}">
      <text>
        <r>
          <rPr>
            <b/>
            <sz val="9"/>
            <color indexed="81"/>
            <rFont val="Tahoma"/>
            <family val="2"/>
          </rPr>
          <t>&lt;[[DEVDeals] - [Associated TC Deal (Seq: 1)] - [TC Property Current Stage (Seq: 1)] - [Unit Mix (Seq: 34)] Monthly Rent Per Unit - Both]&gt;</t>
        </r>
      </text>
    </comment>
    <comment ref="Q329" authorId="0" shapeId="0" xr:uid="{9E23D683-048C-43E3-B33C-0DEC0E11E25C}">
      <text>
        <r>
          <rPr>
            <b/>
            <sz val="9"/>
            <color indexed="81"/>
            <rFont val="Tahoma"/>
            <family val="2"/>
          </rPr>
          <t>&lt;[[DEVDeals] - [Deal Property (Seq: 1)] - [Locations (Seq: 1)] - [Unit Mix (Seq: 35)] Unit Mix Ami Percent - Both]&gt;</t>
        </r>
      </text>
    </comment>
    <comment ref="R329" authorId="0" shapeId="0" xr:uid="{32DD180F-47D6-44D6-86AD-C243FBE6BEDB}">
      <text>
        <r>
          <rPr>
            <b/>
            <sz val="9"/>
            <color indexed="81"/>
            <rFont val="Tahoma"/>
            <family val="2"/>
          </rPr>
          <t>&lt;[[DEVDeals] - [Deal Property (Seq: 1)] - [Locations (Seq: 1)] - [Unit Mix (Seq: 35)] Unit Type - Both]&gt;</t>
        </r>
      </text>
    </comment>
    <comment ref="S329" authorId="0" shapeId="0" xr:uid="{1E8D49BE-1BB3-40E9-B43E-2E5E28C557AE}">
      <text>
        <r>
          <rPr>
            <b/>
            <sz val="9"/>
            <color indexed="81"/>
            <rFont val="Tahoma"/>
            <family val="2"/>
          </rPr>
          <t>&lt;[[DEVDeals] - [Deal Property (Seq: 1)] - [Locations (Seq: 1)] - [Unit Mix (Seq: 35)] - [Unit Mix - User Defined Field Values (Seq: 1)] Rent Information - Bathroom Count - Both]&gt;</t>
        </r>
      </text>
    </comment>
    <comment ref="T329" authorId="0" shapeId="0" xr:uid="{C5A0938B-3F9C-4A8B-8047-E79745E6FB98}">
      <text>
        <r>
          <rPr>
            <b/>
            <sz val="9"/>
            <color indexed="81"/>
            <rFont val="Tahoma"/>
            <family val="2"/>
          </rPr>
          <t>&lt;[[DEVDeals] - [Deal Property (Seq: 1)] - [Locations (Seq: 1)] - [Unit Mix (Seq: 35)] Num Units - Both]&gt;</t>
        </r>
      </text>
    </comment>
    <comment ref="U329" authorId="0" shapeId="0" xr:uid="{AA225827-F863-429E-9B43-02BC7CD8B519}">
      <text>
        <r>
          <rPr>
            <b/>
            <sz val="9"/>
            <color indexed="81"/>
            <rFont val="Tahoma"/>
            <family val="2"/>
          </rPr>
          <t>&lt;[[DEVDeals] - [Deal Property (Seq: 1)] - [Locations (Seq: 1)] - [Unit Mix (Seq: 35)] Square Footage - Both]&gt;</t>
        </r>
      </text>
    </comment>
    <comment ref="Z329" authorId="0" shapeId="0" xr:uid="{EACF9775-ACCC-4FEE-A3AF-386BAFEB82F1}">
      <text>
        <r>
          <rPr>
            <b/>
            <sz val="9"/>
            <color indexed="81"/>
            <rFont val="Tahoma"/>
            <family val="2"/>
          </rPr>
          <t>&lt;[[DEVDeals] - [Deal Property (Seq: 1)] - [Locations (Seq: 1)] - [Unit Mix (Seq: 35)] Base Rent - Both]&gt;</t>
        </r>
      </text>
    </comment>
    <comment ref="AE329" authorId="0" shapeId="0" xr:uid="{A6A55077-7893-486D-903D-F6C089F5E9E9}">
      <text>
        <r>
          <rPr>
            <b/>
            <sz val="9"/>
            <color indexed="81"/>
            <rFont val="Tahoma"/>
            <family val="2"/>
          </rPr>
          <t>&lt;[[DEVDeals] - [Associated TC Deal (Seq: 1)] - [TC Property Current Stage (Seq: 1)] - [Unit Mix (Seq: 35)] Income Target - Both]&gt;</t>
        </r>
      </text>
    </comment>
    <comment ref="AF329" authorId="0" shapeId="0" xr:uid="{43D6BB1A-D181-4E9D-AEA5-AC313D4D3BA0}">
      <text>
        <r>
          <rPr>
            <b/>
            <sz val="9"/>
            <color indexed="81"/>
            <rFont val="Tahoma"/>
            <family val="2"/>
          </rPr>
          <t>&lt;[[DEVDeals] - [Associated TC Deal (Seq: 1)] - [TC Property Current Stage (Seq: 1)] - [Unit Mix (Seq: 35)] TC Unit Mix Type - Both]&gt;</t>
        </r>
      </text>
    </comment>
    <comment ref="AG329" authorId="0" shapeId="0" xr:uid="{93E55547-6C34-4EFB-A7E9-4EDE6156FB72}">
      <text>
        <r>
          <rPr>
            <b/>
            <sz val="9"/>
            <color indexed="81"/>
            <rFont val="Tahoma"/>
            <family val="2"/>
          </rPr>
          <t>&lt;[[DEVDeals] - [Associated TC Deal (Seq: 1)] - [TC Property Current Stage (Seq: 1)] - [Unit Mix (Seq: 35)] Num Units - Both]&gt;</t>
        </r>
      </text>
    </comment>
    <comment ref="AH329" authorId="0" shapeId="0" xr:uid="{705EC5D8-37F2-47E3-9C7A-9031099A5A3C}">
      <text>
        <r>
          <rPr>
            <b/>
            <sz val="9"/>
            <color indexed="81"/>
            <rFont val="Tahoma"/>
            <family val="2"/>
          </rPr>
          <t>&lt;[[DEVDeals] - [Associated TC Deal (Seq: 1)] - [TC Property Current Stage (Seq: 1)] - [Unit Mix (Seq: 35)] Net Rentable Sq Ft - Both]&gt;</t>
        </r>
      </text>
    </comment>
    <comment ref="AI329" authorId="0" shapeId="0" xr:uid="{75C37F95-B4A8-47BE-B899-EB6CA31A0889}">
      <text>
        <r>
          <rPr>
            <b/>
            <sz val="9"/>
            <color indexed="81"/>
            <rFont val="Tahoma"/>
            <family val="2"/>
          </rPr>
          <t>&lt;[[DEVDeals] - [Associated TC Deal (Seq: 1)] - [TC Property Current Stage (Seq: 1)] - [Unit Mix (Seq: 35)] Monthly Rent Per Unit - Both]&gt;</t>
        </r>
      </text>
    </comment>
    <comment ref="Q330" authorId="0" shapeId="0" xr:uid="{2A281F4C-4FEF-4BCB-BB98-042DD3860698}">
      <text>
        <r>
          <rPr>
            <b/>
            <sz val="9"/>
            <color indexed="81"/>
            <rFont val="Tahoma"/>
            <family val="2"/>
          </rPr>
          <t>&lt;[[DEVDeals] - [Deal Property (Seq: 1)] - [Locations (Seq: 1)] - [Unit Mix (Seq: 36)] Unit Mix Ami Percent - Both]&gt;</t>
        </r>
      </text>
    </comment>
    <comment ref="R330" authorId="0" shapeId="0" xr:uid="{CA6A3A1B-FE6D-4E60-92C9-371043EFDF7D}">
      <text>
        <r>
          <rPr>
            <b/>
            <sz val="9"/>
            <color indexed="81"/>
            <rFont val="Tahoma"/>
            <family val="2"/>
          </rPr>
          <t>&lt;[[DEVDeals] - [Deal Property (Seq: 1)] - [Locations (Seq: 1)] - [Unit Mix (Seq: 36)] Unit Type - Both]&gt;</t>
        </r>
      </text>
    </comment>
    <comment ref="S330" authorId="0" shapeId="0" xr:uid="{61135707-DCD8-4AB2-9743-B9E8F3308F59}">
      <text>
        <r>
          <rPr>
            <b/>
            <sz val="9"/>
            <color indexed="81"/>
            <rFont val="Tahoma"/>
            <family val="2"/>
          </rPr>
          <t>&lt;[[DEVDeals] - [Deal Property (Seq: 1)] - [Locations (Seq: 1)] - [Unit Mix (Seq: 36)] - [Unit Mix - User Defined Field Values (Seq: 1)] Rent Information - Bathroom Count - Both]&gt;</t>
        </r>
      </text>
    </comment>
    <comment ref="T330" authorId="0" shapeId="0" xr:uid="{4E29C1AB-BC22-421C-88C2-51263A9B638F}">
      <text>
        <r>
          <rPr>
            <b/>
            <sz val="9"/>
            <color indexed="81"/>
            <rFont val="Tahoma"/>
            <family val="2"/>
          </rPr>
          <t>&lt;[[DEVDeals] - [Deal Property (Seq: 1)] - [Locations (Seq: 1)] - [Unit Mix (Seq: 36)] Num Units - Both]&gt;</t>
        </r>
      </text>
    </comment>
    <comment ref="U330" authorId="0" shapeId="0" xr:uid="{0891E328-F540-4937-84B6-15179A99B836}">
      <text>
        <r>
          <rPr>
            <b/>
            <sz val="9"/>
            <color indexed="81"/>
            <rFont val="Tahoma"/>
            <family val="2"/>
          </rPr>
          <t>&lt;[[DEVDeals] - [Deal Property (Seq: 1)] - [Locations (Seq: 1)] - [Unit Mix (Seq: 36)] Square Footage - Both]&gt;</t>
        </r>
      </text>
    </comment>
    <comment ref="Z330" authorId="0" shapeId="0" xr:uid="{685E6F1F-C9AD-47CE-B07E-812FC79CB41B}">
      <text>
        <r>
          <rPr>
            <b/>
            <sz val="9"/>
            <color indexed="81"/>
            <rFont val="Tahoma"/>
            <family val="2"/>
          </rPr>
          <t>&lt;[[DEVDeals] - [Deal Property (Seq: 1)] - [Locations (Seq: 1)] - [Unit Mix (Seq: 36)] Base Rent - Both]&gt;</t>
        </r>
      </text>
    </comment>
    <comment ref="AE330" authorId="0" shapeId="0" xr:uid="{CD72F46F-F67D-4E9B-91CD-7FBA07020EF9}">
      <text>
        <r>
          <rPr>
            <b/>
            <sz val="9"/>
            <color indexed="81"/>
            <rFont val="Tahoma"/>
            <family val="2"/>
          </rPr>
          <t>&lt;[[DEVDeals] - [Associated TC Deal (Seq: 1)] - [TC Property Current Stage (Seq: 1)] - [Unit Mix (Seq: 36)] Income Target - Both]&gt;</t>
        </r>
      </text>
    </comment>
    <comment ref="AF330" authorId="0" shapeId="0" xr:uid="{2F5FF393-BF4A-4CBC-BF0E-306A838AF52B}">
      <text>
        <r>
          <rPr>
            <b/>
            <sz val="9"/>
            <color indexed="81"/>
            <rFont val="Tahoma"/>
            <family val="2"/>
          </rPr>
          <t>&lt;[[DEVDeals] - [Associated TC Deal (Seq: 1)] - [TC Property Current Stage (Seq: 1)] - [Unit Mix (Seq: 36)] TC Unit Mix Type - Both]&gt;</t>
        </r>
      </text>
    </comment>
    <comment ref="AG330" authorId="0" shapeId="0" xr:uid="{918F5D57-BDF4-4085-A550-D8A14AB9ADFA}">
      <text>
        <r>
          <rPr>
            <b/>
            <sz val="9"/>
            <color indexed="81"/>
            <rFont val="Tahoma"/>
            <family val="2"/>
          </rPr>
          <t>&lt;[[DEVDeals] - [Associated TC Deal (Seq: 1)] - [TC Property Current Stage (Seq: 1)] - [Unit Mix (Seq: 36)] Num Units - Both]&gt;</t>
        </r>
      </text>
    </comment>
    <comment ref="AH330" authorId="0" shapeId="0" xr:uid="{143C986E-38FF-4045-B9C0-51FB833B4E34}">
      <text>
        <r>
          <rPr>
            <b/>
            <sz val="9"/>
            <color indexed="81"/>
            <rFont val="Tahoma"/>
            <family val="2"/>
          </rPr>
          <t>&lt;[[DEVDeals] - [Associated TC Deal (Seq: 1)] - [TC Property Current Stage (Seq: 1)] - [Unit Mix (Seq: 36)] Net Rentable Sq Ft - Both]&gt;</t>
        </r>
      </text>
    </comment>
    <comment ref="AI330" authorId="0" shapeId="0" xr:uid="{BCEA646A-8998-47BE-8B13-1C2E399407FB}">
      <text>
        <r>
          <rPr>
            <b/>
            <sz val="9"/>
            <color indexed="81"/>
            <rFont val="Tahoma"/>
            <family val="2"/>
          </rPr>
          <t>&lt;[[DEVDeals] - [Associated TC Deal (Seq: 1)] - [TC Property Current Stage (Seq: 1)] - [Unit Mix (Seq: 36)] Monthly Rent Per Unit - Both]&gt;</t>
        </r>
      </text>
    </comment>
    <comment ref="Q331" authorId="0" shapeId="0" xr:uid="{4233857C-17D0-45C2-BB96-CFC80F685F51}">
      <text>
        <r>
          <rPr>
            <b/>
            <sz val="9"/>
            <color indexed="81"/>
            <rFont val="Tahoma"/>
            <family val="2"/>
          </rPr>
          <t>&lt;[[DEVDeals] - [Deal Property (Seq: 1)] - [Locations (Seq: 1)] - [Unit Mix (Seq: 37)] Unit Mix Ami Percent - Both]&gt;</t>
        </r>
      </text>
    </comment>
    <comment ref="R331" authorId="0" shapeId="0" xr:uid="{D4E37297-6332-4F27-A5DE-898499B4C683}">
      <text>
        <r>
          <rPr>
            <b/>
            <sz val="9"/>
            <color indexed="81"/>
            <rFont val="Tahoma"/>
            <family val="2"/>
          </rPr>
          <t>&lt;[[DEVDeals] - [Deal Property (Seq: 1)] - [Locations (Seq: 1)] - [Unit Mix (Seq: 37)] Unit Type - Both]&gt;</t>
        </r>
      </text>
    </comment>
    <comment ref="S331" authorId="0" shapeId="0" xr:uid="{E2BE20F4-4746-4150-BCD5-E32F621D2249}">
      <text>
        <r>
          <rPr>
            <b/>
            <sz val="9"/>
            <color indexed="81"/>
            <rFont val="Tahoma"/>
            <family val="2"/>
          </rPr>
          <t>&lt;[[DEVDeals] - [Deal Property (Seq: 1)] - [Locations (Seq: 1)] - [Unit Mix (Seq: 37)] - [Unit Mix - User Defined Field Values (Seq: 1)] Rent Information - Bathroom Count - Both]&gt;</t>
        </r>
      </text>
    </comment>
    <comment ref="T331" authorId="0" shapeId="0" xr:uid="{0F4B9331-FEB5-43F9-BD01-5733036F83AA}">
      <text>
        <r>
          <rPr>
            <b/>
            <sz val="9"/>
            <color indexed="81"/>
            <rFont val="Tahoma"/>
            <family val="2"/>
          </rPr>
          <t>&lt;[[DEVDeals] - [Deal Property (Seq: 1)] - [Locations (Seq: 1)] - [Unit Mix (Seq: 37)] Num Units - Both]&gt;</t>
        </r>
      </text>
    </comment>
    <comment ref="U331" authorId="0" shapeId="0" xr:uid="{56051382-996F-4D1E-BCB0-176C73E108D7}">
      <text>
        <r>
          <rPr>
            <b/>
            <sz val="9"/>
            <color indexed="81"/>
            <rFont val="Tahoma"/>
            <family val="2"/>
          </rPr>
          <t>&lt;[[DEVDeals] - [Deal Property (Seq: 1)] - [Locations (Seq: 1)] - [Unit Mix (Seq: 37)] Square Footage - Both]&gt;</t>
        </r>
      </text>
    </comment>
    <comment ref="Z331" authorId="0" shapeId="0" xr:uid="{63C37134-4BD6-4F82-96D9-3866F75CC216}">
      <text>
        <r>
          <rPr>
            <b/>
            <sz val="9"/>
            <color indexed="81"/>
            <rFont val="Tahoma"/>
            <family val="2"/>
          </rPr>
          <t>&lt;[[DEVDeals] - [Deal Property (Seq: 1)] - [Locations (Seq: 1)] - [Unit Mix (Seq: 37)] Base Rent - Both]&gt;</t>
        </r>
      </text>
    </comment>
    <comment ref="AE331" authorId="0" shapeId="0" xr:uid="{8E92B6BA-0740-4DE6-B8FD-0AE167BC77A2}">
      <text>
        <r>
          <rPr>
            <b/>
            <sz val="9"/>
            <color indexed="81"/>
            <rFont val="Tahoma"/>
            <family val="2"/>
          </rPr>
          <t>&lt;[[DEVDeals] - [Associated TC Deal (Seq: 1)] - [TC Property Current Stage (Seq: 1)] - [Unit Mix (Seq: 37)] Income Target - Both]&gt;</t>
        </r>
      </text>
    </comment>
    <comment ref="AF331" authorId="0" shapeId="0" xr:uid="{5EFC89DB-2050-43B3-A1A3-DA7AF4699AA7}">
      <text>
        <r>
          <rPr>
            <b/>
            <sz val="9"/>
            <color indexed="81"/>
            <rFont val="Tahoma"/>
            <family val="2"/>
          </rPr>
          <t>&lt;[[DEVDeals] - [Associated TC Deal (Seq: 1)] - [TC Property Current Stage (Seq: 1)] - [Unit Mix (Seq: 37)] TC Unit Mix Type - Both]&gt;</t>
        </r>
      </text>
    </comment>
    <comment ref="AG331" authorId="0" shapeId="0" xr:uid="{234A739F-D758-4582-8280-668CA04C947B}">
      <text>
        <r>
          <rPr>
            <b/>
            <sz val="9"/>
            <color indexed="81"/>
            <rFont val="Tahoma"/>
            <family val="2"/>
          </rPr>
          <t>&lt;[[DEVDeals] - [Associated TC Deal (Seq: 1)] - [TC Property Current Stage (Seq: 1)] - [Unit Mix (Seq: 37)] Num Units - Both]&gt;</t>
        </r>
      </text>
    </comment>
    <comment ref="AH331" authorId="0" shapeId="0" xr:uid="{57792E10-E388-4987-A676-6F0A14F31D79}">
      <text>
        <r>
          <rPr>
            <b/>
            <sz val="9"/>
            <color indexed="81"/>
            <rFont val="Tahoma"/>
            <family val="2"/>
          </rPr>
          <t>&lt;[[DEVDeals] - [Associated TC Deal (Seq: 1)] - [TC Property Current Stage (Seq: 1)] - [Unit Mix (Seq: 37)] Net Rentable Sq Ft - Both]&gt;</t>
        </r>
      </text>
    </comment>
    <comment ref="AI331" authorId="0" shapeId="0" xr:uid="{0CEE1BEC-27D1-436F-821A-567CD5F7D68B}">
      <text>
        <r>
          <rPr>
            <b/>
            <sz val="9"/>
            <color indexed="81"/>
            <rFont val="Tahoma"/>
            <family val="2"/>
          </rPr>
          <t>&lt;[[DEVDeals] - [Associated TC Deal (Seq: 1)] - [TC Property Current Stage (Seq: 1)] - [Unit Mix (Seq: 37)] Monthly Rent Per Unit - Both]&gt;</t>
        </r>
      </text>
    </comment>
    <comment ref="Q332" authorId="0" shapeId="0" xr:uid="{32C32929-212A-4024-B22C-4CDC2E9E85A5}">
      <text>
        <r>
          <rPr>
            <b/>
            <sz val="9"/>
            <color indexed="81"/>
            <rFont val="Tahoma"/>
            <family val="2"/>
          </rPr>
          <t>&lt;[[DEVDeals] - [Deal Property (Seq: 1)] - [Locations (Seq: 1)] - [Unit Mix (Seq: 38)] Unit Mix Ami Percent - Both]&gt;</t>
        </r>
      </text>
    </comment>
    <comment ref="R332" authorId="0" shapeId="0" xr:uid="{E1C0AA19-CA7D-4399-89BD-34D8216CDA9E}">
      <text>
        <r>
          <rPr>
            <b/>
            <sz val="9"/>
            <color indexed="81"/>
            <rFont val="Tahoma"/>
            <family val="2"/>
          </rPr>
          <t>&lt;[[DEVDeals] - [Deal Property (Seq: 1)] - [Locations (Seq: 1)] - [Unit Mix (Seq: 38)] Unit Type - Both]&gt;</t>
        </r>
      </text>
    </comment>
    <comment ref="S332" authorId="0" shapeId="0" xr:uid="{AF9C9FF6-C4D9-405F-A76F-93CECA201C4A}">
      <text>
        <r>
          <rPr>
            <b/>
            <sz val="9"/>
            <color indexed="81"/>
            <rFont val="Tahoma"/>
            <family val="2"/>
          </rPr>
          <t>&lt;[[DEVDeals] - [Deal Property (Seq: 1)] - [Locations (Seq: 1)] - [Unit Mix (Seq: 38)] - [Unit Mix - User Defined Field Values (Seq: 1)] Rent Information - Bathroom Count - Both]&gt;</t>
        </r>
      </text>
    </comment>
    <comment ref="T332" authorId="0" shapeId="0" xr:uid="{D0F74818-95CA-41FB-9EC5-2EB9DAE0DE55}">
      <text>
        <r>
          <rPr>
            <b/>
            <sz val="9"/>
            <color indexed="81"/>
            <rFont val="Tahoma"/>
            <family val="2"/>
          </rPr>
          <t>&lt;[[DEVDeals] - [Deal Property (Seq: 1)] - [Locations (Seq: 1)] - [Unit Mix (Seq: 38)] Num Units - Both]&gt;</t>
        </r>
      </text>
    </comment>
    <comment ref="U332" authorId="0" shapeId="0" xr:uid="{963176DE-AE4C-4F81-8479-EC91106D8CE4}">
      <text>
        <r>
          <rPr>
            <b/>
            <sz val="9"/>
            <color indexed="81"/>
            <rFont val="Tahoma"/>
            <family val="2"/>
          </rPr>
          <t>&lt;[[DEVDeals] - [Deal Property (Seq: 1)] - [Locations (Seq: 1)] - [Unit Mix (Seq: 38)] Square Footage - Both]&gt;</t>
        </r>
      </text>
    </comment>
    <comment ref="Z332" authorId="0" shapeId="0" xr:uid="{A9D5B0E3-CB46-4BB5-A0C5-730B055EE365}">
      <text>
        <r>
          <rPr>
            <b/>
            <sz val="9"/>
            <color indexed="81"/>
            <rFont val="Tahoma"/>
            <family val="2"/>
          </rPr>
          <t>&lt;[[DEVDeals] - [Deal Property (Seq: 1)] - [Locations (Seq: 1)] - [Unit Mix (Seq: 38)] Base Rent - Both]&gt;</t>
        </r>
      </text>
    </comment>
    <comment ref="AE332" authorId="0" shapeId="0" xr:uid="{69598366-C610-4AA6-A84F-B6292C3CD9D4}">
      <text>
        <r>
          <rPr>
            <b/>
            <sz val="9"/>
            <color indexed="81"/>
            <rFont val="Tahoma"/>
            <family val="2"/>
          </rPr>
          <t>&lt;[[DEVDeals] - [Associated TC Deal (Seq: 1)] - [TC Property Current Stage (Seq: 1)] - [Unit Mix (Seq: 38)] Income Target - Both]&gt;</t>
        </r>
      </text>
    </comment>
    <comment ref="AF332" authorId="0" shapeId="0" xr:uid="{11248B33-CD0D-4DEB-8751-4EF5135730C5}">
      <text>
        <r>
          <rPr>
            <b/>
            <sz val="9"/>
            <color indexed="81"/>
            <rFont val="Tahoma"/>
            <family val="2"/>
          </rPr>
          <t>&lt;[[DEVDeals] - [Associated TC Deal (Seq: 1)] - [TC Property Current Stage (Seq: 1)] - [Unit Mix (Seq: 38)] TC Unit Mix Type - Both]&gt;</t>
        </r>
      </text>
    </comment>
    <comment ref="AG332" authorId="0" shapeId="0" xr:uid="{9CE4829B-89C7-4159-8E43-CBB064B4B75B}">
      <text>
        <r>
          <rPr>
            <b/>
            <sz val="9"/>
            <color indexed="81"/>
            <rFont val="Tahoma"/>
            <family val="2"/>
          </rPr>
          <t>&lt;[[DEVDeals] - [Associated TC Deal (Seq: 1)] - [TC Property Current Stage (Seq: 1)] - [Unit Mix (Seq: 38)] Num Units - Both]&gt;</t>
        </r>
      </text>
    </comment>
    <comment ref="AH332" authorId="0" shapeId="0" xr:uid="{4749D1FC-6238-4DEB-B2C0-CA21A812959A}">
      <text>
        <r>
          <rPr>
            <b/>
            <sz val="9"/>
            <color indexed="81"/>
            <rFont val="Tahoma"/>
            <family val="2"/>
          </rPr>
          <t>&lt;[[DEVDeals] - [Associated TC Deal (Seq: 1)] - [TC Property Current Stage (Seq: 1)] - [Unit Mix (Seq: 38)] Net Rentable Sq Ft - Both]&gt;</t>
        </r>
      </text>
    </comment>
    <comment ref="AI332" authorId="0" shapeId="0" xr:uid="{C0B51999-8A67-47DE-A299-F819447EBD67}">
      <text>
        <r>
          <rPr>
            <b/>
            <sz val="9"/>
            <color indexed="81"/>
            <rFont val="Tahoma"/>
            <family val="2"/>
          </rPr>
          <t>&lt;[[DEVDeals] - [Associated TC Deal (Seq: 1)] - [TC Property Current Stage (Seq: 1)] - [Unit Mix (Seq: 38)] Monthly Rent Per Unit - Both]&gt;</t>
        </r>
      </text>
    </comment>
    <comment ref="Q333" authorId="0" shapeId="0" xr:uid="{6A70237F-00FB-4BEC-86B7-4AE4C3B00DF7}">
      <text>
        <r>
          <rPr>
            <b/>
            <sz val="9"/>
            <color indexed="81"/>
            <rFont val="Tahoma"/>
            <family val="2"/>
          </rPr>
          <t>&lt;[[DEVDeals] - [Deal Property (Seq: 1)] - [Locations (Seq: 1)] - [Unit Mix (Seq: 39)] Unit Mix Ami Percent - Both]&gt;</t>
        </r>
      </text>
    </comment>
    <comment ref="R333" authorId="0" shapeId="0" xr:uid="{4CB5D14F-DBB1-4A20-B901-48F2C2F3B625}">
      <text>
        <r>
          <rPr>
            <b/>
            <sz val="9"/>
            <color indexed="81"/>
            <rFont val="Tahoma"/>
            <family val="2"/>
          </rPr>
          <t>&lt;[[DEVDeals] - [Deal Property (Seq: 1)] - [Locations (Seq: 1)] - [Unit Mix (Seq: 39)] Unit Type - Both]&gt;</t>
        </r>
      </text>
    </comment>
    <comment ref="S333" authorId="0" shapeId="0" xr:uid="{53F3CAB7-A97E-478C-B82A-DC0613AFEBF1}">
      <text>
        <r>
          <rPr>
            <b/>
            <sz val="9"/>
            <color indexed="81"/>
            <rFont val="Tahoma"/>
            <family val="2"/>
          </rPr>
          <t>&lt;[[DEVDeals] - [Deal Property (Seq: 1)] - [Locations (Seq: 1)] - [Unit Mix (Seq: 39)] - [Unit Mix - User Defined Field Values (Seq: 1)] Rent Information - Bathroom Count - Both]&gt;</t>
        </r>
      </text>
    </comment>
    <comment ref="T333" authorId="0" shapeId="0" xr:uid="{672AE9D5-C06D-4645-9AED-1156ED0F7E3E}">
      <text>
        <r>
          <rPr>
            <b/>
            <sz val="9"/>
            <color indexed="81"/>
            <rFont val="Tahoma"/>
            <family val="2"/>
          </rPr>
          <t>&lt;[[DEVDeals] - [Deal Property (Seq: 1)] - [Locations (Seq: 1)] - [Unit Mix (Seq: 39)] Num Units - Both]&gt;</t>
        </r>
      </text>
    </comment>
    <comment ref="U333" authorId="0" shapeId="0" xr:uid="{21E4F6C9-7DF6-4BB7-822C-12F018CF72C5}">
      <text>
        <r>
          <rPr>
            <b/>
            <sz val="9"/>
            <color indexed="81"/>
            <rFont val="Tahoma"/>
            <family val="2"/>
          </rPr>
          <t>&lt;[[DEVDeals] - [Deal Property (Seq: 1)] - [Locations (Seq: 1)] - [Unit Mix (Seq: 39)] Square Footage - Both]&gt;</t>
        </r>
      </text>
    </comment>
    <comment ref="Z333" authorId="0" shapeId="0" xr:uid="{FB31A59C-DD81-44D5-896A-093F820A6521}">
      <text>
        <r>
          <rPr>
            <b/>
            <sz val="9"/>
            <color indexed="81"/>
            <rFont val="Tahoma"/>
            <family val="2"/>
          </rPr>
          <t>&lt;[[DEVDeals] - [Deal Property (Seq: 1)] - [Locations (Seq: 1)] - [Unit Mix (Seq: 39)] Base Rent - Both]&gt;</t>
        </r>
      </text>
    </comment>
    <comment ref="AE333" authorId="0" shapeId="0" xr:uid="{E1DB1495-A52C-47BB-A175-81F0A50A77E2}">
      <text>
        <r>
          <rPr>
            <b/>
            <sz val="9"/>
            <color indexed="81"/>
            <rFont val="Tahoma"/>
            <family val="2"/>
          </rPr>
          <t>&lt;[[DEVDeals] - [Associated TC Deal (Seq: 1)] - [TC Property Current Stage (Seq: 1)] - [Unit Mix (Seq: 39)] Income Target - Both]&gt;</t>
        </r>
      </text>
    </comment>
    <comment ref="AF333" authorId="0" shapeId="0" xr:uid="{17FCB88F-70BA-458C-B385-8D341EF6C8DB}">
      <text>
        <r>
          <rPr>
            <b/>
            <sz val="9"/>
            <color indexed="81"/>
            <rFont val="Tahoma"/>
            <family val="2"/>
          </rPr>
          <t>&lt;[[DEVDeals] - [Associated TC Deal (Seq: 1)] - [TC Property Current Stage (Seq: 1)] - [Unit Mix (Seq: 39)] TC Unit Mix Type - Both]&gt;</t>
        </r>
      </text>
    </comment>
    <comment ref="AG333" authorId="0" shapeId="0" xr:uid="{57FE407D-B5C8-46FE-870E-3D3EE2E7B2EC}">
      <text>
        <r>
          <rPr>
            <b/>
            <sz val="9"/>
            <color indexed="81"/>
            <rFont val="Tahoma"/>
            <family val="2"/>
          </rPr>
          <t>&lt;[[DEVDeals] - [Associated TC Deal (Seq: 1)] - [TC Property Current Stage (Seq: 1)] - [Unit Mix (Seq: 39)] Num Units - Both]&gt;</t>
        </r>
      </text>
    </comment>
    <comment ref="AH333" authorId="0" shapeId="0" xr:uid="{ED8F6641-440E-436E-B4A1-E1911ECD4B1F}">
      <text>
        <r>
          <rPr>
            <b/>
            <sz val="9"/>
            <color indexed="81"/>
            <rFont val="Tahoma"/>
            <family val="2"/>
          </rPr>
          <t>&lt;[[DEVDeals] - [Associated TC Deal (Seq: 1)] - [TC Property Current Stage (Seq: 1)] - [Unit Mix (Seq: 39)] Net Rentable Sq Ft - Both]&gt;</t>
        </r>
      </text>
    </comment>
    <comment ref="AI333" authorId="0" shapeId="0" xr:uid="{E8B88DF1-5108-4213-91D9-38F14F241E9C}">
      <text>
        <r>
          <rPr>
            <b/>
            <sz val="9"/>
            <color indexed="81"/>
            <rFont val="Tahoma"/>
            <family val="2"/>
          </rPr>
          <t>&lt;[[DEVDeals] - [Associated TC Deal (Seq: 1)] - [TC Property Current Stage (Seq: 1)] - [Unit Mix (Seq: 39)] Monthly Rent Per Unit - Both]&gt;</t>
        </r>
      </text>
    </comment>
    <comment ref="Q334" authorId="0" shapeId="0" xr:uid="{7A4ECCE4-15C1-43E1-BF57-1321F179C3D9}">
      <text>
        <r>
          <rPr>
            <b/>
            <sz val="9"/>
            <color indexed="81"/>
            <rFont val="Tahoma"/>
            <family val="2"/>
          </rPr>
          <t>&lt;[[DEVDeals] - [Deal Property (Seq: 1)] - [Locations (Seq: 1)] - [Unit Mix (Seq: 40)] Unit Mix Ami Percent - Both]&gt;</t>
        </r>
      </text>
    </comment>
    <comment ref="R334" authorId="0" shapeId="0" xr:uid="{C1081678-58C9-421D-B636-B8C06FC42BEE}">
      <text>
        <r>
          <rPr>
            <b/>
            <sz val="9"/>
            <color indexed="81"/>
            <rFont val="Tahoma"/>
            <family val="2"/>
          </rPr>
          <t>&lt;[[DEVDeals] - [Deal Property (Seq: 1)] - [Locations (Seq: 1)] - [Unit Mix (Seq: 40)] Unit Type - Both]&gt;</t>
        </r>
      </text>
    </comment>
    <comment ref="S334" authorId="0" shapeId="0" xr:uid="{796A8869-8D89-48A1-8CCF-DC4C5A8216A7}">
      <text>
        <r>
          <rPr>
            <b/>
            <sz val="9"/>
            <color indexed="81"/>
            <rFont val="Tahoma"/>
            <family val="2"/>
          </rPr>
          <t>&lt;[[DEVDeals] - [Deal Property (Seq: 1)] - [Locations (Seq: 1)] - [Unit Mix (Seq: 40)] - [Unit Mix - User Defined Field Values (Seq: 1)] Rent Information - Bathroom Count - Both]&gt;</t>
        </r>
      </text>
    </comment>
    <comment ref="T334" authorId="0" shapeId="0" xr:uid="{8D4F7F2F-45E7-4518-982B-18DD8B276D5C}">
      <text>
        <r>
          <rPr>
            <b/>
            <sz val="9"/>
            <color indexed="81"/>
            <rFont val="Tahoma"/>
            <family val="2"/>
          </rPr>
          <t>&lt;[[DEVDeals] - [Deal Property (Seq: 1)] - [Locations (Seq: 1)] - [Unit Mix (Seq: 40)] Num Units - Both]&gt;</t>
        </r>
      </text>
    </comment>
    <comment ref="U334" authorId="0" shapeId="0" xr:uid="{ABE01AE9-2F74-4061-8626-246329109C93}">
      <text>
        <r>
          <rPr>
            <b/>
            <sz val="9"/>
            <color indexed="81"/>
            <rFont val="Tahoma"/>
            <family val="2"/>
          </rPr>
          <t>&lt;[[DEVDeals] - [Deal Property (Seq: 1)] - [Locations (Seq: 1)] - [Unit Mix (Seq: 40)] Square Footage - Both]&gt;</t>
        </r>
      </text>
    </comment>
    <comment ref="Z334" authorId="0" shapeId="0" xr:uid="{98AFAD51-719B-4418-A076-08407FB2EDDE}">
      <text>
        <r>
          <rPr>
            <b/>
            <sz val="9"/>
            <color indexed="81"/>
            <rFont val="Tahoma"/>
            <family val="2"/>
          </rPr>
          <t>&lt;[[DEVDeals] - [Deal Property (Seq: 1)] - [Locations (Seq: 1)] - [Unit Mix (Seq: 40)] Base Rent - Both]&gt;</t>
        </r>
      </text>
    </comment>
    <comment ref="AE334" authorId="0" shapeId="0" xr:uid="{49698095-E110-416B-824B-A0FC4059C674}">
      <text>
        <r>
          <rPr>
            <b/>
            <sz val="9"/>
            <color indexed="81"/>
            <rFont val="Tahoma"/>
            <family val="2"/>
          </rPr>
          <t>&lt;[[DEVDeals] - [Associated TC Deal (Seq: 1)] - [TC Property Current Stage (Seq: 1)] - [Unit Mix (Seq: 40)] Income Target - Both]&gt;</t>
        </r>
      </text>
    </comment>
    <comment ref="AF334" authorId="0" shapeId="0" xr:uid="{B1060FDB-2692-4C74-8679-C3550F2352E6}">
      <text>
        <r>
          <rPr>
            <b/>
            <sz val="9"/>
            <color indexed="81"/>
            <rFont val="Tahoma"/>
            <family val="2"/>
          </rPr>
          <t>&lt;[[DEVDeals] - [Associated TC Deal (Seq: 1)] - [TC Property Current Stage (Seq: 1)] - [Unit Mix (Seq: 40)] TC Unit Mix Type - Both]&gt;</t>
        </r>
      </text>
    </comment>
    <comment ref="AG334" authorId="0" shapeId="0" xr:uid="{E71C4B9F-6C11-40BE-B85B-400AFA3618F8}">
      <text>
        <r>
          <rPr>
            <b/>
            <sz val="9"/>
            <color indexed="81"/>
            <rFont val="Tahoma"/>
            <family val="2"/>
          </rPr>
          <t>&lt;[[DEVDeals] - [Associated TC Deal (Seq: 1)] - [TC Property Current Stage (Seq: 1)] - [Unit Mix (Seq: 40)] Num Units - Both]&gt;</t>
        </r>
      </text>
    </comment>
    <comment ref="AH334" authorId="0" shapeId="0" xr:uid="{1B7BC958-1E8A-48F3-8256-15E7ADD66B05}">
      <text>
        <r>
          <rPr>
            <b/>
            <sz val="9"/>
            <color indexed="81"/>
            <rFont val="Tahoma"/>
            <family val="2"/>
          </rPr>
          <t>&lt;[[DEVDeals] - [Associated TC Deal (Seq: 1)] - [TC Property Current Stage (Seq: 1)] - [Unit Mix (Seq: 40)] Net Rentable Sq Ft - Both]&gt;</t>
        </r>
      </text>
    </comment>
    <comment ref="AI334" authorId="0" shapeId="0" xr:uid="{B72C39F1-CA37-4B47-BFCF-DFC099502458}">
      <text>
        <r>
          <rPr>
            <b/>
            <sz val="9"/>
            <color indexed="81"/>
            <rFont val="Tahoma"/>
            <family val="2"/>
          </rPr>
          <t>&lt;[[DEVDeals] - [Associated TC Deal (Seq: 1)] - [TC Property Current Stage (Seq: 1)] - [Unit Mix (Seq: 40)] Monthly Rent Per Unit - Both]&gt;</t>
        </r>
      </text>
    </comment>
    <comment ref="Q335" authorId="0" shapeId="0" xr:uid="{44DBD880-4BAB-44D8-8BE3-F04521C59A98}">
      <text>
        <r>
          <rPr>
            <b/>
            <sz val="9"/>
            <color indexed="81"/>
            <rFont val="Tahoma"/>
            <family val="2"/>
          </rPr>
          <t>&lt;[[DEVDeals] - [Deal Property (Seq: 1)] - [Locations (Seq: 1)] - [Unit Mix (Seq: 41)] Unit Mix Ami Percent - Both]&gt;</t>
        </r>
      </text>
    </comment>
    <comment ref="R335" authorId="0" shapeId="0" xr:uid="{C6B85ADD-E22B-4B44-B8FE-315C41D65CCD}">
      <text>
        <r>
          <rPr>
            <b/>
            <sz val="9"/>
            <color indexed="81"/>
            <rFont val="Tahoma"/>
            <family val="2"/>
          </rPr>
          <t>&lt;[[DEVDeals] - [Deal Property (Seq: 1)] - [Locations (Seq: 1)] - [Unit Mix (Seq: 41)] Unit Type - Both]&gt;</t>
        </r>
      </text>
    </comment>
    <comment ref="S335" authorId="0" shapeId="0" xr:uid="{992D5109-8E49-4C6E-87A8-E7779F5C60FE}">
      <text>
        <r>
          <rPr>
            <b/>
            <sz val="9"/>
            <color indexed="81"/>
            <rFont val="Tahoma"/>
            <family val="2"/>
          </rPr>
          <t>&lt;[[DEVDeals] - [Deal Property (Seq: 1)] - [Locations (Seq: 1)] - [Unit Mix (Seq: 41)] - [Unit Mix - User Defined Field Values (Seq: 1)] Rent Information - Bathroom Count - Both]&gt;</t>
        </r>
      </text>
    </comment>
    <comment ref="T335" authorId="0" shapeId="0" xr:uid="{8BE1E7F8-3220-4F58-BE9B-A7FAFC5CB9BA}">
      <text>
        <r>
          <rPr>
            <b/>
            <sz val="9"/>
            <color indexed="81"/>
            <rFont val="Tahoma"/>
            <family val="2"/>
          </rPr>
          <t>&lt;[[DEVDeals] - [Deal Property (Seq: 1)] - [Locations (Seq: 1)] - [Unit Mix (Seq: 41)] Num Units - Both]&gt;</t>
        </r>
      </text>
    </comment>
    <comment ref="U335" authorId="0" shapeId="0" xr:uid="{434E6020-8580-49A2-808C-2A6E7C938B6A}">
      <text>
        <r>
          <rPr>
            <b/>
            <sz val="9"/>
            <color indexed="81"/>
            <rFont val="Tahoma"/>
            <family val="2"/>
          </rPr>
          <t>&lt;[[DEVDeals] - [Deal Property (Seq: 1)] - [Locations (Seq: 1)] - [Unit Mix (Seq: 41)] Square Footage - Both]&gt;</t>
        </r>
      </text>
    </comment>
    <comment ref="Z335" authorId="0" shapeId="0" xr:uid="{6E21C9F4-B630-409C-85E8-D1E50BAC60D7}">
      <text>
        <r>
          <rPr>
            <b/>
            <sz val="9"/>
            <color indexed="81"/>
            <rFont val="Tahoma"/>
            <family val="2"/>
          </rPr>
          <t>&lt;[[DEVDeals] - [Deal Property (Seq: 1)] - [Locations (Seq: 1)] - [Unit Mix (Seq: 41)] Base Rent - Both]&gt;</t>
        </r>
      </text>
    </comment>
    <comment ref="AE335" authorId="0" shapeId="0" xr:uid="{48FFF002-88A2-4757-9BF5-A50FFA52BDF3}">
      <text>
        <r>
          <rPr>
            <b/>
            <sz val="9"/>
            <color indexed="81"/>
            <rFont val="Tahoma"/>
            <family val="2"/>
          </rPr>
          <t>&lt;[[DEVDeals] - [Associated TC Deal (Seq: 1)] - [TC Property Current Stage (Seq: 1)] - [Unit Mix (Seq: 41)] Income Target - Both]&gt;</t>
        </r>
      </text>
    </comment>
    <comment ref="AF335" authorId="0" shapeId="0" xr:uid="{8D1A66B6-8D8D-40A8-A1B5-B6CA1C9A6ADA}">
      <text>
        <r>
          <rPr>
            <b/>
            <sz val="9"/>
            <color indexed="81"/>
            <rFont val="Tahoma"/>
            <family val="2"/>
          </rPr>
          <t>&lt;[[DEVDeals] - [Associated TC Deal (Seq: 1)] - [TC Property Current Stage (Seq: 1)] - [Unit Mix (Seq: 41)] TC Unit Mix Type - Both]&gt;</t>
        </r>
      </text>
    </comment>
    <comment ref="AG335" authorId="0" shapeId="0" xr:uid="{6056F3E6-0B14-4AAD-A425-A61358CABF23}">
      <text>
        <r>
          <rPr>
            <b/>
            <sz val="9"/>
            <color indexed="81"/>
            <rFont val="Tahoma"/>
            <family val="2"/>
          </rPr>
          <t>&lt;[[DEVDeals] - [Associated TC Deal (Seq: 1)] - [TC Property Current Stage (Seq: 1)] - [Unit Mix (Seq: 41)] Num Units - Both]&gt;</t>
        </r>
      </text>
    </comment>
    <comment ref="AH335" authorId="0" shapeId="0" xr:uid="{935DE1DE-25C3-4C6D-81D1-F90B8BDA1B21}">
      <text>
        <r>
          <rPr>
            <b/>
            <sz val="9"/>
            <color indexed="81"/>
            <rFont val="Tahoma"/>
            <family val="2"/>
          </rPr>
          <t>&lt;[[DEVDeals] - [Associated TC Deal (Seq: 1)] - [TC Property Current Stage (Seq: 1)] - [Unit Mix (Seq: 41)] Net Rentable Sq Ft - Both]&gt;</t>
        </r>
      </text>
    </comment>
    <comment ref="AI335" authorId="0" shapeId="0" xr:uid="{E832FD7C-B01C-4CE2-ADBB-D5DD17C2A535}">
      <text>
        <r>
          <rPr>
            <b/>
            <sz val="9"/>
            <color indexed="81"/>
            <rFont val="Tahoma"/>
            <family val="2"/>
          </rPr>
          <t>&lt;[[DEVDeals] - [Associated TC Deal (Seq: 1)] - [TC Property Current Stage (Seq: 1)] - [Unit Mix (Seq: 41)] Monthly Rent Per Unit - Both]&gt;</t>
        </r>
      </text>
    </comment>
    <comment ref="I340" authorId="0" shapeId="0" xr:uid="{275898AA-96D8-4DC6-B550-B8D7EB5BA69B}">
      <text>
        <r>
          <rPr>
            <b/>
            <sz val="9"/>
            <color indexed="81"/>
            <rFont val="Tahoma"/>
            <family val="2"/>
          </rPr>
          <t>&lt;[[DEVDeals] - [Deal Property (Seq: 1)] - [Property - User Defined Field Values (Seq: 1)] Income - Vacancy Allowance - Low Income - Both]&gt;</t>
        </r>
      </text>
    </comment>
    <comment ref="M340" authorId="0" shapeId="0" xr:uid="{E33D5551-2053-484F-98FE-A4D06F10104D}">
      <text>
        <r>
          <rPr>
            <b/>
            <sz val="9"/>
            <color indexed="81"/>
            <rFont val="Tahoma"/>
            <family val="2"/>
          </rPr>
          <t>&lt;[[DEVDeals] - [Associated TC Deal (Seq: 1)] - [TC Property Current Stage (Seq: 1)] Annual EGI Low Income Units - Both]&gt;</t>
        </r>
      </text>
    </comment>
    <comment ref="I341" authorId="0" shapeId="0" xr:uid="{1FE6BFCD-4E5A-4A77-B064-7670347715DE}">
      <text>
        <r>
          <rPr>
            <b/>
            <sz val="9"/>
            <color indexed="81"/>
            <rFont val="Tahoma"/>
            <family val="2"/>
          </rPr>
          <t>&lt;[[DEVDeals] - [Deal Property (Seq: 1)] - [Property - User Defined Field Values (Seq: 1)] Income - Vacancy Allowance - Market Rate - Both]&gt;</t>
        </r>
      </text>
    </comment>
    <comment ref="M341" authorId="0" shapeId="0" xr:uid="{245547C9-B553-43C1-A88B-82499165BA49}">
      <text>
        <r>
          <rPr>
            <b/>
            <sz val="9"/>
            <color indexed="81"/>
            <rFont val="Tahoma"/>
            <family val="2"/>
          </rPr>
          <t>&lt;[[DEVDeals] - [Associated TC Deal (Seq: 1)] - [TC Property Current Stage (Seq: 1)] Annual EGI Market Units - Both]&gt;</t>
        </r>
      </text>
    </comment>
    <comment ref="I342" authorId="0" shapeId="0" xr:uid="{77B112C8-E414-48F9-915B-56FD629FBD78}">
      <text>
        <r>
          <rPr>
            <b/>
            <sz val="9"/>
            <color indexed="81"/>
            <rFont val="Tahoma"/>
            <family val="2"/>
          </rPr>
          <t>&lt;[[DEVDeals] - [Deal Property (Seq: 1)] - [Property - User Defined Field Values (Seq: 1)] Income - Vacancy Allowance - Nonresidential - Both]&gt;</t>
        </r>
      </text>
    </comment>
    <comment ref="M342" authorId="0" shapeId="0" xr:uid="{88906531-1639-4B29-9009-1A0D33441E75}">
      <text>
        <r>
          <rPr>
            <b/>
            <sz val="9"/>
            <color indexed="81"/>
            <rFont val="Tahoma"/>
            <family val="2"/>
          </rPr>
          <t>&lt;[[DEVDeals] - [Associated TC Deal (Seq: 1)] - [TC Property Current Stage (Seq: 1)] Total Units - Both]&gt;</t>
        </r>
      </text>
    </comment>
    <comment ref="I343" authorId="0" shapeId="0" xr:uid="{7E86DE35-72C4-473B-8418-16F2E22CC9F7}">
      <text>
        <r>
          <rPr>
            <b/>
            <sz val="9"/>
            <color indexed="81"/>
            <rFont val="Tahoma"/>
            <family val="2"/>
          </rPr>
          <t>&lt;[[DEVDeals] - [Deal Property (Seq: 1)] - [Property - User Defined Field Values (Seq: 1)] Income - Vacancy Allowance - Commercial Income - Both]&gt;</t>
        </r>
      </text>
    </comment>
    <comment ref="M343" authorId="0" shapeId="0" xr:uid="{BDD372F4-FE17-44D4-AE5F-46A52CDE278C}">
      <text>
        <r>
          <rPr>
            <b/>
            <sz val="9"/>
            <color indexed="81"/>
            <rFont val="Tahoma"/>
            <family val="2"/>
          </rPr>
          <t>&lt;[[DEVDeals] - [Associated TC Deal (Seq: 1)] - [TC Property Current Stage (Seq: 1)] Total Low Income Units - Both]&gt;</t>
        </r>
      </text>
    </comment>
    <comment ref="I344" authorId="0" shapeId="0" xr:uid="{C3393164-3F38-4271-9A0C-2BF8E8A553B7}">
      <text>
        <r>
          <rPr>
            <b/>
            <sz val="9"/>
            <color indexed="81"/>
            <rFont val="Tahoma"/>
            <family val="2"/>
          </rPr>
          <t>&lt;[[DEVDeals] - [Deal Property (Seq: 1)] Is Electric Landlord Paid - Both]&gt;</t>
        </r>
      </text>
    </comment>
    <comment ref="M344" authorId="0" shapeId="0" xr:uid="{FAC297FA-9C1D-437D-8339-9FADACA2A3D6}">
      <text>
        <r>
          <rPr>
            <b/>
            <sz val="9"/>
            <color indexed="81"/>
            <rFont val="Tahoma"/>
            <family val="2"/>
          </rPr>
          <t>&lt;[[DEVDeals] - [Associated TC Deal (Seq: 1)] - [TC Property Current Stage (Seq: 1)] Total Annual Credit Amount Request - Both]&gt;</t>
        </r>
      </text>
    </comment>
    <comment ref="I345" authorId="0" shapeId="0" xr:uid="{17E5E4C8-4C44-46CE-A58A-FF225B1463BD}">
      <text>
        <r>
          <rPr>
            <b/>
            <sz val="9"/>
            <color indexed="81"/>
            <rFont val="Tahoma"/>
            <family val="2"/>
          </rPr>
          <t>&lt;[[DEVDeals] - [Deal Property (Seq: 1)] Is AC Landlord Paid - Both]&gt;</t>
        </r>
      </text>
    </comment>
    <comment ref="M345" authorId="0" shapeId="0" xr:uid="{FCDF894C-555A-4BE4-88AE-209E57E7B0BF}">
      <text>
        <r>
          <rPr>
            <b/>
            <sz val="9"/>
            <color indexed="81"/>
            <rFont val="Tahoma"/>
            <family val="2"/>
          </rPr>
          <t>&lt;[[DEVDeals] - [Deal Property (Seq: 1)] Total Units - Both]&gt;</t>
        </r>
      </text>
    </comment>
    <comment ref="I346" authorId="0" shapeId="0" xr:uid="{51AB4951-25AB-422F-B090-09BAA7A6F155}">
      <text>
        <r>
          <rPr>
            <b/>
            <sz val="9"/>
            <color indexed="81"/>
            <rFont val="Tahoma"/>
            <family val="2"/>
          </rPr>
          <t>&lt;[[DEVDeals] - [Deal Property (Seq: 1)] Is Hot Water Landlord Paid - Both]&gt;</t>
        </r>
      </text>
    </comment>
    <comment ref="M346" authorId="0" shapeId="0" xr:uid="{3C1612CB-D53A-4A08-BCA1-620AA0A79C12}">
      <text>
        <r>
          <rPr>
            <b/>
            <sz val="9"/>
            <color indexed="81"/>
            <rFont val="Tahoma"/>
            <family val="2"/>
          </rPr>
          <t>&lt;[[DEVDeals] - [Deal Property (Seq: 1)] Total LIHTC Units - Both]&gt;</t>
        </r>
      </text>
    </comment>
    <comment ref="I347" authorId="0" shapeId="0" xr:uid="{8992705D-B45A-456E-A4FD-031F684D9B63}">
      <text>
        <r>
          <rPr>
            <b/>
            <sz val="9"/>
            <color indexed="81"/>
            <rFont val="Tahoma"/>
            <family val="2"/>
          </rPr>
          <t>&lt;[[DEVDeals] - [Deal Property (Seq: 1)] Is Cooking Landlord Paid - Both]&gt;</t>
        </r>
      </text>
    </comment>
    <comment ref="M347" authorId="0" shapeId="0" xr:uid="{0AF5D50E-1CD9-4EE2-A2C5-CE172B75AD80}">
      <text>
        <r>
          <rPr>
            <b/>
            <sz val="9"/>
            <color indexed="81"/>
            <rFont val="Tahoma"/>
            <family val="2"/>
          </rPr>
          <t>&lt;[[DEVDeals] - [Deal Property (Seq: 1)] Total Market Units - Both]&gt;</t>
        </r>
      </text>
    </comment>
    <comment ref="I348" authorId="0" shapeId="0" xr:uid="{C1E1F4EF-EE58-4F74-ABD3-9CBA03550915}">
      <text>
        <r>
          <rPr>
            <b/>
            <sz val="9"/>
            <color indexed="81"/>
            <rFont val="Tahoma"/>
            <family val="2"/>
          </rPr>
          <t>&lt;[[DEVDeals] - [Deal Property (Seq: 1)] Is Heat Landlord Paid - Both]&gt;</t>
        </r>
      </text>
    </comment>
    <comment ref="M348" authorId="0" shapeId="0" xr:uid="{9B9F1E6B-97B8-43C2-B31A-3E3D1BF3730A}">
      <text>
        <r>
          <rPr>
            <b/>
            <sz val="9"/>
            <color indexed="81"/>
            <rFont val="Tahoma"/>
            <family val="2"/>
          </rPr>
          <t>&lt;[[DEVDeals] - [Deal Property (Seq: 1)] Total Employee Exempt Units - Both]&gt;</t>
        </r>
      </text>
    </comment>
    <comment ref="I349" authorId="0" shapeId="0" xr:uid="{7F324ADE-9B2D-4C5F-A81E-7C9533543FA2}">
      <text>
        <r>
          <rPr>
            <b/>
            <sz val="9"/>
            <color indexed="81"/>
            <rFont val="Tahoma"/>
            <family val="2"/>
          </rPr>
          <t>&lt;[[DEVDeals] - [Deal Property (Seq: 1)] Has Other Amenity4 - Both]&gt;</t>
        </r>
      </text>
    </comment>
    <comment ref="M349" authorId="0" shapeId="0" xr:uid="{9BE9D1BF-EE78-4296-B571-E3935EA322C5}">
      <text>
        <r>
          <rPr>
            <b/>
            <sz val="9"/>
            <color indexed="81"/>
            <rFont val="Tahoma"/>
            <family val="2"/>
          </rPr>
          <t>&lt;[[DEVDeals] Total Development Costs - Both]&gt;</t>
        </r>
      </text>
    </comment>
    <comment ref="I350" authorId="0" shapeId="0" xr:uid="{4C59F459-8D99-4CCD-8A0A-789166779C41}">
      <text>
        <r>
          <rPr>
            <b/>
            <sz val="9"/>
            <color indexed="81"/>
            <rFont val="Tahoma"/>
            <family val="2"/>
          </rPr>
          <t>&lt;[[DEVDeals] - [Deal Property (Seq: 1)] Other Amenity4 Desc - Both]&gt;</t>
        </r>
      </text>
    </comment>
    <comment ref="I351" authorId="0" shapeId="0" xr:uid="{C26141F1-1482-464A-848B-E2EE754F688D}">
      <text>
        <r>
          <rPr>
            <b/>
            <sz val="9"/>
            <color indexed="81"/>
            <rFont val="Tahoma"/>
            <family val="2"/>
          </rPr>
          <t>&lt;[[DEVDeals] - [Deal Property (Seq: 1)] - [Property - User Defined Field Values (Seq: 1)] Income - Misc Income 1 Description - Both]&gt;</t>
        </r>
      </text>
    </comment>
    <comment ref="I352" authorId="0" shapeId="0" xr:uid="{6D90B261-7671-472B-BB2D-F94F5E7361F5}">
      <text>
        <r>
          <rPr>
            <b/>
            <sz val="9"/>
            <color indexed="81"/>
            <rFont val="Tahoma"/>
            <family val="2"/>
          </rPr>
          <t>&lt;[[DEVDeals] - [Deal Property (Seq: 1)] - [Property - User Defined Field Values (Seq: 1)] Income - Misc Income 2 Description - Both]&gt;</t>
        </r>
      </text>
    </comment>
    <comment ref="I353" authorId="0" shapeId="0" xr:uid="{66DD8734-FFFB-487A-881E-4746FD73E1CD}">
      <text>
        <r>
          <rPr>
            <b/>
            <sz val="9"/>
            <color indexed="81"/>
            <rFont val="Tahoma"/>
            <family val="2"/>
          </rPr>
          <t>&lt;[[DEVDeals] - [Deal Property (Seq: 1)] - [Property - User Defined Field Values (Seq: 1)] Income - Other Income 1 Description - Both]&gt;</t>
        </r>
      </text>
    </comment>
    <comment ref="I354" authorId="0" shapeId="0" xr:uid="{265427DA-7FCF-4CBA-8986-E81BC39533C9}">
      <text>
        <r>
          <rPr>
            <b/>
            <sz val="9"/>
            <color indexed="81"/>
            <rFont val="Tahoma"/>
            <family val="2"/>
          </rPr>
          <t>&lt;[[DEVDeals] - [Deal Property (Seq: 1)] - [Property - User Defined Field Values (Seq: 1)] Income - Other Income 2 Description - Both]&gt;</t>
        </r>
      </text>
    </comment>
    <comment ref="I355" authorId="0" shapeId="0" xr:uid="{459B608B-E6A9-4644-8FBE-AC9138FDE67E}">
      <text>
        <r>
          <rPr>
            <b/>
            <sz val="9"/>
            <color indexed="81"/>
            <rFont val="Tahoma"/>
            <family val="2"/>
          </rPr>
          <t>&lt;[[DEVDeals] - [Deal Property (Seq: 1)] - [Property - User Defined Field Values (Seq: 1)] Income - Commercial Income Description - Both]&gt;</t>
        </r>
      </text>
    </comment>
    <comment ref="I356" authorId="0" shapeId="0" xr:uid="{9E14C13B-30DE-411A-A88D-777EA3544F66}">
      <text>
        <r>
          <rPr>
            <b/>
            <sz val="9"/>
            <color indexed="81"/>
            <rFont val="Tahoma"/>
            <family val="2"/>
          </rPr>
          <t>&lt;[[DEVDeals] - [Deal Property (Seq: 1)] - [Property - User Defined Field Values (Seq: 1)] Income - Misc Income 1 Square footage - Both]&gt;</t>
        </r>
      </text>
    </comment>
    <comment ref="I357" authorId="0" shapeId="0" xr:uid="{591E5982-02A3-45CD-8D4D-3A17A98E7315}">
      <text>
        <r>
          <rPr>
            <b/>
            <sz val="9"/>
            <color indexed="81"/>
            <rFont val="Tahoma"/>
            <family val="2"/>
          </rPr>
          <t>&lt;[[DEVDeals] - [Deal Property (Seq: 1)] - [Property - User Defined Field Values (Seq: 1)] Income - Misc Income 2 Square footage - Both]&gt;</t>
        </r>
      </text>
    </comment>
    <comment ref="I358" authorId="0" shapeId="0" xr:uid="{F5F21180-8900-4448-B2B0-73D4D65C7B7B}">
      <text>
        <r>
          <rPr>
            <b/>
            <sz val="9"/>
            <color indexed="81"/>
            <rFont val="Tahoma"/>
            <family val="2"/>
          </rPr>
          <t>&lt;[[DEVDeals] - [Deal Property (Seq: 1)] - [Property - User Defined Field Values (Seq: 1)] Income - Other 1 Square footage - Both]&gt;</t>
        </r>
      </text>
    </comment>
    <comment ref="I359" authorId="0" shapeId="0" xr:uid="{4E71A83C-A019-42F7-B1A6-94B7490D2D5E}">
      <text>
        <r>
          <rPr>
            <b/>
            <sz val="9"/>
            <color indexed="81"/>
            <rFont val="Tahoma"/>
            <family val="2"/>
          </rPr>
          <t>&lt;[[DEVDeals] - [Deal Property (Seq: 1)] - [Property - User Defined Field Values (Seq: 1)] Income - Other 2 Square footage - Both]&gt;</t>
        </r>
      </text>
    </comment>
    <comment ref="I360" authorId="0" shapeId="0" xr:uid="{3CC4DA71-A1DA-4FEC-B3D5-94FA79858CB3}">
      <text>
        <r>
          <rPr>
            <b/>
            <sz val="9"/>
            <color indexed="81"/>
            <rFont val="Tahoma"/>
            <family val="2"/>
          </rPr>
          <t>&lt;[[DEVDeals] - [Deal Property (Seq: 1)] - [Property - User Defined Field Values (Seq: 1)] Income - Commercial Income Square footage - Both]&gt;</t>
        </r>
      </text>
    </comment>
    <comment ref="I361" authorId="0" shapeId="0" xr:uid="{BEF07EE9-9A7F-424E-9F54-A9922CB0E6B7}">
      <text>
        <r>
          <rPr>
            <b/>
            <sz val="9"/>
            <color indexed="81"/>
            <rFont val="Tahoma"/>
            <family val="2"/>
          </rPr>
          <t>&lt;[[DEVDeals] - [Deal Property (Seq: 1)] - [Property - User Defined Field Values (Seq: 1)] Income - Misc Income 1 Monthly Income - Both]&gt;</t>
        </r>
      </text>
    </comment>
    <comment ref="I362" authorId="0" shapeId="0" xr:uid="{AF78B5EB-6BDC-4099-BA2F-20755DC19C5E}">
      <text>
        <r>
          <rPr>
            <b/>
            <sz val="9"/>
            <color indexed="81"/>
            <rFont val="Tahoma"/>
            <family val="2"/>
          </rPr>
          <t>&lt;[[DEVDeals] - [Deal Property (Seq: 1)] - [Property - User Defined Field Values (Seq: 1)] Income - Misc Income 2 Monthly Income - Both]&gt;</t>
        </r>
      </text>
    </comment>
    <comment ref="I363" authorId="0" shapeId="0" xr:uid="{5C968DAB-A9B7-4729-BA4B-A30475981190}">
      <text>
        <r>
          <rPr>
            <b/>
            <sz val="9"/>
            <color indexed="81"/>
            <rFont val="Tahoma"/>
            <family val="2"/>
          </rPr>
          <t>&lt;[[DEVDeals] - [Deal Property (Seq: 1)] - [Property - User Defined Field Values (Seq: 1)] Income - Other 1 Monthly Income - Both]&gt;</t>
        </r>
      </text>
    </comment>
    <comment ref="I364" authorId="0" shapeId="0" xr:uid="{9D4F72BE-E396-4F62-86AD-769FF86D7D86}">
      <text>
        <r>
          <rPr>
            <b/>
            <sz val="9"/>
            <color indexed="81"/>
            <rFont val="Tahoma"/>
            <family val="2"/>
          </rPr>
          <t>&lt;[[DEVDeals] - [Deal Property (Seq: 1)] - [Property - User Defined Field Values (Seq: 1)] Income - Other 2 Monthly Income - Both]&gt;</t>
        </r>
      </text>
    </comment>
    <comment ref="I365" authorId="0" shapeId="0" xr:uid="{F0821E45-326E-45C6-9771-51E5D51FD81D}">
      <text>
        <r>
          <rPr>
            <b/>
            <sz val="9"/>
            <color indexed="81"/>
            <rFont val="Tahoma"/>
            <family val="2"/>
          </rPr>
          <t>&lt;[[DEVDeals] - [Deal Property (Seq: 1)] - [Property - User Defined Field Values (Seq: 1)] Income - Commercial Income Monthly Income - Both]&gt;</t>
        </r>
      </text>
    </comment>
    <comment ref="I366" authorId="0" shapeId="0" xr:uid="{4DA1409C-A946-4E9E-A3AB-2A95004144CA}">
      <text>
        <r>
          <rPr>
            <b/>
            <sz val="9"/>
            <color indexed="81"/>
            <rFont val="Tahoma"/>
            <family val="2"/>
          </rPr>
          <t>&lt;[[DEVDeals] - [Deal Property (Seq: 1)] - [Property - User Defined Field Values (Seq: 1)] Income - Non-income Producing Description 1 - Both]&gt;</t>
        </r>
      </text>
    </comment>
    <comment ref="I367" authorId="0" shapeId="0" xr:uid="{215EF35A-B12B-42E4-BB7B-A66A2E1E79CC}">
      <text>
        <r>
          <rPr>
            <b/>
            <sz val="9"/>
            <color indexed="81"/>
            <rFont val="Tahoma"/>
            <family val="2"/>
          </rPr>
          <t>&lt;[[DEVDeals] - [Deal Property (Seq: 1)] - [Property - User Defined Field Values (Seq: 1)] Income - Non-income Producing Description 2 - Both]&gt;</t>
        </r>
      </text>
    </comment>
    <comment ref="I368" authorId="0" shapeId="0" xr:uid="{08FBB874-0ACC-4394-AE65-E6DBEB636D01}">
      <text>
        <r>
          <rPr>
            <b/>
            <sz val="9"/>
            <color indexed="81"/>
            <rFont val="Tahoma"/>
            <family val="2"/>
          </rPr>
          <t>&lt;[[DEVDeals] - [Deal Property (Seq: 1)] - [Property - User Defined Field Values (Seq: 1)] Income - Non-income Producing Description 3 - Both]&gt;</t>
        </r>
      </text>
    </comment>
    <comment ref="I369" authorId="0" shapeId="0" xr:uid="{E2B4D1A1-0DD1-48BA-BEE3-74918747E828}">
      <text>
        <r>
          <rPr>
            <b/>
            <sz val="9"/>
            <color indexed="81"/>
            <rFont val="Tahoma"/>
            <family val="2"/>
          </rPr>
          <t>&lt;[[DEVDeals] - [Deal Property (Seq: 1)] - [Property - User Defined Field Values (Seq: 1)] Income - Non-income Producing Description 4 - Both]&gt;</t>
        </r>
      </text>
    </comment>
    <comment ref="I370" authorId="0" shapeId="0" xr:uid="{25B4573B-1A0D-492A-AFE1-791D673C06FC}">
      <text>
        <r>
          <rPr>
            <b/>
            <sz val="9"/>
            <color indexed="81"/>
            <rFont val="Tahoma"/>
            <family val="2"/>
          </rPr>
          <t>&lt;[[DEVDeals] - [Deal Property (Seq: 1)] - [Property - User Defined Field Values (Seq: 1)] Income - Non-income Producing Description 5 - Both]&gt;</t>
        </r>
      </text>
    </comment>
    <comment ref="I371" authorId="0" shapeId="0" xr:uid="{F5862955-584E-43A8-B7B1-0FCA886D2560}">
      <text>
        <r>
          <rPr>
            <b/>
            <sz val="9"/>
            <color indexed="81"/>
            <rFont val="Tahoma"/>
            <family val="2"/>
          </rPr>
          <t>&lt;[[DEVDeals] - [Deal Property (Seq: 1)] - [Property - User Defined Field Values (Seq: 1)] Income - Non-income Producing Units Count 1 - Both]&gt;</t>
        </r>
      </text>
    </comment>
    <comment ref="I372" authorId="0" shapeId="0" xr:uid="{77B10538-E476-4965-BD5B-0B8097A9A039}">
      <text>
        <r>
          <rPr>
            <b/>
            <sz val="9"/>
            <color indexed="81"/>
            <rFont val="Tahoma"/>
            <family val="2"/>
          </rPr>
          <t>&lt;[[DEVDeals] - [Deal Property (Seq: 1)] - [Property - User Defined Field Values (Seq: 1)] Income - Non-income Producing Units Count 2 - Both]&gt;</t>
        </r>
      </text>
    </comment>
    <comment ref="I373" authorId="0" shapeId="0" xr:uid="{C3C97288-890D-4503-8C4C-FC0635A47DCE}">
      <text>
        <r>
          <rPr>
            <b/>
            <sz val="9"/>
            <color indexed="81"/>
            <rFont val="Tahoma"/>
            <family val="2"/>
          </rPr>
          <t>&lt;[[DEVDeals] - [Deal Property (Seq: 1)] - [Property - User Defined Field Values (Seq: 1)] Income - Non-income Producing Units Count 3 - Both]&gt;</t>
        </r>
      </text>
    </comment>
    <comment ref="I374" authorId="0" shapeId="0" xr:uid="{E1AF8BCF-F7B0-4DB2-8098-BB52E2649E41}">
      <text>
        <r>
          <rPr>
            <b/>
            <sz val="9"/>
            <color indexed="81"/>
            <rFont val="Tahoma"/>
            <family val="2"/>
          </rPr>
          <t>&lt;[[DEVDeals] - [Deal Property (Seq: 1)] - [Property - User Defined Field Values (Seq: 1)] Income - Non-income Producing Units Count 4 - Both]&gt;</t>
        </r>
      </text>
    </comment>
    <comment ref="I375" authorId="0" shapeId="0" xr:uid="{7A789B9E-73F1-48DD-A5FE-6132A86D395E}">
      <text>
        <r>
          <rPr>
            <b/>
            <sz val="9"/>
            <color indexed="81"/>
            <rFont val="Tahoma"/>
            <family val="2"/>
          </rPr>
          <t>&lt;[[DEVDeals] - [Deal Property (Seq: 1)] - [Property - User Defined Field Values (Seq: 1)] Income - Non-income Producing Units Count 5 - Both]&gt;</t>
        </r>
      </text>
    </comment>
    <comment ref="I376" authorId="0" shapeId="0" xr:uid="{F5ED3075-8212-47D4-A644-7BAD87FA5D58}">
      <text>
        <r>
          <rPr>
            <b/>
            <sz val="9"/>
            <color indexed="81"/>
            <rFont val="Tahoma"/>
            <family val="2"/>
          </rPr>
          <t>&lt;[[DEVDeals] - [Deal Property (Seq: 1)] - [Property - User Defined Field Values (Seq: 1)] Income - Non-income Producing Sqft 1 - Both]&gt;</t>
        </r>
      </text>
    </comment>
    <comment ref="I377" authorId="0" shapeId="0" xr:uid="{F76D268B-6CA0-47CF-843F-7F5E7014B16F}">
      <text>
        <r>
          <rPr>
            <b/>
            <sz val="9"/>
            <color indexed="81"/>
            <rFont val="Tahoma"/>
            <family val="2"/>
          </rPr>
          <t>&lt;[[DEVDeals] - [Deal Property (Seq: 1)] - [Property - User Defined Field Values (Seq: 1)] Income - Non-income Producing Sqft 2 - Both]&gt;</t>
        </r>
      </text>
    </comment>
    <comment ref="I378" authorId="0" shapeId="0" xr:uid="{E4B47DDC-47AD-41F5-AC24-9725EAC1F9AD}">
      <text>
        <r>
          <rPr>
            <b/>
            <sz val="9"/>
            <color indexed="81"/>
            <rFont val="Tahoma"/>
            <family val="2"/>
          </rPr>
          <t>&lt;[[DEVDeals] - [Deal Property (Seq: 1)] - [Property - User Defined Field Values (Seq: 1)] Income - Non-income Producing Sqft 3 - Both]&gt;</t>
        </r>
      </text>
    </comment>
    <comment ref="I379" authorId="0" shapeId="0" xr:uid="{0D5AE5DA-B8F9-4A90-9973-8F603C810AB8}">
      <text>
        <r>
          <rPr>
            <b/>
            <sz val="9"/>
            <color indexed="81"/>
            <rFont val="Tahoma"/>
            <family val="2"/>
          </rPr>
          <t>&lt;[[DEVDeals] - [Deal Property (Seq: 1)] - [Property - User Defined Field Values (Seq: 1)] Income - Non-income Producing Sqft 4 - Both]&gt;</t>
        </r>
      </text>
    </comment>
    <comment ref="I380" authorId="0" shapeId="0" xr:uid="{1D704CA4-F8DF-46CC-9E4E-DCDF46045C40}">
      <text>
        <r>
          <rPr>
            <b/>
            <sz val="9"/>
            <color indexed="81"/>
            <rFont val="Tahoma"/>
            <family val="2"/>
          </rPr>
          <t>&lt;[[DEVDeals] - [Deal Property (Seq: 1)] - [Property - User Defined Field Values (Seq: 1)] Income - Non-income Producing Sqft 5 - Both]&gt;</t>
        </r>
      </text>
    </comment>
    <comment ref="I385" authorId="0" shapeId="0" xr:uid="{0A9B82F7-0BD5-4F5A-A2CE-BD0750D63D12}">
      <text>
        <r>
          <rPr>
            <b/>
            <sz val="9"/>
            <color indexed="81"/>
            <rFont val="Tahoma"/>
            <family val="2"/>
          </rPr>
          <t>&lt;[[DEVDeals] - [Associated TC Deal (Seq: 1)] - [TC Property Current Stage (Seq: 1)] Admin Adv Mrktg - Both]&gt;</t>
        </r>
      </text>
    </comment>
    <comment ref="I386" authorId="0" shapeId="0" xr:uid="{19007EA6-97EF-496E-89A5-4225B352F7C5}">
      <text>
        <r>
          <rPr>
            <b/>
            <sz val="9"/>
            <color indexed="81"/>
            <rFont val="Tahoma"/>
            <family val="2"/>
          </rPr>
          <t>&lt;[[DEVDeals] - [Associated TC Deal (Seq: 1)] - [TC Property Current Stage (Seq: 1)] Admin Office Salaries - Both]&gt;</t>
        </r>
      </text>
    </comment>
    <comment ref="I387" authorId="0" shapeId="0" xr:uid="{2ABC9743-D53A-481B-93F2-AC97CA4D0D54}">
      <text>
        <r>
          <rPr>
            <b/>
            <sz val="9"/>
            <color indexed="81"/>
            <rFont val="Tahoma"/>
            <family val="2"/>
          </rPr>
          <t>&lt;[[DEVDeals] - [Associated TC Deal (Seq: 1)] - [TC Property Current Stage (Seq: 1)] Admin Office Supplies - Both]&gt;</t>
        </r>
      </text>
    </comment>
    <comment ref="I388" authorId="0" shapeId="0" xr:uid="{FFDA4186-B1DC-4E8E-B1BC-554956D4378C}">
      <text>
        <r>
          <rPr>
            <b/>
            <sz val="9"/>
            <color indexed="81"/>
            <rFont val="Tahoma"/>
            <family val="2"/>
          </rPr>
          <t>&lt;[[DEVDeals] - [Associated TC Deal (Seq: 1)] - [TC Property Current Stage (Seq: 1)] Admin Office Model Apt - Both]&gt;</t>
        </r>
      </text>
    </comment>
    <comment ref="I389" authorId="0" shapeId="0" xr:uid="{77BC4BB9-8CB0-4CDF-B2F8-BBD004ED74EE}">
      <text>
        <r>
          <rPr>
            <b/>
            <sz val="9"/>
            <color indexed="81"/>
            <rFont val="Tahoma"/>
            <family val="2"/>
          </rPr>
          <t>&lt;[[DEVDeals] - [Associated TC Deal (Seq: 1)] - [TC Property Current Stage (Seq: 1)] Admin Mgt Fee - Both]&gt;</t>
        </r>
      </text>
    </comment>
    <comment ref="M390" authorId="0" shapeId="0" xr:uid="{1C4040B1-F54C-4891-A920-74868CAF8EEA}">
      <text>
        <r>
          <rPr>
            <b/>
            <sz val="9"/>
            <color indexed="81"/>
            <rFont val="Tahoma"/>
            <family val="2"/>
          </rPr>
          <t>&lt;[[DEVDeals] - [Associated TC Deal (Seq: 1)] - [TC Property Current Stage (Seq: 1)] - [TC Property Current Stage - User Defined Field Values (Seq: 1)] Additional Property Information - Management Fee Annual Rate % - Both]&gt;</t>
        </r>
      </text>
    </comment>
    <comment ref="I391" authorId="0" shapeId="0" xr:uid="{B245D6FF-3B62-41D3-9C4F-138EF6FC2D86}">
      <text>
        <r>
          <rPr>
            <b/>
            <sz val="9"/>
            <color indexed="81"/>
            <rFont val="Tahoma"/>
            <family val="2"/>
          </rPr>
          <t>&lt;[[DEVDeals] - [Associated TC Deal (Seq: 1)] - [TC Property Current Stage (Seq: 1)] Admin Staff Unit - Both]&gt;</t>
        </r>
      </text>
    </comment>
    <comment ref="I392" authorId="0" shapeId="0" xr:uid="{6DEBFA3D-D2B5-427B-A27F-90B73D989635}">
      <text>
        <r>
          <rPr>
            <b/>
            <sz val="9"/>
            <color indexed="81"/>
            <rFont val="Tahoma"/>
            <family val="2"/>
          </rPr>
          <t>&lt;[[DEVDeals] - [Associated TC Deal (Seq: 1)] - [TC Property Current Stage (Seq: 1)] Admin Legal - Both]&gt;</t>
        </r>
      </text>
    </comment>
    <comment ref="I393" authorId="0" shapeId="0" xr:uid="{7DE65A72-BA06-4BAB-A691-8740771B6518}">
      <text>
        <r>
          <rPr>
            <b/>
            <sz val="9"/>
            <color indexed="81"/>
            <rFont val="Tahoma"/>
            <family val="2"/>
          </rPr>
          <t>&lt;[[DEVDeals] - [Associated TC Deal (Seq: 1)] - [TC Property Current Stage (Seq: 1)] Admin Auditing - Both]&gt;</t>
        </r>
      </text>
    </comment>
    <comment ref="I394" authorId="0" shapeId="0" xr:uid="{8E091C50-7748-4C83-A3E5-FC3F84EF25E6}">
      <text>
        <r>
          <rPr>
            <b/>
            <sz val="9"/>
            <color indexed="81"/>
            <rFont val="Tahoma"/>
            <family val="2"/>
          </rPr>
          <t>&lt;[[DEVDeals] - [Associated TC Deal (Seq: 1)] - [TC Property Current Stage (Seq: 1)] Admin Bookkeeping Fees - Both]&gt;</t>
        </r>
      </text>
    </comment>
    <comment ref="I395" authorId="0" shapeId="0" xr:uid="{7B7E1CFF-9DB8-46E9-9C09-504CA7742F66}">
      <text>
        <r>
          <rPr>
            <b/>
            <sz val="9"/>
            <color indexed="81"/>
            <rFont val="Tahoma"/>
            <family val="2"/>
          </rPr>
          <t>&lt;[[DEVDeals] - [Associated TC Deal (Seq: 1)] - [TC Property Current Stage (Seq: 1)] Admin Telephone Answering Svc - Both]&gt;</t>
        </r>
      </text>
    </comment>
    <comment ref="M396" authorId="0" shapeId="0" xr:uid="{6F8DA934-B057-4BB4-97DD-77246F27BE86}">
      <text>
        <r>
          <rPr>
            <b/>
            <sz val="9"/>
            <color indexed="81"/>
            <rFont val="Tahoma"/>
            <family val="2"/>
          </rPr>
          <t>&lt;[[DEVDeals] - [Associated TC Deal (Seq: 1)] - [TC Property Current Stage (Seq: 1)] - [TC Property Current Stage - User Defined Field Values (Seq: 1)] Additional Property Information - Bad Debts - Both]&gt;</t>
        </r>
      </text>
    </comment>
    <comment ref="M397" authorId="0" shapeId="0" xr:uid="{3E6E160E-565B-4A12-B3E9-8858168C5534}">
      <text>
        <r>
          <rPr>
            <b/>
            <sz val="9"/>
            <color indexed="81"/>
            <rFont val="Tahoma"/>
            <family val="2"/>
          </rPr>
          <t>&lt;[[DEVDeals] - [Associated TC Deal (Seq: 1)] - [TC Property Current Stage (Seq: 1)] - [TC Property Current Stage - User Defined Field Values (Seq: 1)] Additional Property Information - Miscellaneous Administrative Expenses 1 - Both]&gt;</t>
        </r>
      </text>
    </comment>
    <comment ref="M398" authorId="0" shapeId="0" xr:uid="{60FAD1DB-62B5-4F30-BB76-64FD9955C89D}">
      <text>
        <r>
          <rPr>
            <b/>
            <sz val="9"/>
            <color indexed="81"/>
            <rFont val="Tahoma"/>
            <family val="2"/>
          </rPr>
          <t>&lt;[[DEVDeals] - [Associated TC Deal (Seq: 1)] - [TC Property Current Stage (Seq: 1)] - [TC Property Current Stage - User Defined Field Values (Seq: 1)] Additional Property Information - Miscellaneous Administrative Expenses 1 Describe - Both]&gt;</t>
        </r>
      </text>
    </comment>
    <comment ref="I399" authorId="0" shapeId="0" xr:uid="{AC3666A2-FF9C-4A17-B6CA-4A8296341879}">
      <text>
        <r>
          <rPr>
            <b/>
            <sz val="9"/>
            <color indexed="81"/>
            <rFont val="Tahoma"/>
            <family val="2"/>
          </rPr>
          <t>&lt;[[DEVDeals] - [Associated TC Deal (Seq: 1)] - [TC Property Current Stage (Seq: 1)] Admin Misc - Both]&gt;</t>
        </r>
      </text>
    </comment>
    <comment ref="M399" authorId="0" shapeId="0" xr:uid="{A3F7C04D-C7E4-46BE-8001-43AEC6172E14}">
      <text>
        <r>
          <rPr>
            <b/>
            <sz val="9"/>
            <color indexed="81"/>
            <rFont val="Tahoma"/>
            <family val="2"/>
          </rPr>
          <t>&lt;[[DEVDeals] - [Associated TC Deal (Seq: 1)] - [TC Property Current Stage (Seq: 1)] - [TC Property Current Stage - User Defined Field Values (Seq: 1)] Additional Property Information - Miscellaneous Administrative Expenses 2 - Both]&gt;</t>
        </r>
      </text>
    </comment>
    <comment ref="M400" authorId="0" shapeId="0" xr:uid="{4743790F-4DDE-45D9-8C01-B27C10A9FDE7}">
      <text>
        <r>
          <rPr>
            <b/>
            <sz val="9"/>
            <color indexed="81"/>
            <rFont val="Tahoma"/>
            <family val="2"/>
          </rPr>
          <t>&lt;[[DEVDeals] - [Associated TC Deal (Seq: 1)] - [TC Property Current Stage (Seq: 1)] - [TC Property Current Stage - User Defined Field Values (Seq: 1)] Additional Property Information - Miscellaneous Administrative Expenses 2 Describe - Both]&gt;</t>
        </r>
      </text>
    </comment>
    <comment ref="M401" authorId="0" shapeId="0" xr:uid="{973C9921-4CCD-4DF1-8D43-8442EBCFDDB6}">
      <text>
        <r>
          <rPr>
            <b/>
            <sz val="9"/>
            <color indexed="81"/>
            <rFont val="Tahoma"/>
            <family val="2"/>
          </rPr>
          <t>&lt;[[DEVDeals] - [Associated TC Deal (Seq: 1)] - [TC Property Current Stage (Seq: 1)] - [TC Property Current Stage - User Defined Field Values (Seq: 1)] Additional Property Information - Miscellaneous Administrative Expenses 3 - Both]&gt;</t>
        </r>
      </text>
    </comment>
    <comment ref="M402" authorId="0" shapeId="0" xr:uid="{38937FA5-0A2A-4E49-96A3-26A3A13B7421}">
      <text>
        <r>
          <rPr>
            <b/>
            <sz val="9"/>
            <color indexed="81"/>
            <rFont val="Tahoma"/>
            <family val="2"/>
          </rPr>
          <t>&lt;[[DEVDeals] - [Associated TC Deal (Seq: 1)] - [TC Property Current Stage (Seq: 1)] - [TC Property Current Stage - User Defined Field Values (Seq: 1)] Additional Property Information - Miscellaneous Administrative Expenses 3 Describe - Both]&gt;</t>
        </r>
      </text>
    </comment>
    <comment ref="I403" authorId="0" shapeId="0" xr:uid="{60CA2727-EDCD-4C6F-B2CF-8AD71E425C58}">
      <text>
        <r>
          <rPr>
            <b/>
            <sz val="9"/>
            <color indexed="81"/>
            <rFont val="Tahoma"/>
            <family val="2"/>
          </rPr>
          <t>&lt;[[DEVDeals] - [Associated TC Deal (Seq: 1)] - [TC Property Current Stage (Seq: 1)] Admin Tax Credit Monitoring Fee - Both]&gt;</t>
        </r>
      </text>
    </comment>
    <comment ref="I404" authorId="0" shapeId="0" xr:uid="{DC8DBCD0-AD7C-41C1-9921-13E154E72BA8}">
      <text>
        <r>
          <rPr>
            <b/>
            <sz val="9"/>
            <color indexed="81"/>
            <rFont val="Tahoma"/>
            <family val="2"/>
          </rPr>
          <t>&lt;[[DEVDeals] - [Associated TC Deal (Seq: 1)] - [TC Property Current Stage (Seq: 1)] Utilities Fuel Oil - Both]&gt;</t>
        </r>
      </text>
    </comment>
    <comment ref="I405" authorId="0" shapeId="0" xr:uid="{1731A8BB-2F55-48E2-A3BE-5A5606AD3966}">
      <text>
        <r>
          <rPr>
            <b/>
            <sz val="9"/>
            <color indexed="81"/>
            <rFont val="Tahoma"/>
            <family val="2"/>
          </rPr>
          <t>&lt;[[DEVDeals] - [Associated TC Deal (Seq: 1)] - [TC Property Current Stage (Seq: 1)] Utilities Electricity - Both]&gt;</t>
        </r>
      </text>
    </comment>
    <comment ref="I406" authorId="0" shapeId="0" xr:uid="{374CF02E-350E-4A85-9B04-5705A68861F4}">
      <text>
        <r>
          <rPr>
            <b/>
            <sz val="9"/>
            <color indexed="81"/>
            <rFont val="Tahoma"/>
            <family val="2"/>
          </rPr>
          <t>&lt;[[DEVDeals] - [Associated TC Deal (Seq: 1)] - [TC Property Current Stage (Seq: 1)] Utilities Gas - Both]&gt;</t>
        </r>
      </text>
    </comment>
    <comment ref="I407" authorId="0" shapeId="0" xr:uid="{A046C1E9-8A71-4D80-AC26-D6264FEDB58F}">
      <text>
        <r>
          <rPr>
            <b/>
            <sz val="9"/>
            <color indexed="81"/>
            <rFont val="Tahoma"/>
            <family val="2"/>
          </rPr>
          <t>&lt;[[DEVDeals] - [Associated TC Deal (Seq: 1)] - [TC Property Current Stage (Seq: 1)] Utilities Water - Both]&gt;</t>
        </r>
      </text>
    </comment>
    <comment ref="I408" authorId="0" shapeId="0" xr:uid="{E88EC459-04CE-47D5-95D3-D978833120CE}">
      <text>
        <r>
          <rPr>
            <b/>
            <sz val="9"/>
            <color indexed="81"/>
            <rFont val="Tahoma"/>
            <family val="2"/>
          </rPr>
          <t>&lt;[[DEVDeals] - [Associated TC Deal (Seq: 1)] - [TC Property Current Stage (Seq: 1)] Utilities Sewer - Both]&gt;</t>
        </r>
      </text>
    </comment>
    <comment ref="I409" authorId="0" shapeId="0" xr:uid="{5DAE5486-47EA-4287-A6F7-68EE32AE86DE}">
      <text>
        <r>
          <rPr>
            <b/>
            <sz val="9"/>
            <color indexed="81"/>
            <rFont val="Tahoma"/>
            <family val="2"/>
          </rPr>
          <t>&lt;[[DEVDeals] - [Associated TC Deal (Seq: 1)] - [TC Property Current Stage (Seq: 1)] Oper Janitor Cleaning Payroll - Both]&gt;</t>
        </r>
      </text>
    </comment>
    <comment ref="I410" authorId="0" shapeId="0" xr:uid="{69019017-AF00-4B74-A4D2-D4279A1D81B4}">
      <text>
        <r>
          <rPr>
            <b/>
            <sz val="9"/>
            <color indexed="81"/>
            <rFont val="Tahoma"/>
            <family val="2"/>
          </rPr>
          <t>&lt;[[DEVDeals] - [Associated TC Deal (Seq: 1)] - [TC Property Current Stage (Seq: 1)] Oper Janitor Cleaning Supplies - Both]&gt;</t>
        </r>
      </text>
    </comment>
    <comment ref="I411" authorId="0" shapeId="0" xr:uid="{EC213A26-835E-45E3-921A-5EC45B1CF2C7}">
      <text>
        <r>
          <rPr>
            <b/>
            <sz val="9"/>
            <color indexed="81"/>
            <rFont val="Tahoma"/>
            <family val="2"/>
          </rPr>
          <t>&lt;[[DEVDeals] - [Associated TC Deal (Seq: 1)] - [TC Property Current Stage (Seq: 1)] Oper Janitor Cleaning Contract - Both]&gt;</t>
        </r>
      </text>
    </comment>
    <comment ref="I412" authorId="0" shapeId="0" xr:uid="{C7E23727-45A7-491B-975F-BC493DD5DC67}">
      <text>
        <r>
          <rPr>
            <b/>
            <sz val="9"/>
            <color indexed="81"/>
            <rFont val="Tahoma"/>
            <family val="2"/>
          </rPr>
          <t>&lt;[[DEVDeals] - [Associated TC Deal (Seq: 1)] - [TC Property Current Stage (Seq: 1)] Oper Exterminating - Both]&gt;</t>
        </r>
      </text>
    </comment>
    <comment ref="M412" authorId="0" shapeId="0" xr:uid="{05161CEE-07D6-466D-8AA3-CE52DA03965E}">
      <text>
        <r>
          <rPr>
            <b/>
            <sz val="9"/>
            <color indexed="81"/>
            <rFont val="Tahoma"/>
            <family val="2"/>
          </rPr>
          <t>&lt;[[DEVDeals] - [Associated TC Deal (Seq: 1)] - [TC Property Current Stage (Seq: 1)] - [TC Property Current Stage - User Defined Field Values (Seq: 1)] Additional Property Information - Exterminating Payroll - Both]&gt;</t>
        </r>
      </text>
    </comment>
    <comment ref="M413" authorId="0" shapeId="0" xr:uid="{AB22E79A-3A8B-4F33-8165-DDD73CD98243}">
      <text>
        <r>
          <rPr>
            <b/>
            <sz val="9"/>
            <color indexed="81"/>
            <rFont val="Tahoma"/>
            <family val="2"/>
          </rPr>
          <t>&lt;[[DEVDeals] - [Associated TC Deal (Seq: 1)] - [TC Property Current Stage (Seq: 1)] - [TC Property Current Stage - User Defined Field Values (Seq: 1)] Additional Property Information - Exterminating Supplies - Both]&gt;</t>
        </r>
      </text>
    </comment>
    <comment ref="I414" authorId="0" shapeId="0" xr:uid="{619F2239-5D6D-4F58-A2D1-C46FF952ABD2}">
      <text>
        <r>
          <rPr>
            <b/>
            <sz val="9"/>
            <color indexed="81"/>
            <rFont val="Tahoma"/>
            <family val="2"/>
          </rPr>
          <t>&lt;[[DEVDeals] - [Associated TC Deal (Seq: 1)] - [TC Property Current Stage (Seq: 1)] Oper Trash Removal - Both]&gt;</t>
        </r>
      </text>
    </comment>
    <comment ref="I415" authorId="0" shapeId="0" xr:uid="{5D8945A9-E377-4FFB-817F-330CD16719D7}">
      <text>
        <r>
          <rPr>
            <b/>
            <sz val="9"/>
            <color indexed="81"/>
            <rFont val="Tahoma"/>
            <family val="2"/>
          </rPr>
          <t>&lt;[[DEVDeals] - [Associated TC Deal (Seq: 1)] - [TC Property Current Stage (Seq: 1)] Oper Security Payroll - Both]&gt;</t>
        </r>
      </text>
    </comment>
    <comment ref="I416" authorId="0" shapeId="0" xr:uid="{176796B5-C89E-4765-9705-6A8029DFB2B1}">
      <text>
        <r>
          <rPr>
            <b/>
            <sz val="9"/>
            <color indexed="81"/>
            <rFont val="Tahoma"/>
            <family val="2"/>
          </rPr>
          <t>&lt;[[DEVDeals] - [Associated TC Deal (Seq: 1)] - [TC Property Current Stage (Seq: 1)] Oper Grounds Payroll - Both]&gt;</t>
        </r>
      </text>
    </comment>
    <comment ref="I417" authorId="0" shapeId="0" xr:uid="{491A9113-3469-4716-A9A1-4D2E37852CF6}">
      <text>
        <r>
          <rPr>
            <b/>
            <sz val="9"/>
            <color indexed="81"/>
            <rFont val="Tahoma"/>
            <family val="2"/>
          </rPr>
          <t>&lt;[[DEVDeals] - [Associated TC Deal (Seq: 1)] - [TC Property Current Stage (Seq: 1)] Oper Grounds Supplies - Both]&gt;</t>
        </r>
      </text>
    </comment>
    <comment ref="I418" authorId="0" shapeId="0" xr:uid="{37E01948-A67D-46E4-A210-205EC4A835AF}">
      <text>
        <r>
          <rPr>
            <b/>
            <sz val="9"/>
            <color indexed="81"/>
            <rFont val="Tahoma"/>
            <family val="2"/>
          </rPr>
          <t>&lt;[[DEVDeals] - [Associated TC Deal (Seq: 1)] - [TC Property Current Stage (Seq: 1)] Oper Grounds Contract - Both]&gt;</t>
        </r>
      </text>
    </comment>
    <comment ref="I419" authorId="0" shapeId="0" xr:uid="{C3D73AEC-BA2D-4250-A025-528278D54EB4}">
      <text>
        <r>
          <rPr>
            <b/>
            <sz val="9"/>
            <color indexed="81"/>
            <rFont val="Tahoma"/>
            <family val="2"/>
          </rPr>
          <t>&lt;[[DEVDeals] - [Associated TC Deal (Seq: 1)] - [TC Property Current Stage (Seq: 1)] Oper Maint Repair Payroll - Both]&gt;</t>
        </r>
      </text>
    </comment>
    <comment ref="I420" authorId="0" shapeId="0" xr:uid="{0961DE4D-0101-401F-9C17-85DC5DBEB75B}">
      <text>
        <r>
          <rPr>
            <b/>
            <sz val="9"/>
            <color indexed="81"/>
            <rFont val="Tahoma"/>
            <family val="2"/>
          </rPr>
          <t>&lt;[[DEVDeals] - [Associated TC Deal (Seq: 1)] - [TC Property Current Stage (Seq: 1)] Oper Repairs Material - Both]&gt;</t>
        </r>
      </text>
    </comment>
    <comment ref="I421" authorId="0" shapeId="0" xr:uid="{E3485BF4-D133-46EB-8FC9-E84EC04F376A}">
      <text>
        <r>
          <rPr>
            <b/>
            <sz val="9"/>
            <color indexed="81"/>
            <rFont val="Tahoma"/>
            <family val="2"/>
          </rPr>
          <t>&lt;[[DEVDeals] - [Associated TC Deal (Seq: 1)] - [TC Property Current Stage (Seq: 1)] Oper Repairs Contract - Both]&gt;</t>
        </r>
      </text>
    </comment>
    <comment ref="I422" authorId="0" shapeId="0" xr:uid="{1AE737D8-1B4B-4371-BD1E-85C5E06884AE}">
      <text>
        <r>
          <rPr>
            <b/>
            <sz val="9"/>
            <color indexed="81"/>
            <rFont val="Tahoma"/>
            <family val="2"/>
          </rPr>
          <t>&lt;[[DEVDeals] - [Associated TC Deal (Seq: 1)] - [TC Property Current Stage (Seq: 1)] Oper Elevator Maint Contract - Both]&gt;</t>
        </r>
      </text>
    </comment>
    <comment ref="I423" authorId="0" shapeId="0" xr:uid="{4D3E3C0C-C834-4895-80C7-3F54CEE44934}">
      <text>
        <r>
          <rPr>
            <b/>
            <sz val="9"/>
            <color indexed="81"/>
            <rFont val="Tahoma"/>
            <family val="2"/>
          </rPr>
          <t>&lt;[[DEVDeals] - [Associated TC Deal (Seq: 1)] - [TC Property Current Stage (Seq: 1)] Oper Heat Cool Maint Repair - Both]&gt;</t>
        </r>
      </text>
    </comment>
    <comment ref="I424" authorId="0" shapeId="0" xr:uid="{DDE86B14-FC6B-46CB-B7AC-9267F87686AA}">
      <text>
        <r>
          <rPr>
            <b/>
            <sz val="9"/>
            <color indexed="81"/>
            <rFont val="Tahoma"/>
            <family val="2"/>
          </rPr>
          <t>&lt;[[DEVDeals] - [Associated TC Deal (Seq: 1)] - [TC Property Current Stage (Seq: 1)] Oper Pool Maint - Both]&gt;</t>
        </r>
      </text>
    </comment>
    <comment ref="I425" authorId="0" shapeId="0" xr:uid="{77C3CDDE-3330-417B-8DB4-888A0E23B6D2}">
      <text>
        <r>
          <rPr>
            <b/>
            <sz val="9"/>
            <color indexed="81"/>
            <rFont val="Tahoma"/>
            <family val="2"/>
          </rPr>
          <t>&lt;[[DEVDeals] - [Associated TC Deal (Seq: 1)] - [TC Property Current Stage (Seq: 1)] Oper Snow Removal - Both]&gt;</t>
        </r>
      </text>
    </comment>
    <comment ref="I426" authorId="0" shapeId="0" xr:uid="{D3BA6BBE-E0C2-4DF1-B15D-710A80101FBF}">
      <text>
        <r>
          <rPr>
            <b/>
            <sz val="9"/>
            <color indexed="81"/>
            <rFont val="Tahoma"/>
            <family val="2"/>
          </rPr>
          <t>&lt;[[DEVDeals] - [Associated TC Deal (Seq: 1)] - [TC Property Current Stage (Seq: 1)] Oper Decorating Payroll Contract - Both]&gt;</t>
        </r>
      </text>
    </comment>
    <comment ref="I427" authorId="0" shapeId="0" xr:uid="{5235E31E-5201-4D35-B19A-2A30A970DC4D}">
      <text>
        <r>
          <rPr>
            <b/>
            <sz val="9"/>
            <color indexed="81"/>
            <rFont val="Tahoma"/>
            <family val="2"/>
          </rPr>
          <t>&lt;[[DEVDeals] - [Associated TC Deal (Seq: 1)] - [TC Property Current Stage (Seq: 1)] Oper Decorating Supplies - Both]&gt;</t>
        </r>
      </text>
    </comment>
    <comment ref="M428" authorId="0" shapeId="0" xr:uid="{3DD0EBAC-FC9D-402C-B80C-38BE5A5C3171}">
      <text>
        <r>
          <rPr>
            <b/>
            <sz val="9"/>
            <color indexed="81"/>
            <rFont val="Tahoma"/>
            <family val="2"/>
          </rPr>
          <t>&lt;[[DEVDeals] - [Associated TC Deal (Seq: 1)] - [TC Property Current Stage (Seq: 1)] - [TC Property Current Stage - User Defined Field Values (Seq: 1)] Additional Property Information - Other Operating and Maintenance Expenses - Both]&gt;</t>
        </r>
      </text>
    </comment>
    <comment ref="M429" authorId="0" shapeId="0" xr:uid="{13B63CD7-4F63-41B0-8C3F-5F0E41FD3533}">
      <text>
        <r>
          <rPr>
            <b/>
            <sz val="9"/>
            <color indexed="81"/>
            <rFont val="Tahoma"/>
            <family val="2"/>
          </rPr>
          <t>&lt;[[DEVDeals] - [Associated TC Deal (Seq: 1)] - [TC Property Current Stage (Seq: 1)] - [TC Property Current Stage - User Defined Field Values (Seq: 1)] Additional Property Information - Other Operating and Maintenance Expenses Describe - Both]&gt;</t>
        </r>
      </text>
    </comment>
    <comment ref="I430" authorId="0" shapeId="0" xr:uid="{126E5704-3D8B-42E4-9F74-5AE2E94CB45F}">
      <text>
        <r>
          <rPr>
            <b/>
            <sz val="9"/>
            <color indexed="81"/>
            <rFont val="Tahoma"/>
            <family val="2"/>
          </rPr>
          <t>&lt;[[DEVDeals] - [Associated TC Deal (Seq: 1)] - [TC Property Current Stage (Seq: 1)] Oper Misc - Both]&gt;</t>
        </r>
      </text>
    </comment>
    <comment ref="M430" authorId="0" shapeId="0" xr:uid="{D5D91C32-E032-4D14-9416-337AC359BA05}">
      <text>
        <r>
          <rPr>
            <b/>
            <sz val="9"/>
            <color indexed="81"/>
            <rFont val="Tahoma"/>
            <family val="2"/>
          </rPr>
          <t>&lt;[[DEVDeals] - [Associated TC Deal (Seq: 1)] - [TC Property Current Stage (Seq: 1)] - [TC Property Current Stage - User Defined Field Values (Seq: 1)] Additional Property Information - Miscellaneous Operating and Maintenance Expenses - Both]&gt;</t>
        </r>
      </text>
    </comment>
    <comment ref="M431" authorId="0" shapeId="0" xr:uid="{E3A1A021-E891-4B6F-9B4B-58F38FB87021}">
      <text>
        <r>
          <rPr>
            <b/>
            <sz val="9"/>
            <color indexed="81"/>
            <rFont val="Tahoma"/>
            <family val="2"/>
          </rPr>
          <t>&lt;[[DEVDeals] - [Associated TC Deal (Seq: 1)] - [TC Property Current Stage (Seq: 1)] - [TC Property Current Stage - User Defined Field Values (Seq: 1)] Additional Property Information - Miscellaneous Operating and Maintenance Expenses Describe - Both]&gt;</t>
        </r>
      </text>
    </comment>
    <comment ref="I432" authorId="0" shapeId="0" xr:uid="{C40D5229-41B8-484E-BA9C-8406B21215CC}">
      <text>
        <r>
          <rPr>
            <b/>
            <sz val="9"/>
            <color indexed="81"/>
            <rFont val="Tahoma"/>
            <family val="2"/>
          </rPr>
          <t>&lt;[[DEVDeals] - [Associated TC Deal (Seq: 1)] - [TC Property Current Stage (Seq: 1)] TI Real Estate Taxes - Both]&gt;</t>
        </r>
      </text>
    </comment>
    <comment ref="M432" authorId="0" shapeId="0" xr:uid="{733886EF-A110-4193-8724-6CEA0DC468CC}">
      <text>
        <r>
          <rPr>
            <b/>
            <sz val="9"/>
            <color indexed="81"/>
            <rFont val="Tahoma"/>
            <family val="2"/>
          </rPr>
          <t>&lt;[[DEVDeals] - [Associated TC Deal (Seq: 1)] - [TC Property Current Stage (Seq: 1)] - [TC Property Current Stage - User Defined Field Values (Seq: 1)] Additional Property Information - Real Estate Taxes - Both]&gt;</t>
        </r>
      </text>
    </comment>
    <comment ref="M433" authorId="0" shapeId="0" xr:uid="{9A7BA67A-12F6-4EAA-A6AC-DCB5066E648E}">
      <text>
        <r>
          <rPr>
            <b/>
            <sz val="9"/>
            <color indexed="81"/>
            <rFont val="Tahoma"/>
            <family val="2"/>
          </rPr>
          <t>&lt;[[DEVDeals] - [Associated TC Deal (Seq: 1)] - [TC Property Current Stage (Seq: 1)] - [TC Property Current Stage - User Defined Field Values (Seq: 1)] Additional Property Information - Payment in Lieu of Real Estate Taxes Annual - Both]&gt;</t>
        </r>
      </text>
    </comment>
    <comment ref="M434" authorId="0" shapeId="0" xr:uid="{D4BD25CB-3C77-41EC-A5E6-2D09E8540CDA}">
      <text>
        <r>
          <rPr>
            <b/>
            <sz val="9"/>
            <color indexed="81"/>
            <rFont val="Tahoma"/>
            <family val="2"/>
          </rPr>
          <t>&lt;[[DEVDeals] - [Associated TC Deal (Seq: 1)] - [TC Property Current Stage (Seq: 1)] - [TC Property Current Stage - User Defined Field Values (Seq: 1)] Additional Property Information - Payment in Lieu of Real Estate Taxes Total - Both]&gt;</t>
        </r>
      </text>
    </comment>
    <comment ref="M435" authorId="0" shapeId="0" xr:uid="{4044ABFC-2B5C-4C53-B02C-63F113B572BA}">
      <text>
        <r>
          <rPr>
            <b/>
            <sz val="9"/>
            <color indexed="81"/>
            <rFont val="Tahoma"/>
            <family val="2"/>
          </rPr>
          <t>&lt;[[DEVDeals] - [Associated TC Deal (Seq: 1)] - [TC Property Current Stage (Seq: 1)] - [TC Property Current Stage - User Defined Field Values (Seq: 1)] Additional Property Information - Payment in Lieu of Real Estate Taxes Years - Both]&gt;</t>
        </r>
      </text>
    </comment>
    <comment ref="I436" authorId="0" shapeId="0" xr:uid="{55C478D9-B396-4E66-8330-0885DBAA5FF2}">
      <text>
        <r>
          <rPr>
            <b/>
            <sz val="9"/>
            <color indexed="81"/>
            <rFont val="Tahoma"/>
            <family val="2"/>
          </rPr>
          <t>&lt;[[DEVDeals] - [Associated TC Deal (Seq: 1)] - [TC Property Current Stage (Seq: 1)] TI Payroll Taxes - Both]&gt;</t>
        </r>
      </text>
    </comment>
    <comment ref="I437" authorId="0" shapeId="0" xr:uid="{F19C6C21-CA1D-455D-BEE9-6B1AB904AB75}">
      <text>
        <r>
          <rPr>
            <b/>
            <sz val="9"/>
            <color indexed="81"/>
            <rFont val="Tahoma"/>
            <family val="2"/>
          </rPr>
          <t>&lt;[[DEVDeals] - [Associated TC Deal (Seq: 1)] - [TC Property Current Stage (Seq: 1)] TI Misc - Both]&gt;</t>
        </r>
      </text>
    </comment>
    <comment ref="I438" authorId="0" shapeId="0" xr:uid="{EF344386-69DC-479D-9543-78F1E34EEA6E}">
      <text>
        <r>
          <rPr>
            <b/>
            <sz val="9"/>
            <color indexed="81"/>
            <rFont val="Tahoma"/>
            <family val="2"/>
          </rPr>
          <t>&lt;[[DEVDeals] - [Associated TC Deal (Seq: 1)] - [TC Property Current Stage (Seq: 1)] TI Prop Liability Insurance - Both]&gt;</t>
        </r>
      </text>
    </comment>
    <comment ref="M438" authorId="0" shapeId="0" xr:uid="{69685D96-D923-40C9-8F0A-83B5EE2A714C}">
      <text>
        <r>
          <rPr>
            <b/>
            <sz val="9"/>
            <color indexed="81"/>
            <rFont val="Tahoma"/>
            <family val="2"/>
          </rPr>
          <t>&lt;[[DEVDeals] - [Associated TC Deal (Seq: 1)] - [TC Property Current Stage (Seq: 1)] - [TC Property Current Stage - User Defined Field Values (Seq: 1)] Additional Property Information - Property Insurance - Both]&gt;</t>
        </r>
      </text>
    </comment>
    <comment ref="M439" authorId="0" shapeId="0" xr:uid="{A6003CBB-BD37-4F7A-BA7A-8198785F0373}">
      <text>
        <r>
          <rPr>
            <b/>
            <sz val="9"/>
            <color indexed="81"/>
            <rFont val="Tahoma"/>
            <family val="2"/>
          </rPr>
          <t>&lt;[[DEVDeals] - [Associated TC Deal (Seq: 1)] - [TC Property Current Stage (Seq: 1)] - [TC Property Current Stage - User Defined Field Values (Seq: 1)] Additional Property Information - Liability Insurance (hazard) - Both]&gt;</t>
        </r>
      </text>
    </comment>
    <comment ref="I440" authorId="0" shapeId="0" xr:uid="{D2AC8583-BC84-409D-BD6D-A412D88D4141}">
      <text>
        <r>
          <rPr>
            <b/>
            <sz val="9"/>
            <color indexed="81"/>
            <rFont val="Tahoma"/>
            <family val="2"/>
          </rPr>
          <t>&lt;[[DEVDeals] - [Associated TC Deal (Seq: 1)] - [TC Property Current Stage (Seq: 1)] TI Fidelity Bond - Both]&gt;</t>
        </r>
      </text>
    </comment>
    <comment ref="I441" authorId="0" shapeId="0" xr:uid="{B299F75C-9BD5-4793-A89E-C94C5F852C1C}">
      <text>
        <r>
          <rPr>
            <b/>
            <sz val="9"/>
            <color indexed="81"/>
            <rFont val="Tahoma"/>
            <family val="2"/>
          </rPr>
          <t>&lt;[[DEVDeals] - [Associated TC Deal (Seq: 1)] - [TC Property Current Stage (Seq: 1)] TI Workmans Comp - Both]&gt;</t>
        </r>
      </text>
    </comment>
    <comment ref="I442" authorId="0" shapeId="0" xr:uid="{CCF84444-2A1B-4319-9ADF-5BAC20CF0659}">
      <text>
        <r>
          <rPr>
            <b/>
            <sz val="9"/>
            <color indexed="81"/>
            <rFont val="Tahoma"/>
            <family val="2"/>
          </rPr>
          <t>&lt;[[DEVDeals] - [Associated TC Deal (Seq: 1)] - [TC Property Current Stage (Seq: 1)] TI Health Ins - Both]&gt;</t>
        </r>
      </text>
    </comment>
    <comment ref="I443" authorId="0" shapeId="0" xr:uid="{E24B7269-63AA-4EC4-A5CB-882CDAFC566B}">
      <text>
        <r>
          <rPr>
            <b/>
            <sz val="9"/>
            <color indexed="81"/>
            <rFont val="Tahoma"/>
            <family val="2"/>
          </rPr>
          <t>&lt;[[DEVDeals] - [Associated TC Deal (Seq: 1)] - [TC Property Current Stage (Seq: 1)] TI Other Insurance - Both]&gt;</t>
        </r>
      </text>
    </comment>
    <comment ref="M444" authorId="0" shapeId="0" xr:uid="{18191FCE-093C-4C14-AAD7-39E88B792ED3}">
      <text>
        <r>
          <rPr>
            <b/>
            <sz val="9"/>
            <color indexed="81"/>
            <rFont val="Tahoma"/>
            <family val="2"/>
          </rPr>
          <t>&lt;[[DEVDeals] - [Associated TC Deal (Seq: 1)] - [TC Property Current Stage (Seq: 1)] - [TC Property Current Stage - User Defined Field Values (Seq: 1)] Additional Property Information - Other Insurance Describe - Both]&gt;</t>
        </r>
      </text>
    </comment>
    <comment ref="I445" authorId="0" shapeId="0" xr:uid="{FCC60191-8190-43B7-B148-2B555088439C}">
      <text>
        <r>
          <rPr>
            <b/>
            <sz val="9"/>
            <color indexed="81"/>
            <rFont val="Tahoma"/>
            <family val="2"/>
          </rPr>
          <t>&lt;[[DEVDeals] - [Associated TC Deal (Seq: 1)] - [TC Property Current Stage (Seq: 1)] Replacement Reserves - Both]&gt;</t>
        </r>
      </text>
    </comment>
    <comment ref="P450" authorId="0" shapeId="0" xr:uid="{AADFDD01-C91F-485D-BC08-A41C11FF9383}">
      <text>
        <r>
          <rPr>
            <b/>
            <sz val="9"/>
            <color indexed="81"/>
            <rFont val="Tahoma"/>
            <family val="2"/>
          </rPr>
          <t>&lt;[[DEVDeals] - [Funding (Seq: 1)] Program Type - Both]&gt;</t>
        </r>
      </text>
    </comment>
    <comment ref="Q450" authorId="0" shapeId="0" xr:uid="{ADC63E50-52B2-4675-905F-D780518842BB}">
      <text>
        <r>
          <rPr>
            <b/>
            <sz val="9"/>
            <color indexed="81"/>
            <rFont val="Tahoma"/>
            <family val="2"/>
          </rPr>
          <t>&lt;[[DEVDeals] - [Funding (Seq: 1)] All DEV Funding Sources - Both]&gt;</t>
        </r>
      </text>
    </comment>
    <comment ref="R450" authorId="0" shapeId="0" xr:uid="{ACAF3E2B-22D6-4F51-B784-170A8F09BC14}">
      <text>
        <r>
          <rPr>
            <b/>
            <sz val="9"/>
            <color indexed="81"/>
            <rFont val="Tahoma"/>
            <family val="2"/>
          </rPr>
          <t>&lt;[[DEVDeals] - [Funding (Seq: 1)] Note - Both]&gt;</t>
        </r>
      </text>
    </comment>
    <comment ref="S450" authorId="0" shapeId="0" xr:uid="{39F83849-CD7D-4F34-B98B-1C3E42EF63F4}">
      <text>
        <r>
          <rPr>
            <b/>
            <sz val="9"/>
            <color indexed="81"/>
            <rFont val="Tahoma"/>
            <family val="2"/>
          </rPr>
          <t>&lt;[[DEVDeals] - [Funding (Seq: 1)] Priority - Both]&gt;</t>
        </r>
      </text>
    </comment>
    <comment ref="T450" authorId="0" shapeId="0" xr:uid="{405D6DA3-DB86-465C-98A6-32D91ACF4348}">
      <text>
        <r>
          <rPr>
            <b/>
            <sz val="9"/>
            <color indexed="81"/>
            <rFont val="Tahoma"/>
            <family val="2"/>
          </rPr>
          <t>&lt;[[DEVDeals] - [Funding (Seq: 1)] - [Funding - User Defined Field Values (Seq: 1)] Funding Source Information - Required Debt Coverage - Both]&gt;</t>
        </r>
      </text>
    </comment>
    <comment ref="U450" authorId="0" shapeId="0" xr:uid="{E7FED4D1-168D-4AF6-B689-B230BBB91969}">
      <text>
        <r>
          <rPr>
            <b/>
            <sz val="9"/>
            <color indexed="81"/>
            <rFont val="Tahoma"/>
            <family val="2"/>
          </rPr>
          <t>&lt;[[DEVDeals] - [Funding (Seq: 1)] PI - Both]&gt;</t>
        </r>
      </text>
    </comment>
    <comment ref="V450" authorId="0" shapeId="0" xr:uid="{5CAE1DDB-154F-4F9F-B803-F9AB8F9DCB47}">
      <text>
        <r>
          <rPr>
            <b/>
            <sz val="9"/>
            <color indexed="81"/>
            <rFont val="Tahoma"/>
            <family val="2"/>
          </rPr>
          <t>&lt;[[DEVDeals] - [Funding (Seq: 1)] Rate - Both]&gt;</t>
        </r>
      </text>
    </comment>
    <comment ref="W450" authorId="0" shapeId="0" xr:uid="{8F3CBF90-F96E-408D-8A13-47A40BC3E53A}">
      <text>
        <r>
          <rPr>
            <b/>
            <sz val="9"/>
            <color indexed="81"/>
            <rFont val="Tahoma"/>
            <family val="2"/>
          </rPr>
          <t>&lt;[[DEVDeals] - [Funding (Seq: 1)] - [Funding - User Defined Field Values (Seq: 1)] Funding Source Information - Amortization Term - Both]&gt;</t>
        </r>
      </text>
    </comment>
    <comment ref="X450" authorId="0" shapeId="0" xr:uid="{7414EA70-BCBF-4543-83D2-D72A074231BD}">
      <text>
        <r>
          <rPr>
            <b/>
            <sz val="9"/>
            <color indexed="81"/>
            <rFont val="Tahoma"/>
            <family val="2"/>
          </rPr>
          <t>&lt;[[DEVDeals] - [Funding (Seq: 1)] Term - Both]&gt;</t>
        </r>
      </text>
    </comment>
    <comment ref="Y450" authorId="0" shapeId="0" xr:uid="{BFFE4431-E8F4-480B-B4BE-66F9DF69C48C}">
      <text>
        <r>
          <rPr>
            <b/>
            <sz val="9"/>
            <color indexed="81"/>
            <rFont val="Tahoma"/>
            <family val="2"/>
          </rPr>
          <t>&lt;[[DEVDeals] - [Funding (Seq: 1)] Amount - Both]&gt;</t>
        </r>
      </text>
    </comment>
    <comment ref="P451" authorId="0" shapeId="0" xr:uid="{C00011CE-BA5D-4AC7-8DA6-0551CC8B4F21}">
      <text>
        <r>
          <rPr>
            <b/>
            <sz val="9"/>
            <color indexed="81"/>
            <rFont val="Tahoma"/>
            <family val="2"/>
          </rPr>
          <t>&lt;[[DEVDeals] - [Funding (Seq: 2)] Program Type - Both]&gt;</t>
        </r>
      </text>
    </comment>
    <comment ref="Q451" authorId="0" shapeId="0" xr:uid="{8CA6AFF2-703A-411A-A4EC-E9235CC0FFF8}">
      <text>
        <r>
          <rPr>
            <b/>
            <sz val="9"/>
            <color indexed="81"/>
            <rFont val="Tahoma"/>
            <family val="2"/>
          </rPr>
          <t>&lt;[[DEVDeals] - [Funding (Seq: 2)] All DEV Funding Sources - Both]&gt;</t>
        </r>
      </text>
    </comment>
    <comment ref="R451" authorId="0" shapeId="0" xr:uid="{6FC28329-AF33-48C3-8C3B-915E315D0A81}">
      <text>
        <r>
          <rPr>
            <b/>
            <sz val="9"/>
            <color indexed="81"/>
            <rFont val="Tahoma"/>
            <family val="2"/>
          </rPr>
          <t>&lt;[[DEVDeals] - [Funding (Seq: 2)] Note - Both]&gt;</t>
        </r>
      </text>
    </comment>
    <comment ref="S451" authorId="0" shapeId="0" xr:uid="{203C9CBE-5EE8-43D5-A0DA-E95F47BB93D1}">
      <text>
        <r>
          <rPr>
            <b/>
            <sz val="9"/>
            <color indexed="81"/>
            <rFont val="Tahoma"/>
            <family val="2"/>
          </rPr>
          <t>&lt;[[DEVDeals] - [Funding (Seq: 2)] Priority - Both]&gt;</t>
        </r>
      </text>
    </comment>
    <comment ref="T451" authorId="0" shapeId="0" xr:uid="{71D10BED-C328-4B93-ABC6-79B327DD6EDE}">
      <text>
        <r>
          <rPr>
            <b/>
            <sz val="9"/>
            <color indexed="81"/>
            <rFont val="Tahoma"/>
            <family val="2"/>
          </rPr>
          <t>&lt;[[DEVDeals] - [Funding (Seq: 2)] - [Funding - User Defined Field Values (Seq: 1)] Funding Source Information - Required Debt Coverage - Both]&gt;</t>
        </r>
      </text>
    </comment>
    <comment ref="U451" authorId="0" shapeId="0" xr:uid="{38231ED5-B400-487F-A295-4553E9747C76}">
      <text>
        <r>
          <rPr>
            <b/>
            <sz val="9"/>
            <color indexed="81"/>
            <rFont val="Tahoma"/>
            <family val="2"/>
          </rPr>
          <t>&lt;[[DEVDeals] - [Funding (Seq: 2)] PI - Both]&gt;</t>
        </r>
      </text>
    </comment>
    <comment ref="V451" authorId="0" shapeId="0" xr:uid="{EE23C228-8586-4CE8-A55F-D05924E6463E}">
      <text>
        <r>
          <rPr>
            <b/>
            <sz val="9"/>
            <color indexed="81"/>
            <rFont val="Tahoma"/>
            <family val="2"/>
          </rPr>
          <t>&lt;[[DEVDeals] - [Funding (Seq: 2)] Rate - Both]&gt;</t>
        </r>
      </text>
    </comment>
    <comment ref="W451" authorId="0" shapeId="0" xr:uid="{E14515A2-FFC9-491A-B1AB-1EB83F7D2FF8}">
      <text>
        <r>
          <rPr>
            <b/>
            <sz val="9"/>
            <color indexed="81"/>
            <rFont val="Tahoma"/>
            <family val="2"/>
          </rPr>
          <t>&lt;[[DEVDeals] - [Funding (Seq: 2)] - [Funding - User Defined Field Values (Seq: 1)] Funding Source Information - Amortization Term - Both]&gt;</t>
        </r>
      </text>
    </comment>
    <comment ref="X451" authorId="0" shapeId="0" xr:uid="{ADBE1D34-957F-4AE6-88EF-9B2F9D139F3B}">
      <text>
        <r>
          <rPr>
            <b/>
            <sz val="9"/>
            <color indexed="81"/>
            <rFont val="Tahoma"/>
            <family val="2"/>
          </rPr>
          <t>&lt;[[DEVDeals] - [Funding (Seq: 2)] Term - Both]&gt;</t>
        </r>
      </text>
    </comment>
    <comment ref="Y451" authorId="0" shapeId="0" xr:uid="{21992CCC-1E37-4B0D-832F-3ABFA84B1D9B}">
      <text>
        <r>
          <rPr>
            <b/>
            <sz val="9"/>
            <color indexed="81"/>
            <rFont val="Tahoma"/>
            <family val="2"/>
          </rPr>
          <t>&lt;[[DEVDeals] - [Funding (Seq: 2)] Amount - Both]&gt;</t>
        </r>
      </text>
    </comment>
    <comment ref="P452" authorId="0" shapeId="0" xr:uid="{F12B285A-D259-48CC-BBDB-F07A007B4EBB}">
      <text>
        <r>
          <rPr>
            <b/>
            <sz val="9"/>
            <color indexed="81"/>
            <rFont val="Tahoma"/>
            <family val="2"/>
          </rPr>
          <t>&lt;[[DEVDeals] - [Funding (Seq: 3)] Program Type - Both]&gt;</t>
        </r>
      </text>
    </comment>
    <comment ref="Q452" authorId="0" shapeId="0" xr:uid="{EDE6F985-E929-4535-93A8-F6992C1DA161}">
      <text>
        <r>
          <rPr>
            <b/>
            <sz val="9"/>
            <color indexed="81"/>
            <rFont val="Tahoma"/>
            <family val="2"/>
          </rPr>
          <t>&lt;[[DEVDeals] - [Funding (Seq: 3)] All DEV Funding Sources - Both]&gt;</t>
        </r>
      </text>
    </comment>
    <comment ref="R452" authorId="0" shapeId="0" xr:uid="{A6C1001D-1002-4630-84E2-0129A85F19E9}">
      <text>
        <r>
          <rPr>
            <b/>
            <sz val="9"/>
            <color indexed="81"/>
            <rFont val="Tahoma"/>
            <family val="2"/>
          </rPr>
          <t>&lt;[[DEVDeals] - [Funding (Seq: 3)] Note - Both]&gt;</t>
        </r>
      </text>
    </comment>
    <comment ref="S452" authorId="0" shapeId="0" xr:uid="{F4375628-45CC-4819-AFB8-90844107F95E}">
      <text>
        <r>
          <rPr>
            <b/>
            <sz val="9"/>
            <color indexed="81"/>
            <rFont val="Tahoma"/>
            <family val="2"/>
          </rPr>
          <t>&lt;[[DEVDeals] - [Funding (Seq: 3)] Priority - Both]&gt;</t>
        </r>
      </text>
    </comment>
    <comment ref="T452" authorId="0" shapeId="0" xr:uid="{C1028DE5-997B-4F9F-861F-984B9BF9E3F9}">
      <text>
        <r>
          <rPr>
            <b/>
            <sz val="9"/>
            <color indexed="81"/>
            <rFont val="Tahoma"/>
            <family val="2"/>
          </rPr>
          <t>&lt;[[DEVDeals] - [Funding (Seq: 3)] - [Funding - User Defined Field Values (Seq: 1)] Funding Source Information - Required Debt Coverage - Both]&gt;</t>
        </r>
      </text>
    </comment>
    <comment ref="U452" authorId="0" shapeId="0" xr:uid="{3BCEC1F6-B704-4168-841C-66811D24F194}">
      <text>
        <r>
          <rPr>
            <b/>
            <sz val="9"/>
            <color indexed="81"/>
            <rFont val="Tahoma"/>
            <family val="2"/>
          </rPr>
          <t>&lt;[[DEVDeals] - [Funding (Seq: 3)] PI - Both]&gt;</t>
        </r>
      </text>
    </comment>
    <comment ref="V452" authorId="0" shapeId="0" xr:uid="{FD8EDBDA-9A33-43BB-A37D-9643F0665AA0}">
      <text>
        <r>
          <rPr>
            <b/>
            <sz val="9"/>
            <color indexed="81"/>
            <rFont val="Tahoma"/>
            <family val="2"/>
          </rPr>
          <t>&lt;[[DEVDeals] - [Funding (Seq: 3)] Rate - Both]&gt;</t>
        </r>
      </text>
    </comment>
    <comment ref="W452" authorId="0" shapeId="0" xr:uid="{55307682-8543-4539-8820-93C7D88B901D}">
      <text>
        <r>
          <rPr>
            <b/>
            <sz val="9"/>
            <color indexed="81"/>
            <rFont val="Tahoma"/>
            <family val="2"/>
          </rPr>
          <t>&lt;[[DEVDeals] - [Funding (Seq: 3)] - [Funding - User Defined Field Values (Seq: 1)] Funding Source Information - Amortization Term - Both]&gt;</t>
        </r>
      </text>
    </comment>
    <comment ref="X452" authorId="0" shapeId="0" xr:uid="{4BEEB258-A657-4C60-AE42-335B00FC5110}">
      <text>
        <r>
          <rPr>
            <b/>
            <sz val="9"/>
            <color indexed="81"/>
            <rFont val="Tahoma"/>
            <family val="2"/>
          </rPr>
          <t>&lt;[[DEVDeals] - [Funding (Seq: 3)] Term - Both]&gt;</t>
        </r>
      </text>
    </comment>
    <comment ref="Y452" authorId="0" shapeId="0" xr:uid="{EFA69FD7-0959-486F-95D5-3965CDE74723}">
      <text>
        <r>
          <rPr>
            <b/>
            <sz val="9"/>
            <color indexed="81"/>
            <rFont val="Tahoma"/>
            <family val="2"/>
          </rPr>
          <t>&lt;[[DEVDeals] - [Funding (Seq: 3)] Amount - Both]&gt;</t>
        </r>
      </text>
    </comment>
    <comment ref="P453" authorId="0" shapeId="0" xr:uid="{0411FAE5-4D4C-4F08-950A-93FB912F1961}">
      <text>
        <r>
          <rPr>
            <b/>
            <sz val="9"/>
            <color indexed="81"/>
            <rFont val="Tahoma"/>
            <family val="2"/>
          </rPr>
          <t>&lt;[[DEVDeals] - [Funding (Seq: 4)] Program Type - Both]&gt;</t>
        </r>
      </text>
    </comment>
    <comment ref="Q453" authorId="0" shapeId="0" xr:uid="{2A77CF5B-8E30-473B-942D-F24E3EA8D2DC}">
      <text>
        <r>
          <rPr>
            <b/>
            <sz val="9"/>
            <color indexed="81"/>
            <rFont val="Tahoma"/>
            <family val="2"/>
          </rPr>
          <t>&lt;[[DEVDeals] - [Funding (Seq: 4)] All DEV Funding Sources - Both]&gt;</t>
        </r>
      </text>
    </comment>
    <comment ref="R453" authorId="0" shapeId="0" xr:uid="{89B97F35-D603-4C45-B667-9A5C0B987DEF}">
      <text>
        <r>
          <rPr>
            <b/>
            <sz val="9"/>
            <color indexed="81"/>
            <rFont val="Tahoma"/>
            <family val="2"/>
          </rPr>
          <t>&lt;[[DEVDeals] - [Funding (Seq: 4)] Note - Both]&gt;</t>
        </r>
      </text>
    </comment>
    <comment ref="S453" authorId="0" shapeId="0" xr:uid="{CF0A4658-1355-44DC-8729-C45835DBDA52}">
      <text>
        <r>
          <rPr>
            <b/>
            <sz val="9"/>
            <color indexed="81"/>
            <rFont val="Tahoma"/>
            <family val="2"/>
          </rPr>
          <t>&lt;[[DEVDeals] - [Funding (Seq: 4)] Priority - Both]&gt;</t>
        </r>
      </text>
    </comment>
    <comment ref="T453" authorId="0" shapeId="0" xr:uid="{29552926-B3C5-440A-B7FB-ECFD4F75524A}">
      <text>
        <r>
          <rPr>
            <b/>
            <sz val="9"/>
            <color indexed="81"/>
            <rFont val="Tahoma"/>
            <family val="2"/>
          </rPr>
          <t>&lt;[[DEVDeals] - [Funding (Seq: 4)] - [Funding - User Defined Field Values (Seq: 1)] Funding Source Information - Required Debt Coverage - Both]&gt;</t>
        </r>
      </text>
    </comment>
    <comment ref="U453" authorId="0" shapeId="0" xr:uid="{92222C08-B70F-4E12-8A26-CC657BFEC198}">
      <text>
        <r>
          <rPr>
            <b/>
            <sz val="9"/>
            <color indexed="81"/>
            <rFont val="Tahoma"/>
            <family val="2"/>
          </rPr>
          <t>&lt;[[DEVDeals] - [Funding (Seq: 4)] PI - Both]&gt;</t>
        </r>
      </text>
    </comment>
    <comment ref="V453" authorId="0" shapeId="0" xr:uid="{61FE2B76-F404-475E-B605-56307D868170}">
      <text>
        <r>
          <rPr>
            <b/>
            <sz val="9"/>
            <color indexed="81"/>
            <rFont val="Tahoma"/>
            <family val="2"/>
          </rPr>
          <t>&lt;[[DEVDeals] - [Funding (Seq: 4)] Rate - Both]&gt;</t>
        </r>
      </text>
    </comment>
    <comment ref="W453" authorId="0" shapeId="0" xr:uid="{32CEA349-2B0E-49D2-AE80-DEF07001BD06}">
      <text>
        <r>
          <rPr>
            <b/>
            <sz val="9"/>
            <color indexed="81"/>
            <rFont val="Tahoma"/>
            <family val="2"/>
          </rPr>
          <t>&lt;[[DEVDeals] - [Funding (Seq: 4)] - [Funding - User Defined Field Values (Seq: 1)] Funding Source Information - Amortization Term - Both]&gt;</t>
        </r>
      </text>
    </comment>
    <comment ref="X453" authorId="0" shapeId="0" xr:uid="{016A410E-8B04-492A-B1C8-5D8690D13451}">
      <text>
        <r>
          <rPr>
            <b/>
            <sz val="9"/>
            <color indexed="81"/>
            <rFont val="Tahoma"/>
            <family val="2"/>
          </rPr>
          <t>&lt;[[DEVDeals] - [Funding (Seq: 4)] Term - Both]&gt;</t>
        </r>
      </text>
    </comment>
    <comment ref="Y453" authorId="0" shapeId="0" xr:uid="{198FCB65-3787-4215-8EDA-CBC4790CD811}">
      <text>
        <r>
          <rPr>
            <b/>
            <sz val="9"/>
            <color indexed="81"/>
            <rFont val="Tahoma"/>
            <family val="2"/>
          </rPr>
          <t>&lt;[[DEVDeals] - [Funding (Seq: 4)] Amount - Both]&gt;</t>
        </r>
      </text>
    </comment>
    <comment ref="P454" authorId="0" shapeId="0" xr:uid="{99A9E0C1-78FE-4762-ADD8-D355ECA19E9F}">
      <text>
        <r>
          <rPr>
            <b/>
            <sz val="9"/>
            <color indexed="81"/>
            <rFont val="Tahoma"/>
            <family val="2"/>
          </rPr>
          <t>&lt;[[DEVDeals] - [Funding (Seq: 5)] Program Type - Both]&gt;</t>
        </r>
      </text>
    </comment>
    <comment ref="Q454" authorId="0" shapeId="0" xr:uid="{27F1B2C8-1720-4C85-AEB6-96D76B544489}">
      <text>
        <r>
          <rPr>
            <b/>
            <sz val="9"/>
            <color indexed="81"/>
            <rFont val="Tahoma"/>
            <family val="2"/>
          </rPr>
          <t>&lt;[[DEVDeals] - [Funding (Seq: 5)] All DEV Funding Sources - Both]&gt;</t>
        </r>
      </text>
    </comment>
    <comment ref="R454" authorId="0" shapeId="0" xr:uid="{7434CA5D-4CC8-487F-8E5B-75382ED24CEF}">
      <text>
        <r>
          <rPr>
            <b/>
            <sz val="9"/>
            <color indexed="81"/>
            <rFont val="Tahoma"/>
            <family val="2"/>
          </rPr>
          <t>&lt;[[DEVDeals] - [Funding (Seq: 5)] Note - Both]&gt;</t>
        </r>
      </text>
    </comment>
    <comment ref="S454" authorId="0" shapeId="0" xr:uid="{846787D5-7943-4CE4-A60A-5AA3438226B4}">
      <text>
        <r>
          <rPr>
            <b/>
            <sz val="9"/>
            <color indexed="81"/>
            <rFont val="Tahoma"/>
            <family val="2"/>
          </rPr>
          <t>&lt;[[DEVDeals] - [Funding (Seq: 5)] Priority - Both]&gt;</t>
        </r>
      </text>
    </comment>
    <comment ref="T454" authorId="0" shapeId="0" xr:uid="{A1B67783-4A44-4256-BC51-3FD424F16246}">
      <text>
        <r>
          <rPr>
            <b/>
            <sz val="9"/>
            <color indexed="81"/>
            <rFont val="Tahoma"/>
            <family val="2"/>
          </rPr>
          <t>&lt;[[DEVDeals] - [Funding (Seq: 5)] - [Funding - User Defined Field Values (Seq: 1)] Funding Source Information - Required Debt Coverage - Both]&gt;</t>
        </r>
      </text>
    </comment>
    <comment ref="U454" authorId="0" shapeId="0" xr:uid="{EA24117F-628F-4720-93A7-AD0318A8B3A1}">
      <text>
        <r>
          <rPr>
            <b/>
            <sz val="9"/>
            <color indexed="81"/>
            <rFont val="Tahoma"/>
            <family val="2"/>
          </rPr>
          <t>&lt;[[DEVDeals] - [Funding (Seq: 5)] PI - Both]&gt;</t>
        </r>
      </text>
    </comment>
    <comment ref="V454" authorId="0" shapeId="0" xr:uid="{566B0B3F-4155-41AB-A4D2-93640170666D}">
      <text>
        <r>
          <rPr>
            <b/>
            <sz val="9"/>
            <color indexed="81"/>
            <rFont val="Tahoma"/>
            <family val="2"/>
          </rPr>
          <t>&lt;[[DEVDeals] - [Funding (Seq: 5)] Rate - Both]&gt;</t>
        </r>
      </text>
    </comment>
    <comment ref="W454" authorId="0" shapeId="0" xr:uid="{B0118281-F14D-423F-9EA8-187CAF3FC45F}">
      <text>
        <r>
          <rPr>
            <b/>
            <sz val="9"/>
            <color indexed="81"/>
            <rFont val="Tahoma"/>
            <family val="2"/>
          </rPr>
          <t>&lt;[[DEVDeals] - [Funding (Seq: 5)] - [Funding - User Defined Field Values (Seq: 1)] Funding Source Information - Amortization Term - Both]&gt;</t>
        </r>
      </text>
    </comment>
    <comment ref="X454" authorId="0" shapeId="0" xr:uid="{88B22813-C035-420C-9B46-E6D6071DE363}">
      <text>
        <r>
          <rPr>
            <b/>
            <sz val="9"/>
            <color indexed="81"/>
            <rFont val="Tahoma"/>
            <family val="2"/>
          </rPr>
          <t>&lt;[[DEVDeals] - [Funding (Seq: 5)] Term - Both]&gt;</t>
        </r>
      </text>
    </comment>
    <comment ref="Y454" authorId="0" shapeId="0" xr:uid="{32C07F06-C3A9-4EB2-B571-00A541A0072C}">
      <text>
        <r>
          <rPr>
            <b/>
            <sz val="9"/>
            <color indexed="81"/>
            <rFont val="Tahoma"/>
            <family val="2"/>
          </rPr>
          <t>&lt;[[DEVDeals] - [Funding (Seq: 5)] Amount - Both]&gt;</t>
        </r>
      </text>
    </comment>
    <comment ref="P455" authorId="0" shapeId="0" xr:uid="{7ECA11CA-1314-4F82-9765-BEF4068DC8EC}">
      <text>
        <r>
          <rPr>
            <b/>
            <sz val="9"/>
            <color indexed="81"/>
            <rFont val="Tahoma"/>
            <family val="2"/>
          </rPr>
          <t>&lt;[[DEVDeals] - [Funding (Seq: 6)] Program Type - Both]&gt;</t>
        </r>
      </text>
    </comment>
    <comment ref="Q455" authorId="0" shapeId="0" xr:uid="{0D61A2C6-0015-42E9-9796-88E60681834F}">
      <text>
        <r>
          <rPr>
            <b/>
            <sz val="9"/>
            <color indexed="81"/>
            <rFont val="Tahoma"/>
            <family val="2"/>
          </rPr>
          <t>&lt;[[DEVDeals] - [Funding (Seq: 6)] All DEV Funding Sources - Both]&gt;</t>
        </r>
      </text>
    </comment>
    <comment ref="R455" authorId="0" shapeId="0" xr:uid="{6934B6E1-7031-49A7-9833-C1ED5F3FD668}">
      <text>
        <r>
          <rPr>
            <b/>
            <sz val="9"/>
            <color indexed="81"/>
            <rFont val="Tahoma"/>
            <family val="2"/>
          </rPr>
          <t>&lt;[[DEVDeals] - [Funding (Seq: 6)] Note - Both]&gt;</t>
        </r>
      </text>
    </comment>
    <comment ref="S455" authorId="0" shapeId="0" xr:uid="{BA5FFC58-422A-4F95-9E36-E2A1A94BE015}">
      <text>
        <r>
          <rPr>
            <b/>
            <sz val="9"/>
            <color indexed="81"/>
            <rFont val="Tahoma"/>
            <family val="2"/>
          </rPr>
          <t>&lt;[[DEVDeals] - [Funding (Seq: 6)] Priority - Both]&gt;</t>
        </r>
      </text>
    </comment>
    <comment ref="T455" authorId="0" shapeId="0" xr:uid="{2862B0AF-C651-4AE6-A22B-971669FA287F}">
      <text>
        <r>
          <rPr>
            <b/>
            <sz val="9"/>
            <color indexed="81"/>
            <rFont val="Tahoma"/>
            <family val="2"/>
          </rPr>
          <t>&lt;[[DEVDeals] - [Funding (Seq: 6)] - [Funding - User Defined Field Values (Seq: 1)] Funding Source Information - Required Debt Coverage - Both]&gt;</t>
        </r>
      </text>
    </comment>
    <comment ref="U455" authorId="0" shapeId="0" xr:uid="{2451BC1A-0E63-45E7-83AE-B2AAB3602AFF}">
      <text>
        <r>
          <rPr>
            <b/>
            <sz val="9"/>
            <color indexed="81"/>
            <rFont val="Tahoma"/>
            <family val="2"/>
          </rPr>
          <t>&lt;[[DEVDeals] - [Funding (Seq: 6)] PI - Both]&gt;</t>
        </r>
      </text>
    </comment>
    <comment ref="V455" authorId="0" shapeId="0" xr:uid="{518B66F3-E398-4668-B171-CB9219138CF5}">
      <text>
        <r>
          <rPr>
            <b/>
            <sz val="9"/>
            <color indexed="81"/>
            <rFont val="Tahoma"/>
            <family val="2"/>
          </rPr>
          <t>&lt;[[DEVDeals] - [Funding (Seq: 6)] Rate - Both]&gt;</t>
        </r>
      </text>
    </comment>
    <comment ref="W455" authorId="0" shapeId="0" xr:uid="{ECC3F933-BCD5-45FE-A04A-69344A3E6319}">
      <text>
        <r>
          <rPr>
            <b/>
            <sz val="9"/>
            <color indexed="81"/>
            <rFont val="Tahoma"/>
            <family val="2"/>
          </rPr>
          <t>&lt;[[DEVDeals] - [Funding (Seq: 6)] - [Funding - User Defined Field Values (Seq: 1)] Funding Source Information - Amortization Term - Both]&gt;</t>
        </r>
      </text>
    </comment>
    <comment ref="X455" authorId="0" shapeId="0" xr:uid="{8BB3F620-53CE-42DC-B5BD-E2655689CF34}">
      <text>
        <r>
          <rPr>
            <b/>
            <sz val="9"/>
            <color indexed="81"/>
            <rFont val="Tahoma"/>
            <family val="2"/>
          </rPr>
          <t>&lt;[[DEVDeals] - [Funding (Seq: 6)] Term - Both]&gt;</t>
        </r>
      </text>
    </comment>
    <comment ref="Y455" authorId="0" shapeId="0" xr:uid="{7F496AF1-DE3C-4816-A5B5-377E2B98A381}">
      <text>
        <r>
          <rPr>
            <b/>
            <sz val="9"/>
            <color indexed="81"/>
            <rFont val="Tahoma"/>
            <family val="2"/>
          </rPr>
          <t>&lt;[[DEVDeals] - [Funding (Seq: 6)] Amount - Both]&gt;</t>
        </r>
      </text>
    </comment>
    <comment ref="P456" authorId="0" shapeId="0" xr:uid="{49E9EFD5-15A1-4365-ABE4-87BDCCA66656}">
      <text>
        <r>
          <rPr>
            <b/>
            <sz val="9"/>
            <color indexed="81"/>
            <rFont val="Tahoma"/>
            <family val="2"/>
          </rPr>
          <t>&lt;[[DEVDeals] - [Funding (Seq: 7)] Program Type - Both]&gt;</t>
        </r>
      </text>
    </comment>
    <comment ref="Q456" authorId="0" shapeId="0" xr:uid="{8D88B2D7-1FA7-4166-8D0A-6DEB33F33E38}">
      <text>
        <r>
          <rPr>
            <b/>
            <sz val="9"/>
            <color indexed="81"/>
            <rFont val="Tahoma"/>
            <family val="2"/>
          </rPr>
          <t>&lt;[[DEVDeals] - [Funding (Seq: 7)] All DEV Funding Sources - Both]&gt;</t>
        </r>
      </text>
    </comment>
    <comment ref="R456" authorId="0" shapeId="0" xr:uid="{5555E591-A582-4C35-B88D-F5CFE80DFAE9}">
      <text>
        <r>
          <rPr>
            <b/>
            <sz val="9"/>
            <color indexed="81"/>
            <rFont val="Tahoma"/>
            <family val="2"/>
          </rPr>
          <t>&lt;[[DEVDeals] - [Funding (Seq: 7)] Note - Both]&gt;</t>
        </r>
      </text>
    </comment>
    <comment ref="S456" authorId="0" shapeId="0" xr:uid="{E3C11240-3365-4A9B-A065-77107BD0DF52}">
      <text>
        <r>
          <rPr>
            <b/>
            <sz val="9"/>
            <color indexed="81"/>
            <rFont val="Tahoma"/>
            <family val="2"/>
          </rPr>
          <t>&lt;[[DEVDeals] - [Funding (Seq: 7)] Priority - Both]&gt;</t>
        </r>
      </text>
    </comment>
    <comment ref="T456" authorId="0" shapeId="0" xr:uid="{E1F1BFFE-5D61-4D70-8E9F-2F596FCBE711}">
      <text>
        <r>
          <rPr>
            <b/>
            <sz val="9"/>
            <color indexed="81"/>
            <rFont val="Tahoma"/>
            <family val="2"/>
          </rPr>
          <t>&lt;[[DEVDeals] - [Funding (Seq: 7)] - [Funding - User Defined Field Values (Seq: 1)] Funding Source Information - Required Debt Coverage - Both]&gt;</t>
        </r>
      </text>
    </comment>
    <comment ref="U456" authorId="0" shapeId="0" xr:uid="{76EA56C8-5B42-4F05-A31F-73FC2C813CB5}">
      <text>
        <r>
          <rPr>
            <b/>
            <sz val="9"/>
            <color indexed="81"/>
            <rFont val="Tahoma"/>
            <family val="2"/>
          </rPr>
          <t>&lt;[[DEVDeals] - [Funding (Seq: 7)] PI - Both]&gt;</t>
        </r>
      </text>
    </comment>
    <comment ref="V456" authorId="0" shapeId="0" xr:uid="{623DD22F-1CA5-44EC-81E5-EF1D84552946}">
      <text>
        <r>
          <rPr>
            <b/>
            <sz val="9"/>
            <color indexed="81"/>
            <rFont val="Tahoma"/>
            <family val="2"/>
          </rPr>
          <t>&lt;[[DEVDeals] - [Funding (Seq: 7)] Rate - Both]&gt;</t>
        </r>
      </text>
    </comment>
    <comment ref="W456" authorId="0" shapeId="0" xr:uid="{30ABDE81-861C-4B62-B109-74033F1536F7}">
      <text>
        <r>
          <rPr>
            <b/>
            <sz val="9"/>
            <color indexed="81"/>
            <rFont val="Tahoma"/>
            <family val="2"/>
          </rPr>
          <t>&lt;[[DEVDeals] - [Funding (Seq: 7)] - [Funding - User Defined Field Values (Seq: 1)] Funding Source Information - Amortization Term - Both]&gt;</t>
        </r>
      </text>
    </comment>
    <comment ref="X456" authorId="0" shapeId="0" xr:uid="{9CD872F8-FE68-4679-9C23-7CEAEC1F84A9}">
      <text>
        <r>
          <rPr>
            <b/>
            <sz val="9"/>
            <color indexed="81"/>
            <rFont val="Tahoma"/>
            <family val="2"/>
          </rPr>
          <t>&lt;[[DEVDeals] - [Funding (Seq: 7)] Term - Both]&gt;</t>
        </r>
      </text>
    </comment>
    <comment ref="Y456" authorId="0" shapeId="0" xr:uid="{2D42ABFA-094C-421E-A4DF-16824BF0A964}">
      <text>
        <r>
          <rPr>
            <b/>
            <sz val="9"/>
            <color indexed="81"/>
            <rFont val="Tahoma"/>
            <family val="2"/>
          </rPr>
          <t>&lt;[[DEVDeals] - [Funding (Seq: 7)] Amount - Both]&gt;</t>
        </r>
      </text>
    </comment>
    <comment ref="P457" authorId="0" shapeId="0" xr:uid="{19109006-44D9-4407-AE36-35F2E4A0C2A7}">
      <text>
        <r>
          <rPr>
            <b/>
            <sz val="9"/>
            <color indexed="81"/>
            <rFont val="Tahoma"/>
            <family val="2"/>
          </rPr>
          <t>&lt;[[DEVDeals] - [Funding (Seq: 8)] Program Type - Both]&gt;</t>
        </r>
      </text>
    </comment>
    <comment ref="Q457" authorId="0" shapeId="0" xr:uid="{699D283B-7DF2-48DA-8C59-55A1DA73E6B9}">
      <text>
        <r>
          <rPr>
            <b/>
            <sz val="9"/>
            <color indexed="81"/>
            <rFont val="Tahoma"/>
            <family val="2"/>
          </rPr>
          <t>&lt;[[DEVDeals] - [Funding (Seq: 8)] All DEV Funding Sources - Both]&gt;</t>
        </r>
      </text>
    </comment>
    <comment ref="R457" authorId="0" shapeId="0" xr:uid="{160F9D6A-E65A-45E0-A8A8-E25E526DD5B6}">
      <text>
        <r>
          <rPr>
            <b/>
            <sz val="9"/>
            <color indexed="81"/>
            <rFont val="Tahoma"/>
            <family val="2"/>
          </rPr>
          <t>&lt;[[DEVDeals] - [Funding (Seq: 8)] Note - Both]&gt;</t>
        </r>
      </text>
    </comment>
    <comment ref="S457" authorId="0" shapeId="0" xr:uid="{4FFAADC4-2C26-4719-9F79-BC042FB0B607}">
      <text>
        <r>
          <rPr>
            <b/>
            <sz val="9"/>
            <color indexed="81"/>
            <rFont val="Tahoma"/>
            <family val="2"/>
          </rPr>
          <t>&lt;[[DEVDeals] - [Funding (Seq: 8)] Priority - Both]&gt;</t>
        </r>
      </text>
    </comment>
    <comment ref="T457" authorId="0" shapeId="0" xr:uid="{EC4D0EB2-7853-4C22-8BBB-160B4089605C}">
      <text>
        <r>
          <rPr>
            <b/>
            <sz val="9"/>
            <color indexed="81"/>
            <rFont val="Tahoma"/>
            <family val="2"/>
          </rPr>
          <t>&lt;[[DEVDeals] - [Funding (Seq: 8)] - [Funding - User Defined Field Values (Seq: 1)] Funding Source Information - Required Debt Coverage - Both]&gt;</t>
        </r>
      </text>
    </comment>
    <comment ref="U457" authorId="0" shapeId="0" xr:uid="{91355220-1CB5-4797-8F9D-5B0DB16861A2}">
      <text>
        <r>
          <rPr>
            <b/>
            <sz val="9"/>
            <color indexed="81"/>
            <rFont val="Tahoma"/>
            <family val="2"/>
          </rPr>
          <t>&lt;[[DEVDeals] - [Funding (Seq: 8)] PI - Both]&gt;</t>
        </r>
      </text>
    </comment>
    <comment ref="V457" authorId="0" shapeId="0" xr:uid="{8EDC34E6-0BAA-480E-8487-ADCF2A56B313}">
      <text>
        <r>
          <rPr>
            <b/>
            <sz val="9"/>
            <color indexed="81"/>
            <rFont val="Tahoma"/>
            <family val="2"/>
          </rPr>
          <t>&lt;[[DEVDeals] - [Funding (Seq: 8)] Rate - Both]&gt;</t>
        </r>
      </text>
    </comment>
    <comment ref="W457" authorId="0" shapeId="0" xr:uid="{28D7884F-4A08-4210-90D9-57B4BF2736A0}">
      <text>
        <r>
          <rPr>
            <b/>
            <sz val="9"/>
            <color indexed="81"/>
            <rFont val="Tahoma"/>
            <family val="2"/>
          </rPr>
          <t>&lt;[[DEVDeals] - [Funding (Seq: 8)] - [Funding - User Defined Field Values (Seq: 1)] Funding Source Information - Amortization Term - Both]&gt;</t>
        </r>
      </text>
    </comment>
    <comment ref="X457" authorId="0" shapeId="0" xr:uid="{8B34FBED-B5F8-4D7E-B8ED-2529E131A6EB}">
      <text>
        <r>
          <rPr>
            <b/>
            <sz val="9"/>
            <color indexed="81"/>
            <rFont val="Tahoma"/>
            <family val="2"/>
          </rPr>
          <t>&lt;[[DEVDeals] - [Funding (Seq: 8)] Term - Both]&gt;</t>
        </r>
      </text>
    </comment>
    <comment ref="Y457" authorId="0" shapeId="0" xr:uid="{BFA0C1F7-7B91-4D21-BF01-235A61BE06CD}">
      <text>
        <r>
          <rPr>
            <b/>
            <sz val="9"/>
            <color indexed="81"/>
            <rFont val="Tahoma"/>
            <family val="2"/>
          </rPr>
          <t>&lt;[[DEVDeals] - [Funding (Seq: 8)] Amount - Both]&gt;</t>
        </r>
      </text>
    </comment>
    <comment ref="P458" authorId="0" shapeId="0" xr:uid="{4F4FFDD8-101D-45B5-B4C2-B0C15F54F371}">
      <text>
        <r>
          <rPr>
            <b/>
            <sz val="9"/>
            <color indexed="81"/>
            <rFont val="Tahoma"/>
            <family val="2"/>
          </rPr>
          <t>&lt;[[DEVDeals] - [Funding (Seq: 9)] Program Type - Both]&gt;</t>
        </r>
      </text>
    </comment>
    <comment ref="Q458" authorId="0" shapeId="0" xr:uid="{1E89A6E5-B597-4FEE-9C26-C957F1D14CF6}">
      <text>
        <r>
          <rPr>
            <b/>
            <sz val="9"/>
            <color indexed="81"/>
            <rFont val="Tahoma"/>
            <family val="2"/>
          </rPr>
          <t>&lt;[[DEVDeals] - [Funding (Seq: 9)] All DEV Funding Sources - Both]&gt;</t>
        </r>
      </text>
    </comment>
    <comment ref="R458" authorId="0" shapeId="0" xr:uid="{DAA3E52D-8380-4CB7-975C-C82DAFA3E2B7}">
      <text>
        <r>
          <rPr>
            <b/>
            <sz val="9"/>
            <color indexed="81"/>
            <rFont val="Tahoma"/>
            <family val="2"/>
          </rPr>
          <t>&lt;[[DEVDeals] - [Funding (Seq: 9)] Note - Both]&gt;</t>
        </r>
      </text>
    </comment>
    <comment ref="S458" authorId="0" shapeId="0" xr:uid="{CF7B66CE-5210-4A15-91D5-FCF6F45697DF}">
      <text>
        <r>
          <rPr>
            <b/>
            <sz val="9"/>
            <color indexed="81"/>
            <rFont val="Tahoma"/>
            <family val="2"/>
          </rPr>
          <t>&lt;[[DEVDeals] - [Funding (Seq: 9)] Priority - Both]&gt;</t>
        </r>
      </text>
    </comment>
    <comment ref="T458" authorId="0" shapeId="0" xr:uid="{0B2B4187-7557-4D76-A219-9220A0145A53}">
      <text>
        <r>
          <rPr>
            <b/>
            <sz val="9"/>
            <color indexed="81"/>
            <rFont val="Tahoma"/>
            <family val="2"/>
          </rPr>
          <t>&lt;[[DEVDeals] - [Funding (Seq: 9)] - [Funding - User Defined Field Values (Seq: 1)] Funding Source Information - Required Debt Coverage - Both]&gt;</t>
        </r>
      </text>
    </comment>
    <comment ref="U458" authorId="0" shapeId="0" xr:uid="{B644F2C2-D42A-4B7E-9268-31976D54D238}">
      <text>
        <r>
          <rPr>
            <b/>
            <sz val="9"/>
            <color indexed="81"/>
            <rFont val="Tahoma"/>
            <family val="2"/>
          </rPr>
          <t>&lt;[[DEVDeals] - [Funding (Seq: 9)] PI - Both]&gt;</t>
        </r>
      </text>
    </comment>
    <comment ref="V458" authorId="0" shapeId="0" xr:uid="{D3C8029B-83D6-4773-B5E2-19E082447F40}">
      <text>
        <r>
          <rPr>
            <b/>
            <sz val="9"/>
            <color indexed="81"/>
            <rFont val="Tahoma"/>
            <family val="2"/>
          </rPr>
          <t>&lt;[[DEVDeals] - [Funding (Seq: 9)] Rate - Both]&gt;</t>
        </r>
      </text>
    </comment>
    <comment ref="W458" authorId="0" shapeId="0" xr:uid="{838C42AB-19F4-4EF6-86AE-28574FFE3C75}">
      <text>
        <r>
          <rPr>
            <b/>
            <sz val="9"/>
            <color indexed="81"/>
            <rFont val="Tahoma"/>
            <family val="2"/>
          </rPr>
          <t>&lt;[[DEVDeals] - [Funding (Seq: 9)] - [Funding - User Defined Field Values (Seq: 1)] Funding Source Information - Amortization Term - Both]&gt;</t>
        </r>
      </text>
    </comment>
    <comment ref="X458" authorId="0" shapeId="0" xr:uid="{9B05189E-5D30-4FC8-A84A-10E5BAD9957A}">
      <text>
        <r>
          <rPr>
            <b/>
            <sz val="9"/>
            <color indexed="81"/>
            <rFont val="Tahoma"/>
            <family val="2"/>
          </rPr>
          <t>&lt;[[DEVDeals] - [Funding (Seq: 9)] Term - Both]&gt;</t>
        </r>
      </text>
    </comment>
    <comment ref="Y458" authorId="0" shapeId="0" xr:uid="{66274D19-A27D-4149-8CB1-0BEBEC6E855D}">
      <text>
        <r>
          <rPr>
            <b/>
            <sz val="9"/>
            <color indexed="81"/>
            <rFont val="Tahoma"/>
            <family val="2"/>
          </rPr>
          <t>&lt;[[DEVDeals] - [Funding (Seq: 9)] Amount - Both]&gt;</t>
        </r>
      </text>
    </comment>
    <comment ref="P459" authorId="0" shapeId="0" xr:uid="{9F8B8509-9CE5-4848-B2E1-F8137D223AE9}">
      <text>
        <r>
          <rPr>
            <b/>
            <sz val="9"/>
            <color indexed="81"/>
            <rFont val="Tahoma"/>
            <family val="2"/>
          </rPr>
          <t>&lt;[[DEVDeals] - [Funding (Seq: 10)] Program Type - Both]&gt;</t>
        </r>
      </text>
    </comment>
    <comment ref="Q459" authorId="0" shapeId="0" xr:uid="{CAF722A0-088B-49C5-A9E3-64F2BEEC6D77}">
      <text>
        <r>
          <rPr>
            <b/>
            <sz val="9"/>
            <color indexed="81"/>
            <rFont val="Tahoma"/>
            <family val="2"/>
          </rPr>
          <t>&lt;[[DEVDeals] - [Funding (Seq: 10)] All DEV Funding Sources - Both]&gt;</t>
        </r>
      </text>
    </comment>
    <comment ref="R459" authorId="0" shapeId="0" xr:uid="{88DBDFAF-AA56-4475-BC67-73013D665593}">
      <text>
        <r>
          <rPr>
            <b/>
            <sz val="9"/>
            <color indexed="81"/>
            <rFont val="Tahoma"/>
            <family val="2"/>
          </rPr>
          <t>&lt;[[DEVDeals] - [Funding (Seq: 10)] Note - Both]&gt;</t>
        </r>
      </text>
    </comment>
    <comment ref="S459" authorId="0" shapeId="0" xr:uid="{FDFBACA6-6FD0-4757-91EF-23590C7636C9}">
      <text>
        <r>
          <rPr>
            <b/>
            <sz val="9"/>
            <color indexed="81"/>
            <rFont val="Tahoma"/>
            <family val="2"/>
          </rPr>
          <t>&lt;[[DEVDeals] - [Funding (Seq: 10)] Priority - Both]&gt;</t>
        </r>
      </text>
    </comment>
    <comment ref="V459" authorId="0" shapeId="0" xr:uid="{8C0CB802-5122-4070-B076-56DB33BE538B}">
      <text>
        <r>
          <rPr>
            <b/>
            <sz val="9"/>
            <color indexed="81"/>
            <rFont val="Tahoma"/>
            <family val="2"/>
          </rPr>
          <t>&lt;[[DEVDeals] - [Funding (Seq: 10)] Rate - Both]&gt;</t>
        </r>
      </text>
    </comment>
    <comment ref="W459" authorId="0" shapeId="0" xr:uid="{594BC9C6-9AA3-48D5-8E9F-40DC91554B23}">
      <text>
        <r>
          <rPr>
            <b/>
            <sz val="9"/>
            <color indexed="81"/>
            <rFont val="Tahoma"/>
            <family val="2"/>
          </rPr>
          <t>&lt;[[DEVDeals] - [Funding (Seq: 10)] - [Funding - User Defined Field Values (Seq: 1)] Funding Source Information - Amortization Term - Both]&gt;</t>
        </r>
      </text>
    </comment>
    <comment ref="X459" authorId="0" shapeId="0" xr:uid="{C368827B-2682-402C-9EE9-E841F7393BF6}">
      <text>
        <r>
          <rPr>
            <b/>
            <sz val="9"/>
            <color indexed="81"/>
            <rFont val="Tahoma"/>
            <family val="2"/>
          </rPr>
          <t>&lt;[[DEVDeals] - [Funding (Seq: 10)] Term - Both]&gt;</t>
        </r>
      </text>
    </comment>
    <comment ref="Y459" authorId="0" shapeId="0" xr:uid="{C1E12166-7534-4A7F-8582-F2F09D8B043F}">
      <text>
        <r>
          <rPr>
            <b/>
            <sz val="9"/>
            <color indexed="81"/>
            <rFont val="Tahoma"/>
            <family val="2"/>
          </rPr>
          <t>&lt;[[DEVDeals] - [Funding (Seq: 10)] Amount - Both]&gt;</t>
        </r>
      </text>
    </comment>
    <comment ref="Z459" authorId="0" shapeId="0" xr:uid="{FD6B2815-C1F9-4222-9C55-3BA070E8D9EF}">
      <text>
        <r>
          <rPr>
            <b/>
            <sz val="9"/>
            <color indexed="81"/>
            <rFont val="Tahoma"/>
            <family val="2"/>
          </rPr>
          <t>&lt;[[DEVDeals] - [Funding (Seq: 10)] - [Funding - User Defined Field Values (Seq: 1)] Funding Source Information - Assumed DHCD Debt - Both]&gt;</t>
        </r>
      </text>
    </comment>
    <comment ref="P460" authorId="0" shapeId="0" xr:uid="{6674FB16-C416-40D2-A923-0F80548F5E36}">
      <text>
        <r>
          <rPr>
            <b/>
            <sz val="9"/>
            <color indexed="81"/>
            <rFont val="Tahoma"/>
            <family val="2"/>
          </rPr>
          <t>&lt;[[DEVDeals] - [Funding (Seq: 11)] Program Type - Both]&gt;</t>
        </r>
      </text>
    </comment>
    <comment ref="Q460" authorId="0" shapeId="0" xr:uid="{5EAF322D-90BB-4EA6-825E-BB7D36ADCFDB}">
      <text>
        <r>
          <rPr>
            <b/>
            <sz val="9"/>
            <color indexed="81"/>
            <rFont val="Tahoma"/>
            <family val="2"/>
          </rPr>
          <t>&lt;[[DEVDeals] - [Funding (Seq: 11)] All DEV Funding Sources - Both]&gt;</t>
        </r>
      </text>
    </comment>
    <comment ref="R460" authorId="0" shapeId="0" xr:uid="{846621EE-8EA9-41CD-AFE9-F6A27F18D257}">
      <text>
        <r>
          <rPr>
            <b/>
            <sz val="9"/>
            <color indexed="81"/>
            <rFont val="Tahoma"/>
            <family val="2"/>
          </rPr>
          <t>&lt;[[DEVDeals] - [Funding (Seq: 11)] Note - Both]&gt;</t>
        </r>
      </text>
    </comment>
    <comment ref="S460" authorId="0" shapeId="0" xr:uid="{C8C21BC0-1E79-4BA3-8795-79A3A08172AE}">
      <text>
        <r>
          <rPr>
            <b/>
            <sz val="9"/>
            <color indexed="81"/>
            <rFont val="Tahoma"/>
            <family val="2"/>
          </rPr>
          <t>&lt;[[DEVDeals] - [Funding (Seq: 11)] Priority - Both]&gt;</t>
        </r>
      </text>
    </comment>
    <comment ref="V460" authorId="0" shapeId="0" xr:uid="{A59CA1F8-FEE1-4A91-A382-0DE7F388B0A5}">
      <text>
        <r>
          <rPr>
            <b/>
            <sz val="9"/>
            <color indexed="81"/>
            <rFont val="Tahoma"/>
            <family val="2"/>
          </rPr>
          <t>&lt;[[DEVDeals] - [Funding (Seq: 11)] Rate - Both]&gt;</t>
        </r>
      </text>
    </comment>
    <comment ref="W460" authorId="0" shapeId="0" xr:uid="{FEAC445D-19A0-4914-B53B-492417879713}">
      <text>
        <r>
          <rPr>
            <b/>
            <sz val="9"/>
            <color indexed="81"/>
            <rFont val="Tahoma"/>
            <family val="2"/>
          </rPr>
          <t>&lt;[[DEVDeals] - [Funding (Seq: 11)] - [Funding - User Defined Field Values (Seq: 1)] Funding Source Information - Amortization Term - Both]&gt;</t>
        </r>
      </text>
    </comment>
    <comment ref="X460" authorId="0" shapeId="0" xr:uid="{E51170D2-92C9-4E3E-BD53-5371FDAE1C3D}">
      <text>
        <r>
          <rPr>
            <b/>
            <sz val="9"/>
            <color indexed="81"/>
            <rFont val="Tahoma"/>
            <family val="2"/>
          </rPr>
          <t>&lt;[[DEVDeals] - [Funding (Seq: 11)] Term - Both]&gt;</t>
        </r>
      </text>
    </comment>
    <comment ref="Y460" authorId="0" shapeId="0" xr:uid="{A04B08C2-B6A1-498C-90E9-9D136BCB4E65}">
      <text>
        <r>
          <rPr>
            <b/>
            <sz val="9"/>
            <color indexed="81"/>
            <rFont val="Tahoma"/>
            <family val="2"/>
          </rPr>
          <t>&lt;[[DEVDeals] - [Funding (Seq: 11)] Amount - Both]&gt;</t>
        </r>
      </text>
    </comment>
    <comment ref="Z460" authorId="0" shapeId="0" xr:uid="{7AB558F7-0A3F-487A-94D7-1510234590E6}">
      <text>
        <r>
          <rPr>
            <b/>
            <sz val="9"/>
            <color indexed="81"/>
            <rFont val="Tahoma"/>
            <family val="2"/>
          </rPr>
          <t>&lt;[[DEVDeals] - [Funding (Seq: 11)] - [Funding - User Defined Field Values (Seq: 1)] Funding Source Information - Assumed DHCD Debt - Both]&gt;</t>
        </r>
      </text>
    </comment>
    <comment ref="P461" authorId="0" shapeId="0" xr:uid="{B5536584-E996-497A-9498-B5FBAB917E71}">
      <text>
        <r>
          <rPr>
            <b/>
            <sz val="9"/>
            <color indexed="81"/>
            <rFont val="Tahoma"/>
            <family val="2"/>
          </rPr>
          <t>&lt;[[DEVDeals] - [Funding (Seq: 12)] Program Type - Both]&gt;</t>
        </r>
      </text>
    </comment>
    <comment ref="Q461" authorId="0" shapeId="0" xr:uid="{C1C6B5E2-BE6D-470D-8260-61FA1D3D4553}">
      <text>
        <r>
          <rPr>
            <b/>
            <sz val="9"/>
            <color indexed="81"/>
            <rFont val="Tahoma"/>
            <family val="2"/>
          </rPr>
          <t>&lt;[[DEVDeals] - [Funding (Seq: 12)] All DEV Funding Sources - Both]&gt;</t>
        </r>
      </text>
    </comment>
    <comment ref="R461" authorId="0" shapeId="0" xr:uid="{71969E68-46EF-49D7-A7FB-8E6857D3D83E}">
      <text>
        <r>
          <rPr>
            <b/>
            <sz val="9"/>
            <color indexed="81"/>
            <rFont val="Tahoma"/>
            <family val="2"/>
          </rPr>
          <t>&lt;[[DEVDeals] - [Funding (Seq: 12)] Note - Both]&gt;</t>
        </r>
      </text>
    </comment>
    <comment ref="S461" authorId="0" shapeId="0" xr:uid="{41001372-FB53-4E90-8E3F-5AD57B6B8DA6}">
      <text>
        <r>
          <rPr>
            <b/>
            <sz val="9"/>
            <color indexed="81"/>
            <rFont val="Tahoma"/>
            <family val="2"/>
          </rPr>
          <t>&lt;[[DEVDeals] - [Funding (Seq: 12)] Priority - Both]&gt;</t>
        </r>
      </text>
    </comment>
    <comment ref="V461" authorId="0" shapeId="0" xr:uid="{05807343-6DF7-410C-9EE7-9EB8809E6E08}">
      <text>
        <r>
          <rPr>
            <b/>
            <sz val="9"/>
            <color indexed="81"/>
            <rFont val="Tahoma"/>
            <family val="2"/>
          </rPr>
          <t>&lt;[[DEVDeals] - [Funding (Seq: 12)] Rate - Both]&gt;</t>
        </r>
      </text>
    </comment>
    <comment ref="W461" authorId="0" shapeId="0" xr:uid="{FF7ECCC0-C5B5-4847-B6F9-04522A80F5DB}">
      <text>
        <r>
          <rPr>
            <b/>
            <sz val="9"/>
            <color indexed="81"/>
            <rFont val="Tahoma"/>
            <family val="2"/>
          </rPr>
          <t>&lt;[[DEVDeals] - [Funding (Seq: 12)] - [Funding - User Defined Field Values (Seq: 1)] Funding Source Information - Amortization Term - Both]&gt;</t>
        </r>
      </text>
    </comment>
    <comment ref="X461" authorId="0" shapeId="0" xr:uid="{30FFB776-9AFB-48D4-8900-B1550D8571C3}">
      <text>
        <r>
          <rPr>
            <b/>
            <sz val="9"/>
            <color indexed="81"/>
            <rFont val="Tahoma"/>
            <family val="2"/>
          </rPr>
          <t>&lt;[[DEVDeals] - [Funding (Seq: 12)] Term - Both]&gt;</t>
        </r>
      </text>
    </comment>
    <comment ref="Y461" authorId="0" shapeId="0" xr:uid="{42806D3B-B0BA-448E-955C-F9DB69DF9F7B}">
      <text>
        <r>
          <rPr>
            <b/>
            <sz val="9"/>
            <color indexed="81"/>
            <rFont val="Tahoma"/>
            <family val="2"/>
          </rPr>
          <t>&lt;[[DEVDeals] - [Funding (Seq: 12)] Amount - Both]&gt;</t>
        </r>
      </text>
    </comment>
    <comment ref="Z461" authorId="0" shapeId="0" xr:uid="{A62F22BE-9327-4A9F-9988-C63EE1642201}">
      <text>
        <r>
          <rPr>
            <b/>
            <sz val="9"/>
            <color indexed="81"/>
            <rFont val="Tahoma"/>
            <family val="2"/>
          </rPr>
          <t>&lt;[[DEVDeals] - [Funding (Seq: 12)] - [Funding - User Defined Field Values (Seq: 1)] Funding Source Information - Assumed DHCD Debt - Both]&gt;</t>
        </r>
      </text>
    </comment>
    <comment ref="P462" authorId="0" shapeId="0" xr:uid="{4F414626-35B9-44DD-B1A3-F8482F4E15EB}">
      <text>
        <r>
          <rPr>
            <b/>
            <sz val="9"/>
            <color indexed="81"/>
            <rFont val="Tahoma"/>
            <family val="2"/>
          </rPr>
          <t>&lt;[[DEVDeals] - [Funding (Seq: 13)] Program Type - Both]&gt;</t>
        </r>
      </text>
    </comment>
    <comment ref="Q462" authorId="0" shapeId="0" xr:uid="{37B4A4CB-6460-44EC-A770-C2FFFF5B6CCB}">
      <text>
        <r>
          <rPr>
            <b/>
            <sz val="9"/>
            <color indexed="81"/>
            <rFont val="Tahoma"/>
            <family val="2"/>
          </rPr>
          <t>&lt;[[DEVDeals] - [Funding (Seq: 13)] All DEV Funding Sources - Both]&gt;</t>
        </r>
      </text>
    </comment>
    <comment ref="R462" authorId="0" shapeId="0" xr:uid="{77B5FFFF-83E5-44B5-B769-B689B6584488}">
      <text>
        <r>
          <rPr>
            <b/>
            <sz val="9"/>
            <color indexed="81"/>
            <rFont val="Tahoma"/>
            <family val="2"/>
          </rPr>
          <t>&lt;[[DEVDeals] - [Funding (Seq: 13)] Note - Both]&gt;</t>
        </r>
      </text>
    </comment>
    <comment ref="S462" authorId="0" shapeId="0" xr:uid="{F46B8134-54FC-415A-A0A9-CDFD4DC35108}">
      <text>
        <r>
          <rPr>
            <b/>
            <sz val="9"/>
            <color indexed="81"/>
            <rFont val="Tahoma"/>
            <family val="2"/>
          </rPr>
          <t>&lt;[[DEVDeals] - [Funding (Seq: 13)] Priority - Both]&gt;</t>
        </r>
      </text>
    </comment>
    <comment ref="V462" authorId="0" shapeId="0" xr:uid="{DB01FD0F-8608-448B-A2AB-1102FE037B08}">
      <text>
        <r>
          <rPr>
            <b/>
            <sz val="9"/>
            <color indexed="81"/>
            <rFont val="Tahoma"/>
            <family val="2"/>
          </rPr>
          <t>&lt;[[DEVDeals] - [Funding (Seq: 13)] Rate - Both]&gt;</t>
        </r>
      </text>
    </comment>
    <comment ref="W462" authorId="0" shapeId="0" xr:uid="{FBC3C0B3-B395-4FD7-B6AB-C0BF6ABC2C10}">
      <text>
        <r>
          <rPr>
            <b/>
            <sz val="9"/>
            <color indexed="81"/>
            <rFont val="Tahoma"/>
            <family val="2"/>
          </rPr>
          <t>&lt;[[DEVDeals] - [Funding (Seq: 13)] - [Funding - User Defined Field Values (Seq: 1)] Funding Source Information - Amortization Term - Both]&gt;</t>
        </r>
      </text>
    </comment>
    <comment ref="X462" authorId="0" shapeId="0" xr:uid="{8E38454D-E16C-46BB-A59C-3AF5CA31D54C}">
      <text>
        <r>
          <rPr>
            <b/>
            <sz val="9"/>
            <color indexed="81"/>
            <rFont val="Tahoma"/>
            <family val="2"/>
          </rPr>
          <t>&lt;[[DEVDeals] - [Funding (Seq: 13)] Term - Both]&gt;</t>
        </r>
      </text>
    </comment>
    <comment ref="Y462" authorId="0" shapeId="0" xr:uid="{BDD9A5A7-11C2-4423-8D88-8891080B85D4}">
      <text>
        <r>
          <rPr>
            <b/>
            <sz val="9"/>
            <color indexed="81"/>
            <rFont val="Tahoma"/>
            <family val="2"/>
          </rPr>
          <t>&lt;[[DEVDeals] - [Funding (Seq: 13)] Amount - Both]&gt;</t>
        </r>
      </text>
    </comment>
    <comment ref="Z462" authorId="0" shapeId="0" xr:uid="{B8EA9E6F-9DD8-44FD-9D83-6D3F54996D84}">
      <text>
        <r>
          <rPr>
            <b/>
            <sz val="9"/>
            <color indexed="81"/>
            <rFont val="Tahoma"/>
            <family val="2"/>
          </rPr>
          <t>&lt;[[DEVDeals] - [Funding (Seq: 13)] - [Funding - User Defined Field Values (Seq: 1)] Funding Source Information - Assumed DHCD Debt - Both]&gt;</t>
        </r>
      </text>
    </comment>
    <comment ref="P463" authorId="0" shapeId="0" xr:uid="{64380741-7B05-45C9-83E1-3A16308D5A70}">
      <text>
        <r>
          <rPr>
            <b/>
            <sz val="9"/>
            <color indexed="81"/>
            <rFont val="Tahoma"/>
            <family val="2"/>
          </rPr>
          <t>&lt;[[DEVDeals] - [Funding (Seq: 14)] Program Type - Both]&gt;</t>
        </r>
      </text>
    </comment>
    <comment ref="Q463" authorId="0" shapeId="0" xr:uid="{50D3A992-A8CC-4B3B-BA71-004F1F3CEED1}">
      <text>
        <r>
          <rPr>
            <b/>
            <sz val="9"/>
            <color indexed="81"/>
            <rFont val="Tahoma"/>
            <family val="2"/>
          </rPr>
          <t>&lt;[[DEVDeals] - [Funding (Seq: 14)] All DEV Funding Sources - Both]&gt;</t>
        </r>
      </text>
    </comment>
    <comment ref="R463" authorId="0" shapeId="0" xr:uid="{DC7DC162-7F89-4790-A586-38A4A44D67B5}">
      <text>
        <r>
          <rPr>
            <b/>
            <sz val="9"/>
            <color indexed="81"/>
            <rFont val="Tahoma"/>
            <family val="2"/>
          </rPr>
          <t>&lt;[[DEVDeals] - [Funding (Seq: 14)] Note - Both]&gt;</t>
        </r>
      </text>
    </comment>
    <comment ref="S463" authorId="0" shapeId="0" xr:uid="{5F9A9E5A-CE16-4083-8947-D9BE594B29C7}">
      <text>
        <r>
          <rPr>
            <b/>
            <sz val="9"/>
            <color indexed="81"/>
            <rFont val="Tahoma"/>
            <family val="2"/>
          </rPr>
          <t>&lt;[[DEVDeals] - [Funding (Seq: 14)] Priority - Both]&gt;</t>
        </r>
      </text>
    </comment>
    <comment ref="V463" authorId="0" shapeId="0" xr:uid="{A0F6EC9D-0C72-4CC1-82A2-300F098979E3}">
      <text>
        <r>
          <rPr>
            <b/>
            <sz val="9"/>
            <color indexed="81"/>
            <rFont val="Tahoma"/>
            <family val="2"/>
          </rPr>
          <t>&lt;[[DEVDeals] - [Funding (Seq: 14)] Rate - Both]&gt;</t>
        </r>
      </text>
    </comment>
    <comment ref="W463" authorId="0" shapeId="0" xr:uid="{1CE9A835-2F1E-4F5C-9085-46FCCDBD6486}">
      <text>
        <r>
          <rPr>
            <b/>
            <sz val="9"/>
            <color indexed="81"/>
            <rFont val="Tahoma"/>
            <family val="2"/>
          </rPr>
          <t>&lt;[[DEVDeals] - [Funding (Seq: 14)] - [Funding - User Defined Field Values (Seq: 1)] Funding Source Information - Amortization Term - Both]&gt;</t>
        </r>
      </text>
    </comment>
    <comment ref="X463" authorId="0" shapeId="0" xr:uid="{F3E0A86F-43F4-463D-B91B-5BB1542AF2D7}">
      <text>
        <r>
          <rPr>
            <b/>
            <sz val="9"/>
            <color indexed="81"/>
            <rFont val="Tahoma"/>
            <family val="2"/>
          </rPr>
          <t>&lt;[[DEVDeals] - [Funding (Seq: 14)] Term - Both]&gt;</t>
        </r>
      </text>
    </comment>
    <comment ref="Y463" authorId="0" shapeId="0" xr:uid="{8AEB9C04-1E74-4B1E-B825-7C168F34B319}">
      <text>
        <r>
          <rPr>
            <b/>
            <sz val="9"/>
            <color indexed="81"/>
            <rFont val="Tahoma"/>
            <family val="2"/>
          </rPr>
          <t>&lt;[[DEVDeals] - [Funding (Seq: 14)] Amount - Both]&gt;</t>
        </r>
      </text>
    </comment>
    <comment ref="Z463" authorId="0" shapeId="0" xr:uid="{BDC2BD38-8499-4CFA-9A91-B7F6D44DAB13}">
      <text>
        <r>
          <rPr>
            <b/>
            <sz val="9"/>
            <color indexed="81"/>
            <rFont val="Tahoma"/>
            <family val="2"/>
          </rPr>
          <t>&lt;[[DEVDeals] - [Funding (Seq: 14)] - [Funding - User Defined Field Values (Seq: 1)] Funding Source Information - Assumed DHCD Debt - Both]&gt;</t>
        </r>
      </text>
    </comment>
    <comment ref="P464" authorId="0" shapeId="0" xr:uid="{B2A91270-B291-4A00-8B23-4ADBAC3A093B}">
      <text>
        <r>
          <rPr>
            <b/>
            <sz val="9"/>
            <color indexed="81"/>
            <rFont val="Tahoma"/>
            <family val="2"/>
          </rPr>
          <t>&lt;[[DEVDeals] - [Funding (Seq: 15)] Program Type - Both]&gt;</t>
        </r>
      </text>
    </comment>
    <comment ref="Q464" authorId="0" shapeId="0" xr:uid="{CA8875E9-0755-4FAE-BBBD-1C8EFD5EA324}">
      <text>
        <r>
          <rPr>
            <b/>
            <sz val="9"/>
            <color indexed="81"/>
            <rFont val="Tahoma"/>
            <family val="2"/>
          </rPr>
          <t>&lt;[[DEVDeals] - [Funding (Seq: 15)] All DEV Funding Sources - Both]&gt;</t>
        </r>
      </text>
    </comment>
    <comment ref="R464" authorId="0" shapeId="0" xr:uid="{EFE0B497-A5A5-40F1-A04C-3F74760ABB37}">
      <text>
        <r>
          <rPr>
            <b/>
            <sz val="9"/>
            <color indexed="81"/>
            <rFont val="Tahoma"/>
            <family val="2"/>
          </rPr>
          <t>&lt;[[DEVDeals] - [Funding (Seq: 15)] Note - Both]&gt;</t>
        </r>
      </text>
    </comment>
    <comment ref="S464" authorId="0" shapeId="0" xr:uid="{293C2EB3-359A-4D06-AF39-91BCF09F9B27}">
      <text>
        <r>
          <rPr>
            <b/>
            <sz val="9"/>
            <color indexed="81"/>
            <rFont val="Tahoma"/>
            <family val="2"/>
          </rPr>
          <t>&lt;[[DEVDeals] - [Funding (Seq: 15)] Priority - Both]&gt;</t>
        </r>
      </text>
    </comment>
    <comment ref="Y464" authorId="0" shapeId="0" xr:uid="{DD54ACD6-A28C-4150-A363-88B3E524AE43}">
      <text>
        <r>
          <rPr>
            <b/>
            <sz val="9"/>
            <color indexed="81"/>
            <rFont val="Tahoma"/>
            <family val="2"/>
          </rPr>
          <t>&lt;[[DEVDeals] - [Funding (Seq: 15)] Amount - Both]&gt;</t>
        </r>
      </text>
    </comment>
    <comment ref="Z464" authorId="0" shapeId="0" xr:uid="{0AEFC3CD-6A17-4FF7-B1D8-BAD974C75793}">
      <text>
        <r>
          <rPr>
            <b/>
            <sz val="9"/>
            <color indexed="81"/>
            <rFont val="Tahoma"/>
            <family val="2"/>
          </rPr>
          <t>&lt;[[DEVDeals] - [Funding (Seq: 15)] - [Funding - User Defined Field Values (Seq: 1)] Funding Source Information - Assumed DHCD Debt - Both]&gt;</t>
        </r>
      </text>
    </comment>
    <comment ref="P465" authorId="0" shapeId="0" xr:uid="{B75835C9-FC69-4BB7-9A09-F49858492E79}">
      <text>
        <r>
          <rPr>
            <b/>
            <sz val="9"/>
            <color indexed="81"/>
            <rFont val="Tahoma"/>
            <family val="2"/>
          </rPr>
          <t>&lt;[[DEVDeals] - [Funding (Seq: 16)] Program Type - Both]&gt;</t>
        </r>
      </text>
    </comment>
    <comment ref="Q465" authorId="0" shapeId="0" xr:uid="{95083D82-90FE-48A7-85EF-EC577A5A7EDF}">
      <text>
        <r>
          <rPr>
            <b/>
            <sz val="9"/>
            <color indexed="81"/>
            <rFont val="Tahoma"/>
            <family val="2"/>
          </rPr>
          <t>&lt;[[DEVDeals] - [Funding (Seq: 16)] All DEV Funding Sources - Both]&gt;</t>
        </r>
      </text>
    </comment>
    <comment ref="R465" authorId="0" shapeId="0" xr:uid="{D6045B31-34C1-4668-AEE8-6337E9949DDF}">
      <text>
        <r>
          <rPr>
            <b/>
            <sz val="9"/>
            <color indexed="81"/>
            <rFont val="Tahoma"/>
            <family val="2"/>
          </rPr>
          <t>&lt;[[DEVDeals] - [Funding (Seq: 16)] Note - Both]&gt;</t>
        </r>
      </text>
    </comment>
    <comment ref="S465" authorId="0" shapeId="0" xr:uid="{46CC64C0-B9A6-4031-A25D-C4E870A8F744}">
      <text>
        <r>
          <rPr>
            <b/>
            <sz val="9"/>
            <color indexed="81"/>
            <rFont val="Tahoma"/>
            <family val="2"/>
          </rPr>
          <t>&lt;[[DEVDeals] - [Funding (Seq: 16)] Priority - Both]&gt;</t>
        </r>
      </text>
    </comment>
    <comment ref="Y465" authorId="0" shapeId="0" xr:uid="{E37E32B9-B18C-4230-9BBF-5CB68E6383F3}">
      <text>
        <r>
          <rPr>
            <b/>
            <sz val="9"/>
            <color indexed="81"/>
            <rFont val="Tahoma"/>
            <family val="2"/>
          </rPr>
          <t>&lt;[[DEVDeals] - [Funding (Seq: 16)] Amount - Both]&gt;</t>
        </r>
      </text>
    </comment>
    <comment ref="P466" authorId="0" shapeId="0" xr:uid="{9485EECB-37F2-4915-A17B-B66560177AF5}">
      <text>
        <r>
          <rPr>
            <b/>
            <sz val="9"/>
            <color indexed="81"/>
            <rFont val="Tahoma"/>
            <family val="2"/>
          </rPr>
          <t>&lt;[[DEVDeals] - [Funding (Seq: 17)] Program Type - Both]&gt;</t>
        </r>
      </text>
    </comment>
    <comment ref="Q466" authorId="0" shapeId="0" xr:uid="{5CBB7873-5AB2-4D39-A0EE-EF2E832C47E3}">
      <text>
        <r>
          <rPr>
            <b/>
            <sz val="9"/>
            <color indexed="81"/>
            <rFont val="Tahoma"/>
            <family val="2"/>
          </rPr>
          <t>&lt;[[DEVDeals] - [Funding (Seq: 17)] All DEV Funding Sources - Both]&gt;</t>
        </r>
      </text>
    </comment>
    <comment ref="R466" authorId="0" shapeId="0" xr:uid="{C01DC421-18C0-42F9-96C5-631FF5C4E8F0}">
      <text>
        <r>
          <rPr>
            <b/>
            <sz val="9"/>
            <color indexed="81"/>
            <rFont val="Tahoma"/>
            <family val="2"/>
          </rPr>
          <t>&lt;[[DEVDeals] - [Funding (Seq: 17)] Note - Both]&gt;</t>
        </r>
      </text>
    </comment>
    <comment ref="S466" authorId="0" shapeId="0" xr:uid="{0CC2089B-658D-4A7F-B53E-BCB2E902D7BD}">
      <text>
        <r>
          <rPr>
            <b/>
            <sz val="9"/>
            <color indexed="81"/>
            <rFont val="Tahoma"/>
            <family val="2"/>
          </rPr>
          <t>&lt;[[DEVDeals] - [Funding (Seq: 17)] Priority - Both]&gt;</t>
        </r>
      </text>
    </comment>
    <comment ref="Y466" authorId="0" shapeId="0" xr:uid="{3EADB56A-40F8-4E63-BBF9-37FA805B186F}">
      <text>
        <r>
          <rPr>
            <b/>
            <sz val="9"/>
            <color indexed="81"/>
            <rFont val="Tahoma"/>
            <family val="2"/>
          </rPr>
          <t>&lt;[[DEVDeals] - [Funding (Seq: 17)] Amount - Both]&gt;</t>
        </r>
      </text>
    </comment>
    <comment ref="P467" authorId="0" shapeId="0" xr:uid="{0ED9647A-B239-48FE-9796-8724541A4F50}">
      <text>
        <r>
          <rPr>
            <b/>
            <sz val="9"/>
            <color indexed="81"/>
            <rFont val="Tahoma"/>
            <family val="2"/>
          </rPr>
          <t>&lt;[[DEVDeals] - [Funding (Seq: 18)] Program Type - Both]&gt;</t>
        </r>
      </text>
    </comment>
    <comment ref="Q467" authorId="0" shapeId="0" xr:uid="{32A2718C-3749-46F7-BD89-47D523953667}">
      <text>
        <r>
          <rPr>
            <b/>
            <sz val="9"/>
            <color indexed="81"/>
            <rFont val="Tahoma"/>
            <family val="2"/>
          </rPr>
          <t>&lt;[[DEVDeals] - [Funding (Seq: 18)] All DEV Funding Sources - Both]&gt;</t>
        </r>
      </text>
    </comment>
    <comment ref="R467" authorId="0" shapeId="0" xr:uid="{47E76DB1-2A3F-4E7A-8BCC-E638EB3C3038}">
      <text>
        <r>
          <rPr>
            <b/>
            <sz val="9"/>
            <color indexed="81"/>
            <rFont val="Tahoma"/>
            <family val="2"/>
          </rPr>
          <t>&lt;[[DEVDeals] - [Funding (Seq: 18)] Note - Both]&gt;</t>
        </r>
      </text>
    </comment>
    <comment ref="S467" authorId="0" shapeId="0" xr:uid="{4751D671-0202-4396-B389-CD55816A5E3D}">
      <text>
        <r>
          <rPr>
            <b/>
            <sz val="9"/>
            <color indexed="81"/>
            <rFont val="Tahoma"/>
            <family val="2"/>
          </rPr>
          <t>&lt;[[DEVDeals] - [Funding (Seq: 18)] Priority - Both]&gt;</t>
        </r>
      </text>
    </comment>
    <comment ref="Y467" authorId="0" shapeId="0" xr:uid="{11C3599C-0C8A-4096-8328-CC32A987508E}">
      <text>
        <r>
          <rPr>
            <b/>
            <sz val="9"/>
            <color indexed="81"/>
            <rFont val="Tahoma"/>
            <family val="2"/>
          </rPr>
          <t>&lt;[[DEVDeals] - [Funding (Seq: 18)] Amount - Both]&gt;</t>
        </r>
      </text>
    </comment>
    <comment ref="Z467" authorId="0" shapeId="0" xr:uid="{CD862D04-38E0-4C96-BE85-1B317BBA3B07}">
      <text>
        <r>
          <rPr>
            <b/>
            <sz val="9"/>
            <color indexed="81"/>
            <rFont val="Tahoma"/>
            <family val="2"/>
          </rPr>
          <t>&lt;[[DEVDeals] - [Funding (Seq: 18)] - [Funding - User Defined Field Values (Seq: 1)] Funding Source Information - Assumed DHCD Debt - Both]&gt;</t>
        </r>
      </text>
    </comment>
    <comment ref="P468" authorId="0" shapeId="0" xr:uid="{4EF43D58-0445-4E7B-BFD5-A7480C28139D}">
      <text>
        <r>
          <rPr>
            <b/>
            <sz val="9"/>
            <color indexed="81"/>
            <rFont val="Tahoma"/>
            <family val="2"/>
          </rPr>
          <t>&lt;[[DEVDeals] - [Funding (Seq: 19)] Program Type - Both]&gt;</t>
        </r>
      </text>
    </comment>
    <comment ref="Q468" authorId="0" shapeId="0" xr:uid="{DEA8C898-4D72-4058-8039-DD2F859D65F1}">
      <text>
        <r>
          <rPr>
            <b/>
            <sz val="9"/>
            <color indexed="81"/>
            <rFont val="Tahoma"/>
            <family val="2"/>
          </rPr>
          <t>&lt;[[DEVDeals] - [Funding (Seq: 19)] All DEV Funding Sources - Both]&gt;</t>
        </r>
      </text>
    </comment>
    <comment ref="R468" authorId="0" shapeId="0" xr:uid="{F1D0BAE0-02C4-4678-87E6-02DDED8171FC}">
      <text>
        <r>
          <rPr>
            <b/>
            <sz val="9"/>
            <color indexed="81"/>
            <rFont val="Tahoma"/>
            <family val="2"/>
          </rPr>
          <t>&lt;[[DEVDeals] - [Funding (Seq: 19)] Note - Both]&gt;</t>
        </r>
      </text>
    </comment>
    <comment ref="S468" authorId="0" shapeId="0" xr:uid="{C024BE29-3F8B-4B47-8140-D76A8AC78C47}">
      <text>
        <r>
          <rPr>
            <b/>
            <sz val="9"/>
            <color indexed="81"/>
            <rFont val="Tahoma"/>
            <family val="2"/>
          </rPr>
          <t>&lt;[[DEVDeals] - [Funding (Seq: 19)] Priority - Both]&gt;</t>
        </r>
      </text>
    </comment>
    <comment ref="Y468" authorId="0" shapeId="0" xr:uid="{078D87F5-677D-4E9E-878B-375F536D7A4B}">
      <text>
        <r>
          <rPr>
            <b/>
            <sz val="9"/>
            <color indexed="81"/>
            <rFont val="Tahoma"/>
            <family val="2"/>
          </rPr>
          <t>&lt;[[DEVDeals] - [Funding (Seq: 19)] Amount - Both]&gt;</t>
        </r>
      </text>
    </comment>
    <comment ref="Z468" authorId="0" shapeId="0" xr:uid="{02427981-1D5D-4AFE-B10E-4CFD808C2461}">
      <text>
        <r>
          <rPr>
            <b/>
            <sz val="9"/>
            <color indexed="81"/>
            <rFont val="Tahoma"/>
            <family val="2"/>
          </rPr>
          <t>&lt;[[DEVDeals] - [Funding (Seq: 19)] - [Funding - User Defined Field Values (Seq: 1)] Funding Source Information - Assumed DHCD Debt - Both]&gt;</t>
        </r>
      </text>
    </comment>
    <comment ref="P469" authorId="0" shapeId="0" xr:uid="{5A05A2CF-09B6-4ABA-AF00-1614FFF5F8B5}">
      <text>
        <r>
          <rPr>
            <b/>
            <sz val="9"/>
            <color indexed="81"/>
            <rFont val="Tahoma"/>
            <family val="2"/>
          </rPr>
          <t>&lt;[[DEVDeals] - [Funding (Seq: 20)] Program Type - Both]&gt;</t>
        </r>
      </text>
    </comment>
    <comment ref="Q469" authorId="0" shapeId="0" xr:uid="{5C2CC4A2-D2C3-4C8B-88ED-12BDFB904F43}">
      <text>
        <r>
          <rPr>
            <b/>
            <sz val="9"/>
            <color indexed="81"/>
            <rFont val="Tahoma"/>
            <family val="2"/>
          </rPr>
          <t>&lt;[[DEVDeals] - [Funding (Seq: 20)] All DEV Funding Sources - Both]&gt;</t>
        </r>
      </text>
    </comment>
    <comment ref="R469" authorId="0" shapeId="0" xr:uid="{9DBF09F0-06BE-49FB-81BA-5BC85263BEF8}">
      <text>
        <r>
          <rPr>
            <b/>
            <sz val="9"/>
            <color indexed="81"/>
            <rFont val="Tahoma"/>
            <family val="2"/>
          </rPr>
          <t>&lt;[[DEVDeals] - [Funding (Seq: 20)] Note - Both]&gt;</t>
        </r>
      </text>
    </comment>
    <comment ref="S469" authorId="0" shapeId="0" xr:uid="{C254F3EA-20A1-4D16-B48B-B8D3D5374D12}">
      <text>
        <r>
          <rPr>
            <b/>
            <sz val="9"/>
            <color indexed="81"/>
            <rFont val="Tahoma"/>
            <family val="2"/>
          </rPr>
          <t>&lt;[[DEVDeals] - [Funding (Seq: 20)] Priority - Both]&gt;</t>
        </r>
      </text>
    </comment>
    <comment ref="V469" authorId="0" shapeId="0" xr:uid="{45179886-27CC-4F5B-AD51-AD54D3567735}">
      <text>
        <r>
          <rPr>
            <b/>
            <sz val="9"/>
            <color indexed="81"/>
            <rFont val="Tahoma"/>
            <family val="2"/>
          </rPr>
          <t>&lt;[[DEVDeals] - [Funding (Seq: 20)] Rate - Both]&gt;</t>
        </r>
      </text>
    </comment>
    <comment ref="W469" authorId="0" shapeId="0" xr:uid="{21FC7EE4-C3E8-45C6-8A57-49B773D5539A}">
      <text>
        <r>
          <rPr>
            <b/>
            <sz val="9"/>
            <color indexed="81"/>
            <rFont val="Tahoma"/>
            <family val="2"/>
          </rPr>
          <t>&lt;[[DEVDeals] - [Funding (Seq: 20)] - [Funding - User Defined Field Values (Seq: 1)] Funding Source Information - Amortization Term - Both]&gt;</t>
        </r>
      </text>
    </comment>
    <comment ref="X469" authorId="0" shapeId="0" xr:uid="{55F0EAAC-D3A0-4C38-AE25-6004B84FD5CC}">
      <text>
        <r>
          <rPr>
            <b/>
            <sz val="9"/>
            <color indexed="81"/>
            <rFont val="Tahoma"/>
            <family val="2"/>
          </rPr>
          <t>&lt;[[DEVDeals] - [Funding (Seq: 20)] Term - Both]&gt;</t>
        </r>
      </text>
    </comment>
    <comment ref="Y469" authorId="0" shapeId="0" xr:uid="{D5401805-35BD-4E4D-8211-39B22E5C8693}">
      <text>
        <r>
          <rPr>
            <b/>
            <sz val="9"/>
            <color indexed="81"/>
            <rFont val="Tahoma"/>
            <family val="2"/>
          </rPr>
          <t>&lt;[[DEVDeals] - [Funding (Seq: 20)] Amount - Both]&gt;</t>
        </r>
      </text>
    </comment>
    <comment ref="P470" authorId="0" shapeId="0" xr:uid="{644A87E1-8BCB-446F-A2F4-D05988A766D7}">
      <text>
        <r>
          <rPr>
            <b/>
            <sz val="9"/>
            <color indexed="81"/>
            <rFont val="Tahoma"/>
            <family val="2"/>
          </rPr>
          <t>&lt;[[DEVDeals] - [Funding (Seq: 21)] Program Type - Both]&gt;</t>
        </r>
      </text>
    </comment>
    <comment ref="Q470" authorId="0" shapeId="0" xr:uid="{780E566A-A5B4-4ECF-8B00-810431131B26}">
      <text>
        <r>
          <rPr>
            <b/>
            <sz val="9"/>
            <color indexed="81"/>
            <rFont val="Tahoma"/>
            <family val="2"/>
          </rPr>
          <t>&lt;[[DEVDeals] - [Funding (Seq: 21)] All DEV Funding Sources - Both]&gt;</t>
        </r>
      </text>
    </comment>
    <comment ref="R470" authorId="0" shapeId="0" xr:uid="{D3D5606D-7027-43CE-8C2C-EED27CEA76EC}">
      <text>
        <r>
          <rPr>
            <b/>
            <sz val="9"/>
            <color indexed="81"/>
            <rFont val="Tahoma"/>
            <family val="2"/>
          </rPr>
          <t>&lt;[[DEVDeals] - [Funding (Seq: 21)] Note - Both]&gt;</t>
        </r>
      </text>
    </comment>
    <comment ref="S470" authorId="0" shapeId="0" xr:uid="{B6C648E4-D569-46C4-AA8F-AA0262B1E178}">
      <text>
        <r>
          <rPr>
            <b/>
            <sz val="9"/>
            <color indexed="81"/>
            <rFont val="Tahoma"/>
            <family val="2"/>
          </rPr>
          <t>&lt;[[DEVDeals] - [Funding (Seq: 21)] Priority - Both]&gt;</t>
        </r>
      </text>
    </comment>
    <comment ref="V470" authorId="0" shapeId="0" xr:uid="{77A8FCBB-CEA8-4E38-9907-B08BA2FB60BD}">
      <text>
        <r>
          <rPr>
            <b/>
            <sz val="9"/>
            <color indexed="81"/>
            <rFont val="Tahoma"/>
            <family val="2"/>
          </rPr>
          <t>&lt;[[DEVDeals] - [Funding (Seq: 21)] Rate - Both]&gt;</t>
        </r>
      </text>
    </comment>
    <comment ref="W470" authorId="0" shapeId="0" xr:uid="{4C235654-1504-4DDA-A306-E2DB1B655ABD}">
      <text>
        <r>
          <rPr>
            <b/>
            <sz val="9"/>
            <color indexed="81"/>
            <rFont val="Tahoma"/>
            <family val="2"/>
          </rPr>
          <t>&lt;[[DEVDeals] - [Funding (Seq: 21)] - [Funding - User Defined Field Values (Seq: 1)] Funding Source Information - Amortization Term - Both]&gt;</t>
        </r>
      </text>
    </comment>
    <comment ref="X470" authorId="0" shapeId="0" xr:uid="{6AD68959-43D6-4618-A7D6-366B81B6F0AC}">
      <text>
        <r>
          <rPr>
            <b/>
            <sz val="9"/>
            <color indexed="81"/>
            <rFont val="Tahoma"/>
            <family val="2"/>
          </rPr>
          <t>&lt;[[DEVDeals] - [Funding (Seq: 21)] Term - Both]&gt;</t>
        </r>
      </text>
    </comment>
    <comment ref="Y470" authorId="0" shapeId="0" xr:uid="{9BC1E42F-2628-4165-92C8-1C6409C2D62C}">
      <text>
        <r>
          <rPr>
            <b/>
            <sz val="9"/>
            <color indexed="81"/>
            <rFont val="Tahoma"/>
            <family val="2"/>
          </rPr>
          <t>&lt;[[DEVDeals] - [Funding (Seq: 21)] Amount - Both]&gt;</t>
        </r>
      </text>
    </comment>
    <comment ref="P471" authorId="0" shapeId="0" xr:uid="{71632248-67F6-48A4-B986-2612880517D6}">
      <text>
        <r>
          <rPr>
            <b/>
            <sz val="9"/>
            <color indexed="81"/>
            <rFont val="Tahoma"/>
            <family val="2"/>
          </rPr>
          <t>&lt;[[DEVDeals] - [Funding (Seq: 22)] Program Type - Both]&gt;</t>
        </r>
      </text>
    </comment>
    <comment ref="Q471" authorId="0" shapeId="0" xr:uid="{C52867FA-6A40-4769-A0BC-0243D2E96550}">
      <text>
        <r>
          <rPr>
            <b/>
            <sz val="9"/>
            <color indexed="81"/>
            <rFont val="Tahoma"/>
            <family val="2"/>
          </rPr>
          <t>&lt;[[DEVDeals] - [Funding (Seq: 22)] All DEV Funding Sources - Both]&gt;</t>
        </r>
      </text>
    </comment>
    <comment ref="R471" authorId="0" shapeId="0" xr:uid="{47DF1B55-DBC8-4DEE-8D7F-FE725A93F0B8}">
      <text>
        <r>
          <rPr>
            <b/>
            <sz val="9"/>
            <color indexed="81"/>
            <rFont val="Tahoma"/>
            <family val="2"/>
          </rPr>
          <t>&lt;[[DEVDeals] - [Funding (Seq: 22)] Note - Both]&gt;</t>
        </r>
      </text>
    </comment>
    <comment ref="S471" authorId="0" shapeId="0" xr:uid="{F2F95811-C117-4C2B-B00B-1AC80F05D08A}">
      <text>
        <r>
          <rPr>
            <b/>
            <sz val="9"/>
            <color indexed="81"/>
            <rFont val="Tahoma"/>
            <family val="2"/>
          </rPr>
          <t>&lt;[[DEVDeals] - [Funding (Seq: 22)] Priority - Both]&gt;</t>
        </r>
      </text>
    </comment>
    <comment ref="V471" authorId="0" shapeId="0" xr:uid="{5146D95E-FD0B-4589-AC4C-B6BB82CE1B92}">
      <text>
        <r>
          <rPr>
            <b/>
            <sz val="9"/>
            <color indexed="81"/>
            <rFont val="Tahoma"/>
            <family val="2"/>
          </rPr>
          <t>&lt;[[DEVDeals] - [Funding (Seq: 22)] Rate - Both]&gt;</t>
        </r>
      </text>
    </comment>
    <comment ref="W471" authorId="0" shapeId="0" xr:uid="{DDC11D96-DC49-41F8-9DBE-5182B7F7F38B}">
      <text>
        <r>
          <rPr>
            <b/>
            <sz val="9"/>
            <color indexed="81"/>
            <rFont val="Tahoma"/>
            <family val="2"/>
          </rPr>
          <t>&lt;[[DEVDeals] - [Funding (Seq: 22)] - [Funding - User Defined Field Values (Seq: 1)] Funding Source Information - Amortization Term - Both]&gt;</t>
        </r>
      </text>
    </comment>
    <comment ref="X471" authorId="0" shapeId="0" xr:uid="{3D170BBF-82DE-48F7-BC88-3888C5196CDD}">
      <text>
        <r>
          <rPr>
            <b/>
            <sz val="9"/>
            <color indexed="81"/>
            <rFont val="Tahoma"/>
            <family val="2"/>
          </rPr>
          <t>&lt;[[DEVDeals] - [Funding (Seq: 22)] Term - Both]&gt;</t>
        </r>
      </text>
    </comment>
    <comment ref="Y471" authorId="0" shapeId="0" xr:uid="{1363924D-FBEA-4FBC-97E4-03A7E35014FC}">
      <text>
        <r>
          <rPr>
            <b/>
            <sz val="9"/>
            <color indexed="81"/>
            <rFont val="Tahoma"/>
            <family val="2"/>
          </rPr>
          <t>&lt;[[DEVDeals] - [Funding (Seq: 22)] Amount - Both]&gt;</t>
        </r>
      </text>
    </comment>
    <comment ref="P472" authorId="0" shapeId="0" xr:uid="{9921E59F-097C-48F5-88CC-1E7421009C71}">
      <text>
        <r>
          <rPr>
            <b/>
            <sz val="9"/>
            <color indexed="81"/>
            <rFont val="Tahoma"/>
            <family val="2"/>
          </rPr>
          <t>&lt;[[DEVDeals] - [Funding (Seq: 23)] Program Type - Both]&gt;</t>
        </r>
      </text>
    </comment>
    <comment ref="Q472" authorId="0" shapeId="0" xr:uid="{BA7CF951-462E-4600-BFE9-80246FC72269}">
      <text>
        <r>
          <rPr>
            <b/>
            <sz val="9"/>
            <color indexed="81"/>
            <rFont val="Tahoma"/>
            <family val="2"/>
          </rPr>
          <t>&lt;[[DEVDeals] - [Funding (Seq: 23)] All DEV Funding Sources - Both]&gt;</t>
        </r>
      </text>
    </comment>
    <comment ref="R472" authorId="0" shapeId="0" xr:uid="{2B3ECA6E-7B64-4051-A737-5DE0A484AE9F}">
      <text>
        <r>
          <rPr>
            <b/>
            <sz val="9"/>
            <color indexed="81"/>
            <rFont val="Tahoma"/>
            <family val="2"/>
          </rPr>
          <t>&lt;[[DEVDeals] - [Funding (Seq: 23)] Note - Both]&gt;</t>
        </r>
      </text>
    </comment>
    <comment ref="S472" authorId="0" shapeId="0" xr:uid="{C4B3F057-E0D8-464F-8A02-69448E299DBC}">
      <text>
        <r>
          <rPr>
            <b/>
            <sz val="9"/>
            <color indexed="81"/>
            <rFont val="Tahoma"/>
            <family val="2"/>
          </rPr>
          <t>&lt;[[DEVDeals] - [Funding (Seq: 23)] Priority - Both]&gt;</t>
        </r>
      </text>
    </comment>
    <comment ref="V472" authorId="0" shapeId="0" xr:uid="{CDF88C21-A3C7-4891-9DAD-DD812F2E8C82}">
      <text>
        <r>
          <rPr>
            <b/>
            <sz val="9"/>
            <color indexed="81"/>
            <rFont val="Tahoma"/>
            <family val="2"/>
          </rPr>
          <t>&lt;[[DEVDeals] - [Funding (Seq: 23)] Rate - Both]&gt;</t>
        </r>
      </text>
    </comment>
    <comment ref="W472" authorId="0" shapeId="0" xr:uid="{ABF1D7BB-C39B-4AA1-A6BF-CE9E5516AA34}">
      <text>
        <r>
          <rPr>
            <b/>
            <sz val="9"/>
            <color indexed="81"/>
            <rFont val="Tahoma"/>
            <family val="2"/>
          </rPr>
          <t>&lt;[[DEVDeals] - [Funding (Seq: 23)] - [Funding - User Defined Field Values (Seq: 1)] Funding Source Information - Amortization Term - Both]&gt;</t>
        </r>
      </text>
    </comment>
    <comment ref="X472" authorId="0" shapeId="0" xr:uid="{382D7622-193F-437D-811B-8AA19CE9C66C}">
      <text>
        <r>
          <rPr>
            <b/>
            <sz val="9"/>
            <color indexed="81"/>
            <rFont val="Tahoma"/>
            <family val="2"/>
          </rPr>
          <t>&lt;[[DEVDeals] - [Funding (Seq: 23)] Term - Both]&gt;</t>
        </r>
      </text>
    </comment>
    <comment ref="Y472" authorId="0" shapeId="0" xr:uid="{9476B1D9-0F81-4466-B293-990161304CB1}">
      <text>
        <r>
          <rPr>
            <b/>
            <sz val="9"/>
            <color indexed="81"/>
            <rFont val="Tahoma"/>
            <family val="2"/>
          </rPr>
          <t>&lt;[[DEVDeals] - [Funding (Seq: 23)] Amount - Both]&gt;</t>
        </r>
      </text>
    </comment>
    <comment ref="P473" authorId="0" shapeId="0" xr:uid="{1F3F873F-62EA-480E-AF5E-CEE5391CEC3A}">
      <text>
        <r>
          <rPr>
            <b/>
            <sz val="9"/>
            <color indexed="81"/>
            <rFont val="Tahoma"/>
            <family val="2"/>
          </rPr>
          <t>&lt;[[DEVDeals] - [Funding (Seq: 24)] Program Type - Both]&gt;</t>
        </r>
      </text>
    </comment>
    <comment ref="Q473" authorId="0" shapeId="0" xr:uid="{4C6C5C46-742A-4777-A045-C8E50C5AF19C}">
      <text>
        <r>
          <rPr>
            <b/>
            <sz val="9"/>
            <color indexed="81"/>
            <rFont val="Tahoma"/>
            <family val="2"/>
          </rPr>
          <t>&lt;[[DEVDeals] - [Funding (Seq: 24)] All DEV Funding Sources - Both]&gt;</t>
        </r>
      </text>
    </comment>
    <comment ref="R473" authorId="0" shapeId="0" xr:uid="{2EEB2156-FF47-4D3B-B4B6-B96348A72526}">
      <text>
        <r>
          <rPr>
            <b/>
            <sz val="9"/>
            <color indexed="81"/>
            <rFont val="Tahoma"/>
            <family val="2"/>
          </rPr>
          <t>&lt;[[DEVDeals] - [Funding (Seq: 24)] Note - Both]&gt;</t>
        </r>
      </text>
    </comment>
    <comment ref="S473" authorId="0" shapeId="0" xr:uid="{2282F791-E822-499F-954B-5C17782B2030}">
      <text>
        <r>
          <rPr>
            <b/>
            <sz val="9"/>
            <color indexed="81"/>
            <rFont val="Tahoma"/>
            <family val="2"/>
          </rPr>
          <t>&lt;[[DEVDeals] - [Funding (Seq: 24)] Priority - Both]&gt;</t>
        </r>
      </text>
    </comment>
    <comment ref="V473" authorId="0" shapeId="0" xr:uid="{B46B92B2-8366-4B3C-95F2-67DACA9AF274}">
      <text>
        <r>
          <rPr>
            <b/>
            <sz val="9"/>
            <color indexed="81"/>
            <rFont val="Tahoma"/>
            <family val="2"/>
          </rPr>
          <t>&lt;[[DEVDeals] - [Funding (Seq: 24)] Rate - Both]&gt;</t>
        </r>
      </text>
    </comment>
    <comment ref="W473" authorId="0" shapeId="0" xr:uid="{90D18DB0-38F7-499A-A7C6-9E9A5DD4AD8F}">
      <text>
        <r>
          <rPr>
            <b/>
            <sz val="9"/>
            <color indexed="81"/>
            <rFont val="Tahoma"/>
            <family val="2"/>
          </rPr>
          <t>&lt;[[DEVDeals] - [Funding (Seq: 24)] - [Funding - User Defined Field Values (Seq: 1)] Funding Source Information - Amortization Term - Both]&gt;</t>
        </r>
      </text>
    </comment>
    <comment ref="X473" authorId="0" shapeId="0" xr:uid="{CDC93D1C-A807-4EE4-8326-F69537A11429}">
      <text>
        <r>
          <rPr>
            <b/>
            <sz val="9"/>
            <color indexed="81"/>
            <rFont val="Tahoma"/>
            <family val="2"/>
          </rPr>
          <t>&lt;[[DEVDeals] - [Funding (Seq: 24)] Term - Both]&gt;</t>
        </r>
      </text>
    </comment>
    <comment ref="Y473" authorId="0" shapeId="0" xr:uid="{B6850496-DA9A-45AC-8A9F-AA9E5F41B7A3}">
      <text>
        <r>
          <rPr>
            <b/>
            <sz val="9"/>
            <color indexed="81"/>
            <rFont val="Tahoma"/>
            <family val="2"/>
          </rPr>
          <t>&lt;[[DEVDeals] - [Funding (Seq: 24)] Amount - Both]&gt;</t>
        </r>
      </text>
    </comment>
    <comment ref="P474" authorId="0" shapeId="0" xr:uid="{E959C738-EE74-4543-86EE-0D28242AC514}">
      <text>
        <r>
          <rPr>
            <b/>
            <sz val="9"/>
            <color indexed="81"/>
            <rFont val="Tahoma"/>
            <family val="2"/>
          </rPr>
          <t>&lt;[[DEVDeals] - [Funding (Seq: 25)] Program Type - Both]&gt;</t>
        </r>
      </text>
    </comment>
    <comment ref="Q474" authorId="0" shapeId="0" xr:uid="{A73C11FF-2168-4E0A-8F99-C83E6FB5ADC4}">
      <text>
        <r>
          <rPr>
            <b/>
            <sz val="9"/>
            <color indexed="81"/>
            <rFont val="Tahoma"/>
            <family val="2"/>
          </rPr>
          <t>&lt;[[DEVDeals] - [Funding (Seq: 25)] All DEV Funding Sources - Both]&gt;</t>
        </r>
      </text>
    </comment>
    <comment ref="R474" authorId="0" shapeId="0" xr:uid="{314E209F-F799-4081-A887-B19C4D76B72A}">
      <text>
        <r>
          <rPr>
            <b/>
            <sz val="9"/>
            <color indexed="81"/>
            <rFont val="Tahoma"/>
            <family val="2"/>
          </rPr>
          <t>&lt;[[DEVDeals] - [Funding (Seq: 25)] Note - Both]&gt;</t>
        </r>
      </text>
    </comment>
    <comment ref="S474" authorId="0" shapeId="0" xr:uid="{4B8F477C-EDE0-4027-BB17-42F5B108E97D}">
      <text>
        <r>
          <rPr>
            <b/>
            <sz val="9"/>
            <color indexed="81"/>
            <rFont val="Tahoma"/>
            <family val="2"/>
          </rPr>
          <t>&lt;[[DEVDeals] - [Funding (Seq: 25)] Priority - Both]&gt;</t>
        </r>
      </text>
    </comment>
    <comment ref="V474" authorId="0" shapeId="0" xr:uid="{E763E7B3-AE58-4D33-BA9F-C6A356C8066D}">
      <text>
        <r>
          <rPr>
            <b/>
            <sz val="9"/>
            <color indexed="81"/>
            <rFont val="Tahoma"/>
            <family val="2"/>
          </rPr>
          <t>&lt;[[DEVDeals] - [Funding (Seq: 25)] Rate - Both]&gt;</t>
        </r>
      </text>
    </comment>
    <comment ref="W474" authorId="0" shapeId="0" xr:uid="{C8621EC6-0C15-481F-B9A0-F3F2157E7F02}">
      <text>
        <r>
          <rPr>
            <b/>
            <sz val="9"/>
            <color indexed="81"/>
            <rFont val="Tahoma"/>
            <family val="2"/>
          </rPr>
          <t>&lt;[[DEVDeals] - [Funding (Seq: 25)] - [Funding - User Defined Field Values (Seq: 1)] Funding Source Information - Amortization Term - Both]&gt;</t>
        </r>
      </text>
    </comment>
    <comment ref="X474" authorId="0" shapeId="0" xr:uid="{B165B078-E0F6-403D-B94A-BA7D2F5A1CFB}">
      <text>
        <r>
          <rPr>
            <b/>
            <sz val="9"/>
            <color indexed="81"/>
            <rFont val="Tahoma"/>
            <family val="2"/>
          </rPr>
          <t>&lt;[[DEVDeals] - [Funding (Seq: 25)] Term - Both]&gt;</t>
        </r>
      </text>
    </comment>
    <comment ref="Y474" authorId="0" shapeId="0" xr:uid="{CA800CB7-7F08-47FE-8178-AE8A9EBAD677}">
      <text>
        <r>
          <rPr>
            <b/>
            <sz val="9"/>
            <color indexed="81"/>
            <rFont val="Tahoma"/>
            <family val="2"/>
          </rPr>
          <t>&lt;[[DEVDeals] - [Funding (Seq: 25)] Amount - Both]&gt;</t>
        </r>
      </text>
    </comment>
    <comment ref="P475" authorId="0" shapeId="0" xr:uid="{90FDCC79-D8AF-45E6-AA64-C90A0CAEA3EC}">
      <text>
        <r>
          <rPr>
            <b/>
            <sz val="9"/>
            <color indexed="81"/>
            <rFont val="Tahoma"/>
            <family val="2"/>
          </rPr>
          <t>&lt;[[DEVDeals] - [Funding (Seq: 26)] Program Type - Both]&gt;</t>
        </r>
      </text>
    </comment>
    <comment ref="Q475" authorId="0" shapeId="0" xr:uid="{A8C96D27-815E-4962-9227-CF8BE8D3873B}">
      <text>
        <r>
          <rPr>
            <b/>
            <sz val="9"/>
            <color indexed="81"/>
            <rFont val="Tahoma"/>
            <family val="2"/>
          </rPr>
          <t>&lt;[[DEVDeals] - [Funding (Seq: 26)] All DEV Funding Sources - Both]&gt;</t>
        </r>
      </text>
    </comment>
    <comment ref="R475" authorId="0" shapeId="0" xr:uid="{3024B96C-A086-4CEB-A652-C0EF724B4A6F}">
      <text>
        <r>
          <rPr>
            <b/>
            <sz val="9"/>
            <color indexed="81"/>
            <rFont val="Tahoma"/>
            <family val="2"/>
          </rPr>
          <t>&lt;[[DEVDeals] - [Funding (Seq: 26)] Note - Both]&gt;</t>
        </r>
      </text>
    </comment>
    <comment ref="S475" authorId="0" shapeId="0" xr:uid="{2439B160-A5B7-4AF2-AD78-312279DE8E60}">
      <text>
        <r>
          <rPr>
            <b/>
            <sz val="9"/>
            <color indexed="81"/>
            <rFont val="Tahoma"/>
            <family val="2"/>
          </rPr>
          <t>&lt;[[DEVDeals] - [Funding (Seq: 26)] Priority - Both]&gt;</t>
        </r>
      </text>
    </comment>
    <comment ref="V475" authorId="0" shapeId="0" xr:uid="{21D95F88-0F54-48F5-BA0D-F2530C642790}">
      <text>
        <r>
          <rPr>
            <b/>
            <sz val="9"/>
            <color indexed="81"/>
            <rFont val="Tahoma"/>
            <family val="2"/>
          </rPr>
          <t>&lt;[[DEVDeals] - [Funding (Seq: 26)] Rate - Both]&gt;</t>
        </r>
      </text>
    </comment>
    <comment ref="W475" authorId="0" shapeId="0" xr:uid="{38DF1EA9-8007-4794-AAA0-C73394D9C7FE}">
      <text>
        <r>
          <rPr>
            <b/>
            <sz val="9"/>
            <color indexed="81"/>
            <rFont val="Tahoma"/>
            <family val="2"/>
          </rPr>
          <t>&lt;[[DEVDeals] - [Funding (Seq: 26)] - [Funding - User Defined Field Values (Seq: 1)] Funding Source Information - Amortization Term - Both]&gt;</t>
        </r>
      </text>
    </comment>
    <comment ref="X475" authorId="0" shapeId="0" xr:uid="{87E042AE-D3D3-4E9E-AEA1-0051C5A5BC4E}">
      <text>
        <r>
          <rPr>
            <b/>
            <sz val="9"/>
            <color indexed="81"/>
            <rFont val="Tahoma"/>
            <family val="2"/>
          </rPr>
          <t>&lt;[[DEVDeals] - [Funding (Seq: 26)] Term - Both]&gt;</t>
        </r>
      </text>
    </comment>
    <comment ref="Y475" authorId="0" shapeId="0" xr:uid="{99E9F3F2-8D10-452B-9F75-DE6AB335C3E7}">
      <text>
        <r>
          <rPr>
            <b/>
            <sz val="9"/>
            <color indexed="81"/>
            <rFont val="Tahoma"/>
            <family val="2"/>
          </rPr>
          <t>&lt;[[DEVDeals] - [Funding (Seq: 26)] Amount - Both]&gt;</t>
        </r>
      </text>
    </comment>
    <comment ref="P476" authorId="0" shapeId="0" xr:uid="{5CB1D79D-07D2-4F60-8A07-D8275F543DD5}">
      <text>
        <r>
          <rPr>
            <b/>
            <sz val="9"/>
            <color indexed="81"/>
            <rFont val="Tahoma"/>
            <family val="2"/>
          </rPr>
          <t>&lt;[[DEVDeals] - [Funding (Seq: 27)] Program Type - Both]&gt;</t>
        </r>
      </text>
    </comment>
    <comment ref="Q476" authorId="0" shapeId="0" xr:uid="{C545041A-6015-4D63-BB0E-98DDDBB06CD9}">
      <text>
        <r>
          <rPr>
            <b/>
            <sz val="9"/>
            <color indexed="81"/>
            <rFont val="Tahoma"/>
            <family val="2"/>
          </rPr>
          <t>&lt;[[DEVDeals] - [Funding (Seq: 27)] All DEV Funding Sources - Both]&gt;</t>
        </r>
      </text>
    </comment>
    <comment ref="R476" authorId="0" shapeId="0" xr:uid="{86844E8D-B724-4288-A7A9-4E489EE8E680}">
      <text>
        <r>
          <rPr>
            <b/>
            <sz val="9"/>
            <color indexed="81"/>
            <rFont val="Tahoma"/>
            <family val="2"/>
          </rPr>
          <t>&lt;[[DEVDeals] - [Funding (Seq: 27)] Note - Both]&gt;</t>
        </r>
      </text>
    </comment>
    <comment ref="S476" authorId="0" shapeId="0" xr:uid="{A48B8F26-8C52-4AE2-A7CD-52C94AB45208}">
      <text>
        <r>
          <rPr>
            <b/>
            <sz val="9"/>
            <color indexed="81"/>
            <rFont val="Tahoma"/>
            <family val="2"/>
          </rPr>
          <t>&lt;[[DEVDeals] - [Funding (Seq: 27)] Priority - Both]&gt;</t>
        </r>
      </text>
    </comment>
    <comment ref="V476" authorId="0" shapeId="0" xr:uid="{86C397EF-76E4-49E2-9DA8-7244BF3CEBF5}">
      <text>
        <r>
          <rPr>
            <b/>
            <sz val="9"/>
            <color indexed="81"/>
            <rFont val="Tahoma"/>
            <family val="2"/>
          </rPr>
          <t>&lt;[[DEVDeals] - [Funding (Seq: 27)] Rate - Both]&gt;</t>
        </r>
      </text>
    </comment>
    <comment ref="W476" authorId="0" shapeId="0" xr:uid="{E77AD4C2-A7A5-47CB-8BC9-F0768D0460CF}">
      <text>
        <r>
          <rPr>
            <b/>
            <sz val="9"/>
            <color indexed="81"/>
            <rFont val="Tahoma"/>
            <family val="2"/>
          </rPr>
          <t>&lt;[[DEVDeals] - [Funding (Seq: 27)] - [Funding - User Defined Field Values (Seq: 1)] Funding Source Information - Amortization Term - Both]&gt;</t>
        </r>
      </text>
    </comment>
    <comment ref="X476" authorId="0" shapeId="0" xr:uid="{CDA8CFFF-18FE-45BC-8BF3-4D230803FD67}">
      <text>
        <r>
          <rPr>
            <b/>
            <sz val="9"/>
            <color indexed="81"/>
            <rFont val="Tahoma"/>
            <family val="2"/>
          </rPr>
          <t>&lt;[[DEVDeals] - [Funding (Seq: 27)] Term - Both]&gt;</t>
        </r>
      </text>
    </comment>
    <comment ref="Y476" authorId="0" shapeId="0" xr:uid="{805C1B4F-AA35-477E-B698-3A0E34066365}">
      <text>
        <r>
          <rPr>
            <b/>
            <sz val="9"/>
            <color indexed="81"/>
            <rFont val="Tahoma"/>
            <family val="2"/>
          </rPr>
          <t>&lt;[[DEVDeals] - [Funding (Seq: 27)] Amount - Both]&gt;</t>
        </r>
      </text>
    </comment>
    <comment ref="P477" authorId="0" shapeId="0" xr:uid="{BC753119-EF89-4A40-928D-31CF2A6D05A8}">
      <text>
        <r>
          <rPr>
            <b/>
            <sz val="9"/>
            <color indexed="81"/>
            <rFont val="Tahoma"/>
            <family val="2"/>
          </rPr>
          <t>&lt;[[DEVDeals] - [Funding (Seq: 28)] Program Type - Both]&gt;</t>
        </r>
      </text>
    </comment>
    <comment ref="Q477" authorId="0" shapeId="0" xr:uid="{229E888A-F49E-486B-A4E8-8B068D109348}">
      <text>
        <r>
          <rPr>
            <b/>
            <sz val="9"/>
            <color indexed="81"/>
            <rFont val="Tahoma"/>
            <family val="2"/>
          </rPr>
          <t>&lt;[[DEVDeals] - [Funding (Seq: 28)] All DEV Funding Sources - Both]&gt;</t>
        </r>
      </text>
    </comment>
    <comment ref="R477" authorId="0" shapeId="0" xr:uid="{9ADA3F1C-2820-40D0-AB7B-7AF01161F02A}">
      <text>
        <r>
          <rPr>
            <b/>
            <sz val="9"/>
            <color indexed="81"/>
            <rFont val="Tahoma"/>
            <family val="2"/>
          </rPr>
          <t>&lt;[[DEVDeals] - [Funding (Seq: 28)] Note - Both]&gt;</t>
        </r>
      </text>
    </comment>
    <comment ref="S477" authorId="0" shapeId="0" xr:uid="{28EAF091-C705-4D9B-834E-A9D2D0989EE9}">
      <text>
        <r>
          <rPr>
            <b/>
            <sz val="9"/>
            <color indexed="81"/>
            <rFont val="Tahoma"/>
            <family val="2"/>
          </rPr>
          <t>&lt;[[DEVDeals] - [Funding (Seq: 28)] Priority - Both]&gt;</t>
        </r>
      </text>
    </comment>
    <comment ref="V477" authorId="0" shapeId="0" xr:uid="{C95FB013-63A4-4DAE-8642-327BD6E0E708}">
      <text>
        <r>
          <rPr>
            <b/>
            <sz val="9"/>
            <color indexed="81"/>
            <rFont val="Tahoma"/>
            <family val="2"/>
          </rPr>
          <t>&lt;[[DEVDeals] - [Funding (Seq: 28)] Rate - Both]&gt;</t>
        </r>
      </text>
    </comment>
    <comment ref="W477" authorId="0" shapeId="0" xr:uid="{C8B21993-9E6A-4B70-9753-507F425224CF}">
      <text>
        <r>
          <rPr>
            <b/>
            <sz val="9"/>
            <color indexed="81"/>
            <rFont val="Tahoma"/>
            <family val="2"/>
          </rPr>
          <t>&lt;[[DEVDeals] - [Funding (Seq: 28)] - [Funding - User Defined Field Values (Seq: 1)] Funding Source Information - Amortization Term - Both]&gt;</t>
        </r>
      </text>
    </comment>
    <comment ref="X477" authorId="0" shapeId="0" xr:uid="{58A497A3-E594-4F3A-9AB3-111FF89DF0F6}">
      <text>
        <r>
          <rPr>
            <b/>
            <sz val="9"/>
            <color indexed="81"/>
            <rFont val="Tahoma"/>
            <family val="2"/>
          </rPr>
          <t>&lt;[[DEVDeals] - [Funding (Seq: 28)] Term - Both]&gt;</t>
        </r>
      </text>
    </comment>
    <comment ref="Y477" authorId="0" shapeId="0" xr:uid="{5B43B8C7-3E9D-4A3C-AE26-67BD503EF4D9}">
      <text>
        <r>
          <rPr>
            <b/>
            <sz val="9"/>
            <color indexed="81"/>
            <rFont val="Tahoma"/>
            <family val="2"/>
          </rPr>
          <t>&lt;[[DEVDeals] - [Funding (Seq: 28)] Amount - Both]&gt;</t>
        </r>
      </text>
    </comment>
    <comment ref="P478" authorId="0" shapeId="0" xr:uid="{B55641C9-FA9C-4C9E-B1DD-863C2430877F}">
      <text>
        <r>
          <rPr>
            <b/>
            <sz val="9"/>
            <color indexed="81"/>
            <rFont val="Tahoma"/>
            <family val="2"/>
          </rPr>
          <t>&lt;[[DEVDeals] - [Funding (Seq: 29)] Program Type - Both]&gt;</t>
        </r>
      </text>
    </comment>
    <comment ref="Q478" authorId="0" shapeId="0" xr:uid="{E1810668-27B9-4D74-8570-92E16E03BCA9}">
      <text>
        <r>
          <rPr>
            <b/>
            <sz val="9"/>
            <color indexed="81"/>
            <rFont val="Tahoma"/>
            <family val="2"/>
          </rPr>
          <t>&lt;[[DEVDeals] - [Funding (Seq: 29)] All DEV Funding Sources - Both]&gt;</t>
        </r>
      </text>
    </comment>
    <comment ref="R478" authorId="0" shapeId="0" xr:uid="{42DC2043-9927-452D-A594-D957C949C21F}">
      <text>
        <r>
          <rPr>
            <b/>
            <sz val="9"/>
            <color indexed="81"/>
            <rFont val="Tahoma"/>
            <family val="2"/>
          </rPr>
          <t>&lt;[[DEVDeals] - [Funding (Seq: 29)] Note - Both]&gt;</t>
        </r>
      </text>
    </comment>
    <comment ref="S478" authorId="0" shapeId="0" xr:uid="{0E7F8356-33DE-4D98-8515-E2A5E0609FA4}">
      <text>
        <r>
          <rPr>
            <b/>
            <sz val="9"/>
            <color indexed="81"/>
            <rFont val="Tahoma"/>
            <family val="2"/>
          </rPr>
          <t>&lt;[[DEVDeals] - [Funding (Seq: 29)] Priority - Both]&gt;</t>
        </r>
      </text>
    </comment>
    <comment ref="V478" authorId="0" shapeId="0" xr:uid="{45A84C64-CBE8-4D6D-B500-8B0133743942}">
      <text>
        <r>
          <rPr>
            <b/>
            <sz val="9"/>
            <color indexed="81"/>
            <rFont val="Tahoma"/>
            <family val="2"/>
          </rPr>
          <t>&lt;[[DEVDeals] - [Funding (Seq: 29)] Rate - Both]&gt;</t>
        </r>
      </text>
    </comment>
    <comment ref="W478" authorId="0" shapeId="0" xr:uid="{A4709658-0467-4437-A0BE-D272D571D8EA}">
      <text>
        <r>
          <rPr>
            <b/>
            <sz val="9"/>
            <color indexed="81"/>
            <rFont val="Tahoma"/>
            <family val="2"/>
          </rPr>
          <t>&lt;[[DEVDeals] - [Funding (Seq: 29)] - [Funding - User Defined Field Values (Seq: 1)] Funding Source Information - Amortization Term - Both]&gt;</t>
        </r>
      </text>
    </comment>
    <comment ref="X478" authorId="0" shapeId="0" xr:uid="{355D2217-086A-4E02-9D90-16CDDF55FDF6}">
      <text>
        <r>
          <rPr>
            <b/>
            <sz val="9"/>
            <color indexed="81"/>
            <rFont val="Tahoma"/>
            <family val="2"/>
          </rPr>
          <t>&lt;[[DEVDeals] - [Funding (Seq: 29)] Term - Both]&gt;</t>
        </r>
      </text>
    </comment>
    <comment ref="Y478" authorId="0" shapeId="0" xr:uid="{4D92510D-8B64-41A2-A7AC-2F753ED344EE}">
      <text>
        <r>
          <rPr>
            <b/>
            <sz val="9"/>
            <color indexed="81"/>
            <rFont val="Tahoma"/>
            <family val="2"/>
          </rPr>
          <t>&lt;[[DEVDeals] - [Funding (Seq: 29)] Amount - Both]&gt;</t>
        </r>
      </text>
    </comment>
    <comment ref="P479" authorId="0" shapeId="0" xr:uid="{FAB3B9C5-DBD2-4AA9-95F3-D43333331685}">
      <text>
        <r>
          <rPr>
            <b/>
            <sz val="9"/>
            <color indexed="81"/>
            <rFont val="Tahoma"/>
            <family val="2"/>
          </rPr>
          <t>&lt;[[DEVDeals] - [Funding (Seq: 30)] Program Type - Both]&gt;</t>
        </r>
      </text>
    </comment>
    <comment ref="Q479" authorId="0" shapeId="0" xr:uid="{FABD4E10-3DCD-4578-BF54-8B7FC07D744C}">
      <text>
        <r>
          <rPr>
            <b/>
            <sz val="9"/>
            <color indexed="81"/>
            <rFont val="Tahoma"/>
            <family val="2"/>
          </rPr>
          <t>&lt;[[DEVDeals] - [Funding (Seq: 30)] All DEV Funding Sources - Both]&gt;</t>
        </r>
      </text>
    </comment>
    <comment ref="R479" authorId="0" shapeId="0" xr:uid="{D38753ED-DBD6-4F3E-B0DE-169EE1FF7D3E}">
      <text>
        <r>
          <rPr>
            <b/>
            <sz val="9"/>
            <color indexed="81"/>
            <rFont val="Tahoma"/>
            <family val="2"/>
          </rPr>
          <t>&lt;[[DEVDeals] - [Funding (Seq: 30)] Note - Both]&gt;</t>
        </r>
      </text>
    </comment>
    <comment ref="S479" authorId="0" shapeId="0" xr:uid="{1DFC853B-0CA6-45F0-B7D2-B649BB000DE3}">
      <text>
        <r>
          <rPr>
            <b/>
            <sz val="9"/>
            <color indexed="81"/>
            <rFont val="Tahoma"/>
            <family val="2"/>
          </rPr>
          <t>&lt;[[DEVDeals] - [Funding (Seq: 30)] Priority - Both]&gt;</t>
        </r>
      </text>
    </comment>
    <comment ref="V479" authorId="0" shapeId="0" xr:uid="{1F2C91F0-ABB0-46C9-873E-BBD2664F5E6E}">
      <text>
        <r>
          <rPr>
            <b/>
            <sz val="9"/>
            <color indexed="81"/>
            <rFont val="Tahoma"/>
            <family val="2"/>
          </rPr>
          <t>&lt;[[DEVDeals] - [Funding (Seq: 30)] Rate - Both]&gt;</t>
        </r>
      </text>
    </comment>
    <comment ref="W479" authorId="0" shapeId="0" xr:uid="{45ED5B40-E0E9-4DAD-A47D-65E6273CAFCD}">
      <text>
        <r>
          <rPr>
            <b/>
            <sz val="9"/>
            <color indexed="81"/>
            <rFont val="Tahoma"/>
            <family val="2"/>
          </rPr>
          <t>&lt;[[DEVDeals] - [Funding (Seq: 30)] - [Funding - User Defined Field Values (Seq: 1)] Funding Source Information - Amortization Term - Both]&gt;</t>
        </r>
      </text>
    </comment>
    <comment ref="X479" authorId="0" shapeId="0" xr:uid="{FECD4FF5-2AB2-4BBA-949F-A11FB669C96F}">
      <text>
        <r>
          <rPr>
            <b/>
            <sz val="9"/>
            <color indexed="81"/>
            <rFont val="Tahoma"/>
            <family val="2"/>
          </rPr>
          <t>&lt;[[DEVDeals] - [Funding (Seq: 30)] Term - Both]&gt;</t>
        </r>
      </text>
    </comment>
    <comment ref="Y479" authorId="0" shapeId="0" xr:uid="{3BC12B24-B478-4EB8-89D0-F35CCE1CD63F}">
      <text>
        <r>
          <rPr>
            <b/>
            <sz val="9"/>
            <color indexed="81"/>
            <rFont val="Tahoma"/>
            <family val="2"/>
          </rPr>
          <t>&lt;[[DEVDeals] - [Funding (Seq: 30)] Amount - Both]&gt;</t>
        </r>
      </text>
    </comment>
    <comment ref="P480" authorId="0" shapeId="0" xr:uid="{60862ABE-BA04-4F17-BEDF-BCC40872C38D}">
      <text>
        <r>
          <rPr>
            <b/>
            <sz val="9"/>
            <color indexed="81"/>
            <rFont val="Tahoma"/>
            <family val="2"/>
          </rPr>
          <t>&lt;[[DEVDeals] - [Funding (Seq: 31)] Program Type - Both]&gt;</t>
        </r>
      </text>
    </comment>
    <comment ref="Q480" authorId="0" shapeId="0" xr:uid="{3F49856E-4BF3-4CF2-8904-39E7712BE349}">
      <text>
        <r>
          <rPr>
            <b/>
            <sz val="9"/>
            <color indexed="81"/>
            <rFont val="Tahoma"/>
            <family val="2"/>
          </rPr>
          <t>&lt;[[DEVDeals] - [Funding (Seq: 31)] All DEV Funding Sources - Both]&gt;</t>
        </r>
      </text>
    </comment>
    <comment ref="R480" authorId="0" shapeId="0" xr:uid="{7E02D790-7A67-440A-B460-B18F77D3BF04}">
      <text>
        <r>
          <rPr>
            <b/>
            <sz val="9"/>
            <color indexed="81"/>
            <rFont val="Tahoma"/>
            <family val="2"/>
          </rPr>
          <t>&lt;[[DEVDeals] - [Funding (Seq: 31)] Note - Both]&gt;</t>
        </r>
      </text>
    </comment>
    <comment ref="S480" authorId="0" shapeId="0" xr:uid="{EE1534EB-DC97-4BC6-B732-D570AF0166E5}">
      <text>
        <r>
          <rPr>
            <b/>
            <sz val="9"/>
            <color indexed="81"/>
            <rFont val="Tahoma"/>
            <family val="2"/>
          </rPr>
          <t>&lt;[[DEVDeals] - [Funding (Seq: 31)] Priority - Both]&gt;</t>
        </r>
      </text>
    </comment>
    <comment ref="V480" authorId="0" shapeId="0" xr:uid="{947B54FB-4C66-46C0-8A7E-EB80B020C3BF}">
      <text>
        <r>
          <rPr>
            <b/>
            <sz val="9"/>
            <color indexed="81"/>
            <rFont val="Tahoma"/>
            <family val="2"/>
          </rPr>
          <t>&lt;[[DEVDeals] - [Funding (Seq: 31)] Rate - Both]&gt;</t>
        </r>
      </text>
    </comment>
    <comment ref="W480" authorId="0" shapeId="0" xr:uid="{5D989CE8-9F5E-41A4-BFE9-57AC8FCF1CD1}">
      <text>
        <r>
          <rPr>
            <b/>
            <sz val="9"/>
            <color indexed="81"/>
            <rFont val="Tahoma"/>
            <family val="2"/>
          </rPr>
          <t>&lt;[[DEVDeals] - [Funding (Seq: 31)] - [Funding - User Defined Field Values (Seq: 1)] Funding Source Information - Amortization Term - Both]&gt;</t>
        </r>
      </text>
    </comment>
    <comment ref="X480" authorId="0" shapeId="0" xr:uid="{BB41A465-24B1-44F1-985A-7A9592210945}">
      <text>
        <r>
          <rPr>
            <b/>
            <sz val="9"/>
            <color indexed="81"/>
            <rFont val="Tahoma"/>
            <family val="2"/>
          </rPr>
          <t>&lt;[[DEVDeals] - [Funding (Seq: 31)] Term - Both]&gt;</t>
        </r>
      </text>
    </comment>
    <comment ref="Y480" authorId="0" shapeId="0" xr:uid="{627EADCD-9073-43E3-A0ED-2768AA98183F}">
      <text>
        <r>
          <rPr>
            <b/>
            <sz val="9"/>
            <color indexed="81"/>
            <rFont val="Tahoma"/>
            <family val="2"/>
          </rPr>
          <t>&lt;[[DEVDeals] - [Funding (Seq: 31)] Amount - Both]&gt;</t>
        </r>
      </text>
    </comment>
    <comment ref="P481" authorId="0" shapeId="0" xr:uid="{05206B95-272A-46F5-B0FE-1A92EB26C2A4}">
      <text>
        <r>
          <rPr>
            <b/>
            <sz val="9"/>
            <color indexed="81"/>
            <rFont val="Tahoma"/>
            <family val="2"/>
          </rPr>
          <t>&lt;[[DEVDeals] - [Funding (Seq: 32)] Program Type - Both]&gt;</t>
        </r>
      </text>
    </comment>
    <comment ref="Q481" authorId="0" shapeId="0" xr:uid="{A675C3FE-3491-4C7C-9E44-E7E73EB583E5}">
      <text>
        <r>
          <rPr>
            <b/>
            <sz val="9"/>
            <color indexed="81"/>
            <rFont val="Tahoma"/>
            <family val="2"/>
          </rPr>
          <t>&lt;[[DEVDeals] - [Funding (Seq: 32)] All DEV Funding Sources - Both]&gt;</t>
        </r>
      </text>
    </comment>
    <comment ref="R481" authorId="0" shapeId="0" xr:uid="{A06CC93E-C338-431E-8949-8D173FC0B37E}">
      <text>
        <r>
          <rPr>
            <b/>
            <sz val="9"/>
            <color indexed="81"/>
            <rFont val="Tahoma"/>
            <family val="2"/>
          </rPr>
          <t>&lt;[[DEVDeals] - [Funding (Seq: 32)] Note - Both]&gt;</t>
        </r>
      </text>
    </comment>
    <comment ref="S481" authorId="0" shapeId="0" xr:uid="{23018D71-5EB1-4533-A864-568AA531E399}">
      <text>
        <r>
          <rPr>
            <b/>
            <sz val="9"/>
            <color indexed="81"/>
            <rFont val="Tahoma"/>
            <family val="2"/>
          </rPr>
          <t>&lt;[[DEVDeals] - [Funding (Seq: 32)] Priority - Both]&gt;</t>
        </r>
      </text>
    </comment>
    <comment ref="V481" authorId="0" shapeId="0" xr:uid="{9CE22AC5-B84C-4731-81BF-1A4DA606F8EF}">
      <text>
        <r>
          <rPr>
            <b/>
            <sz val="9"/>
            <color indexed="81"/>
            <rFont val="Tahoma"/>
            <family val="2"/>
          </rPr>
          <t>&lt;[[DEVDeals] - [Funding (Seq: 32)] Rate - Both]&gt;</t>
        </r>
      </text>
    </comment>
    <comment ref="W481" authorId="0" shapeId="0" xr:uid="{CFB9CB98-CB09-41AC-954B-C034CB6B36A8}">
      <text>
        <r>
          <rPr>
            <b/>
            <sz val="9"/>
            <color indexed="81"/>
            <rFont val="Tahoma"/>
            <family val="2"/>
          </rPr>
          <t>&lt;[[DEVDeals] - [Funding (Seq: 32)] - [Funding - User Defined Field Values (Seq: 1)] Funding Source Information - Amortization Term - Both]&gt;</t>
        </r>
      </text>
    </comment>
    <comment ref="X481" authorId="0" shapeId="0" xr:uid="{BEFEA933-3072-47D2-A58E-9311D45E73B5}">
      <text>
        <r>
          <rPr>
            <b/>
            <sz val="9"/>
            <color indexed="81"/>
            <rFont val="Tahoma"/>
            <family val="2"/>
          </rPr>
          <t>&lt;[[DEVDeals] - [Funding (Seq: 32)] Term - Both]&gt;</t>
        </r>
      </text>
    </comment>
    <comment ref="Y481" authorId="0" shapeId="0" xr:uid="{DD13DD13-C282-4FB3-96BA-CCC1AF2F7744}">
      <text>
        <r>
          <rPr>
            <b/>
            <sz val="9"/>
            <color indexed="81"/>
            <rFont val="Tahoma"/>
            <family val="2"/>
          </rPr>
          <t>&lt;[[DEVDeals] - [Funding (Seq: 32)] Amount - Both]&gt;</t>
        </r>
      </text>
    </comment>
    <comment ref="P482" authorId="0" shapeId="0" xr:uid="{DDD1C52F-BC91-49EA-B48D-61739B2DEA80}">
      <text>
        <r>
          <rPr>
            <b/>
            <sz val="9"/>
            <color indexed="81"/>
            <rFont val="Tahoma"/>
            <family val="2"/>
          </rPr>
          <t>&lt;[[DEVDeals] - [Funding (Seq: 33)] Program Type - Both]&gt;</t>
        </r>
      </text>
    </comment>
    <comment ref="Q482" authorId="0" shapeId="0" xr:uid="{B1D5ACCD-12B8-448B-935C-DC290A5B2316}">
      <text>
        <r>
          <rPr>
            <b/>
            <sz val="9"/>
            <color indexed="81"/>
            <rFont val="Tahoma"/>
            <family val="2"/>
          </rPr>
          <t>&lt;[[DEVDeals] - [Funding (Seq: 33)] All DEV Funding Sources - Both]&gt;</t>
        </r>
      </text>
    </comment>
    <comment ref="R482" authorId="0" shapeId="0" xr:uid="{BEEC10D5-F118-4725-A7ED-F0BE51C39933}">
      <text>
        <r>
          <rPr>
            <b/>
            <sz val="9"/>
            <color indexed="81"/>
            <rFont val="Tahoma"/>
            <family val="2"/>
          </rPr>
          <t>&lt;[[DEVDeals] - [Funding (Seq: 33)] Note - Both]&gt;</t>
        </r>
      </text>
    </comment>
    <comment ref="Y482" authorId="0" shapeId="0" xr:uid="{CF35E458-A3D2-491F-8370-B670BECB1F10}">
      <text>
        <r>
          <rPr>
            <b/>
            <sz val="9"/>
            <color indexed="81"/>
            <rFont val="Tahoma"/>
            <family val="2"/>
          </rPr>
          <t>&lt;[[DEVDeals] - [Funding (Seq: 33)] Amount - Both]&gt;</t>
        </r>
      </text>
    </comment>
    <comment ref="P483" authorId="0" shapeId="0" xr:uid="{71FA9E99-5F73-4661-99FD-3E5AF773AC9A}">
      <text>
        <r>
          <rPr>
            <b/>
            <sz val="9"/>
            <color indexed="81"/>
            <rFont val="Tahoma"/>
            <family val="2"/>
          </rPr>
          <t>&lt;[[DEVDeals] - [Funding (Seq: 34)] Program Type - Both]&gt;</t>
        </r>
      </text>
    </comment>
    <comment ref="Q483" authorId="0" shapeId="0" xr:uid="{B9F49AB0-6667-48AB-9FF7-524EAFF8AB96}">
      <text>
        <r>
          <rPr>
            <b/>
            <sz val="9"/>
            <color indexed="81"/>
            <rFont val="Tahoma"/>
            <family val="2"/>
          </rPr>
          <t>&lt;[[DEVDeals] - [Funding (Seq: 34)] All DEV Funding Sources - Both]&gt;</t>
        </r>
      </text>
    </comment>
    <comment ref="R483" authorId="0" shapeId="0" xr:uid="{E092FCF6-007C-4860-AD25-3EBEC14D38AE}">
      <text>
        <r>
          <rPr>
            <b/>
            <sz val="9"/>
            <color indexed="81"/>
            <rFont val="Tahoma"/>
            <family val="2"/>
          </rPr>
          <t>&lt;[[DEVDeals] - [Funding (Seq: 34)] Note - Both]&gt;</t>
        </r>
      </text>
    </comment>
    <comment ref="Y483" authorId="0" shapeId="0" xr:uid="{CB31AE28-FB27-417E-ADBD-E90373B708CB}">
      <text>
        <r>
          <rPr>
            <b/>
            <sz val="9"/>
            <color indexed="81"/>
            <rFont val="Tahoma"/>
            <family val="2"/>
          </rPr>
          <t>&lt;[[DEVDeals] - [Funding (Seq: 34)] Amount - Both]&gt;</t>
        </r>
      </text>
    </comment>
    <comment ref="P484" authorId="0" shapeId="0" xr:uid="{2C2CFF1D-E0FB-45B2-A220-13CC04EC1E1F}">
      <text>
        <r>
          <rPr>
            <b/>
            <sz val="9"/>
            <color indexed="81"/>
            <rFont val="Tahoma"/>
            <family val="2"/>
          </rPr>
          <t>&lt;[[DEVDeals] - [Funding (Seq: 35)] Program Type - Both]&gt;</t>
        </r>
      </text>
    </comment>
    <comment ref="Q484" authorId="0" shapeId="0" xr:uid="{A8838835-B3B7-46EB-9625-E2CECBC84967}">
      <text>
        <r>
          <rPr>
            <b/>
            <sz val="9"/>
            <color indexed="81"/>
            <rFont val="Tahoma"/>
            <family val="2"/>
          </rPr>
          <t>&lt;[[DEVDeals] - [Funding (Seq: 35)] All DEV Funding Sources - Both]&gt;</t>
        </r>
      </text>
    </comment>
    <comment ref="R484" authorId="0" shapeId="0" xr:uid="{1F0C42C4-0D56-464A-8DC5-291E521F53B6}">
      <text>
        <r>
          <rPr>
            <b/>
            <sz val="9"/>
            <color indexed="81"/>
            <rFont val="Tahoma"/>
            <family val="2"/>
          </rPr>
          <t>&lt;[[DEVDeals] - [Funding (Seq: 35)] Note - Both]&gt;</t>
        </r>
      </text>
    </comment>
    <comment ref="Y484" authorId="0" shapeId="0" xr:uid="{6AC4D194-CB2A-46A6-A910-CE989395BC4E}">
      <text>
        <r>
          <rPr>
            <b/>
            <sz val="9"/>
            <color indexed="81"/>
            <rFont val="Tahoma"/>
            <family val="2"/>
          </rPr>
          <t>&lt;[[DEVDeals] - [Funding (Seq: 35)] Amount - Both]&gt;</t>
        </r>
      </text>
    </comment>
    <comment ref="P485" authorId="0" shapeId="0" xr:uid="{EFD5329C-9641-4894-A5C0-0AFC31BC88E1}">
      <text>
        <r>
          <rPr>
            <b/>
            <sz val="9"/>
            <color indexed="81"/>
            <rFont val="Tahoma"/>
            <family val="2"/>
          </rPr>
          <t>&lt;[[DEVDeals] - [Funding (Seq: 36)] Program Type - Both]&gt;</t>
        </r>
      </text>
    </comment>
    <comment ref="Q485" authorId="0" shapeId="0" xr:uid="{C33D275A-351F-43C9-80C4-7B134528F11A}">
      <text>
        <r>
          <rPr>
            <b/>
            <sz val="9"/>
            <color indexed="81"/>
            <rFont val="Tahoma"/>
            <family val="2"/>
          </rPr>
          <t>&lt;[[DEVDeals] - [Funding (Seq: 36)] All DEV Funding Sources - Both]&gt;</t>
        </r>
      </text>
    </comment>
    <comment ref="Y485" authorId="0" shapeId="0" xr:uid="{AC44371C-8C57-42C6-8531-B48C520E0995}">
      <text>
        <r>
          <rPr>
            <b/>
            <sz val="9"/>
            <color indexed="81"/>
            <rFont val="Tahoma"/>
            <family val="2"/>
          </rPr>
          <t>&lt;[[DEVDeals] - [Funding (Seq: 36)] Amount - Both]&gt;</t>
        </r>
      </text>
    </comment>
    <comment ref="P486" authorId="0" shapeId="0" xr:uid="{16A7B36B-B0DF-433E-8063-24D3A6E199A4}">
      <text>
        <r>
          <rPr>
            <b/>
            <sz val="9"/>
            <color indexed="81"/>
            <rFont val="Tahoma"/>
            <family val="2"/>
          </rPr>
          <t>&lt;[[DEVDeals] - [Funding (Seq: 37)] Program Type - Both]&gt;</t>
        </r>
      </text>
    </comment>
    <comment ref="Q486" authorId="0" shapeId="0" xr:uid="{A99FB09D-019B-453B-8945-677354F20CEF}">
      <text>
        <r>
          <rPr>
            <b/>
            <sz val="9"/>
            <color indexed="81"/>
            <rFont val="Tahoma"/>
            <family val="2"/>
          </rPr>
          <t>&lt;[[DEVDeals] - [Funding (Seq: 37)] All DEV Funding Sources - Both]&gt;</t>
        </r>
      </text>
    </comment>
    <comment ref="Y486" authorId="0" shapeId="0" xr:uid="{A56D0A85-717B-474D-B86B-3381B8BE75BC}">
      <text>
        <r>
          <rPr>
            <b/>
            <sz val="9"/>
            <color indexed="81"/>
            <rFont val="Tahoma"/>
            <family val="2"/>
          </rPr>
          <t>&lt;[[DEVDeals] - [Funding (Seq: 37)] Amount - Both]&gt;</t>
        </r>
      </text>
    </comment>
    <comment ref="P487" authorId="0" shapeId="0" xr:uid="{ACE471D5-027E-4653-933F-8F46862792D4}">
      <text>
        <r>
          <rPr>
            <b/>
            <sz val="9"/>
            <color indexed="81"/>
            <rFont val="Tahoma"/>
            <family val="2"/>
          </rPr>
          <t>&lt;[[DEVDeals] - [Funding (Seq: 38)] Program Type - Both]&gt;</t>
        </r>
      </text>
    </comment>
    <comment ref="Q487" authorId="0" shapeId="0" xr:uid="{8119F02A-C3D8-472C-A897-E045D8E14088}">
      <text>
        <r>
          <rPr>
            <b/>
            <sz val="9"/>
            <color indexed="81"/>
            <rFont val="Tahoma"/>
            <family val="2"/>
          </rPr>
          <t>&lt;[[DEVDeals] - [Funding (Seq: 38)] All DEV Funding Sources - Both]&gt;</t>
        </r>
      </text>
    </comment>
    <comment ref="Y487" authorId="0" shapeId="0" xr:uid="{E47ABAC7-19F3-4EAB-BBC7-42A455053E3E}">
      <text>
        <r>
          <rPr>
            <b/>
            <sz val="9"/>
            <color indexed="81"/>
            <rFont val="Tahoma"/>
            <family val="2"/>
          </rPr>
          <t>&lt;[[DEVDeals] - [Funding (Seq: 38)] Amount - Both]&gt;</t>
        </r>
      </text>
    </comment>
    <comment ref="P488" authorId="0" shapeId="0" xr:uid="{9C979323-8D57-4531-BA1D-96839045A36B}">
      <text>
        <r>
          <rPr>
            <b/>
            <sz val="9"/>
            <color indexed="81"/>
            <rFont val="Tahoma"/>
            <family val="2"/>
          </rPr>
          <t>&lt;[[DEVDeals] - [Funding (Seq: 39)] Program Type - Both]&gt;</t>
        </r>
      </text>
    </comment>
    <comment ref="Q488" authorId="0" shapeId="0" xr:uid="{FDF51D90-AA06-4E5A-88D8-ECF54259AC04}">
      <text>
        <r>
          <rPr>
            <b/>
            <sz val="9"/>
            <color indexed="81"/>
            <rFont val="Tahoma"/>
            <family val="2"/>
          </rPr>
          <t>&lt;[[DEVDeals] - [Funding (Seq: 39)] All DEV Funding Sources - Both]&gt;</t>
        </r>
      </text>
    </comment>
    <comment ref="R488" authorId="0" shapeId="0" xr:uid="{CC136F6A-7ADA-4B39-B68E-27ADE04DB0A9}">
      <text>
        <r>
          <rPr>
            <b/>
            <sz val="9"/>
            <color indexed="81"/>
            <rFont val="Tahoma"/>
            <family val="2"/>
          </rPr>
          <t>&lt;[[DEVDeals] - [Funding (Seq: 39)] Note - Both]&gt;</t>
        </r>
      </text>
    </comment>
    <comment ref="Y488" authorId="0" shapeId="0" xr:uid="{B076EDBE-0389-4E0E-AE68-E9E9B78AF8A2}">
      <text>
        <r>
          <rPr>
            <b/>
            <sz val="9"/>
            <color indexed="81"/>
            <rFont val="Tahoma"/>
            <family val="2"/>
          </rPr>
          <t>&lt;[[DEVDeals] - [Funding (Seq: 39)] Amount - Both]&gt;</t>
        </r>
      </text>
    </comment>
    <comment ref="P489" authorId="0" shapeId="0" xr:uid="{964E8A54-49A2-499A-A278-BA7C1F496995}">
      <text>
        <r>
          <rPr>
            <b/>
            <sz val="9"/>
            <color indexed="81"/>
            <rFont val="Tahoma"/>
            <family val="2"/>
          </rPr>
          <t>&lt;[[DEVDeals] - [Funding (Seq: 40)] Program Type - Both]&gt;</t>
        </r>
      </text>
    </comment>
    <comment ref="Q489" authorId="0" shapeId="0" xr:uid="{65BF2350-CCB1-4676-AD3F-5DA717CBE6E9}">
      <text>
        <r>
          <rPr>
            <b/>
            <sz val="9"/>
            <color indexed="81"/>
            <rFont val="Tahoma"/>
            <family val="2"/>
          </rPr>
          <t>&lt;[[DEVDeals] - [Funding (Seq: 40)] All DEV Funding Sources - Both]&gt;</t>
        </r>
      </text>
    </comment>
    <comment ref="R489" authorId="0" shapeId="0" xr:uid="{3CD3D825-D6F7-47CD-8265-C7DF482E1ECA}">
      <text>
        <r>
          <rPr>
            <b/>
            <sz val="9"/>
            <color indexed="81"/>
            <rFont val="Tahoma"/>
            <family val="2"/>
          </rPr>
          <t>&lt;[[DEVDeals] - [Funding (Seq: 40)] Note - Both]&gt;</t>
        </r>
      </text>
    </comment>
    <comment ref="Y489" authorId="0" shapeId="0" xr:uid="{302F6DEE-982C-4C78-8691-51ADC7566130}">
      <text>
        <r>
          <rPr>
            <b/>
            <sz val="9"/>
            <color indexed="81"/>
            <rFont val="Tahoma"/>
            <family val="2"/>
          </rPr>
          <t>&lt;[[DEVDeals] - [Funding (Seq: 40)] Amount - Both]&gt;</t>
        </r>
      </text>
    </comment>
    <comment ref="P490" authorId="0" shapeId="0" xr:uid="{96F42CD2-AD59-43AD-930E-ABCE69187DB0}">
      <text>
        <r>
          <rPr>
            <b/>
            <sz val="9"/>
            <color indexed="81"/>
            <rFont val="Tahoma"/>
            <family val="2"/>
          </rPr>
          <t>&lt;[[DEVDeals] - [Funding (Seq: 41)] Program Type - Both]&gt;</t>
        </r>
      </text>
    </comment>
    <comment ref="Q490" authorId="0" shapeId="0" xr:uid="{FA379968-C9A2-4EF0-AE91-274C3432B9DE}">
      <text>
        <r>
          <rPr>
            <b/>
            <sz val="9"/>
            <color indexed="81"/>
            <rFont val="Tahoma"/>
            <family val="2"/>
          </rPr>
          <t>&lt;[[DEVDeals] - [Funding (Seq: 41)] All DEV Funding Sources - Both]&gt;</t>
        </r>
      </text>
    </comment>
    <comment ref="R490" authorId="0" shapeId="0" xr:uid="{7CC1A8CE-093C-4B23-A8D3-C04CF700660E}">
      <text>
        <r>
          <rPr>
            <b/>
            <sz val="9"/>
            <color indexed="81"/>
            <rFont val="Tahoma"/>
            <family val="2"/>
          </rPr>
          <t>&lt;[[DEVDeals] - [Funding (Seq: 41)] Note - Both]&gt;</t>
        </r>
      </text>
    </comment>
    <comment ref="Y490" authorId="0" shapeId="0" xr:uid="{03AE2125-0531-452F-BB9A-B589C4133841}">
      <text>
        <r>
          <rPr>
            <b/>
            <sz val="9"/>
            <color indexed="81"/>
            <rFont val="Tahoma"/>
            <family val="2"/>
          </rPr>
          <t>&lt;[[DEVDeals] - [Funding (Seq: 41)] Amount - Both]&gt;</t>
        </r>
      </text>
    </comment>
    <comment ref="P491" authorId="0" shapeId="0" xr:uid="{1549B35B-87DA-4B5F-B82F-4E2AEF2F3298}">
      <text>
        <r>
          <rPr>
            <b/>
            <sz val="9"/>
            <color indexed="81"/>
            <rFont val="Tahoma"/>
            <family val="2"/>
          </rPr>
          <t>&lt;[[DEVDeals] - [Funding (Seq: 42)] Program Type - Both]&gt;</t>
        </r>
      </text>
    </comment>
    <comment ref="Q491" authorId="0" shapeId="0" xr:uid="{1B256B21-308C-4C0D-A096-5DA80A6373CB}">
      <text>
        <r>
          <rPr>
            <b/>
            <sz val="9"/>
            <color indexed="81"/>
            <rFont val="Tahoma"/>
            <family val="2"/>
          </rPr>
          <t>&lt;[[DEVDeals] - [Funding (Seq: 42)] All DEV Funding Sources - Both]&gt;</t>
        </r>
      </text>
    </comment>
    <comment ref="R491" authorId="0" shapeId="0" xr:uid="{F86F2FFF-75DB-4302-96A2-262F4B312DE5}">
      <text>
        <r>
          <rPr>
            <b/>
            <sz val="9"/>
            <color indexed="81"/>
            <rFont val="Tahoma"/>
            <family val="2"/>
          </rPr>
          <t>&lt;[[DEVDeals] - [Funding (Seq: 42)] Note - Both]&gt;</t>
        </r>
      </text>
    </comment>
    <comment ref="Y491" authorId="0" shapeId="0" xr:uid="{E60898AC-BFA6-4E5B-9D98-14ECB0A3A820}">
      <text>
        <r>
          <rPr>
            <b/>
            <sz val="9"/>
            <color indexed="81"/>
            <rFont val="Tahoma"/>
            <family val="2"/>
          </rPr>
          <t>&lt;[[DEVDeals] - [Funding (Seq: 42)] Amount - Both]&gt;</t>
        </r>
      </text>
    </comment>
    <comment ref="P492" authorId="0" shapeId="0" xr:uid="{5FC7902F-3D19-4DC7-9EA9-7902E5A9BB5E}">
      <text>
        <r>
          <rPr>
            <b/>
            <sz val="9"/>
            <color indexed="81"/>
            <rFont val="Tahoma"/>
            <family val="2"/>
          </rPr>
          <t>&lt;[[DEVDeals] - [Funding (Seq: 43)] Program Type - Both]&gt;</t>
        </r>
      </text>
    </comment>
    <comment ref="Q492" authorId="0" shapeId="0" xr:uid="{A7F070E5-AFE1-4AE6-94CF-99C49D97FB9D}">
      <text>
        <r>
          <rPr>
            <b/>
            <sz val="9"/>
            <color indexed="81"/>
            <rFont val="Tahoma"/>
            <family val="2"/>
          </rPr>
          <t>&lt;[[DEVDeals] - [Funding (Seq: 43)] All DEV Funding Sources - Both]&gt;</t>
        </r>
      </text>
    </comment>
    <comment ref="R492" authorId="0" shapeId="0" xr:uid="{1D4480F9-B405-4AC4-BA83-50C24BA51880}">
      <text>
        <r>
          <rPr>
            <b/>
            <sz val="9"/>
            <color indexed="81"/>
            <rFont val="Tahoma"/>
            <family val="2"/>
          </rPr>
          <t>&lt;[[DEVDeals] - [Funding (Seq: 43)] Note - Both]&gt;</t>
        </r>
      </text>
    </comment>
    <comment ref="Y492" authorId="0" shapeId="0" xr:uid="{CE7591CD-B989-4DD5-9272-D7A71F07FBF4}">
      <text>
        <r>
          <rPr>
            <b/>
            <sz val="9"/>
            <color indexed="81"/>
            <rFont val="Tahoma"/>
            <family val="2"/>
          </rPr>
          <t>&lt;[[DEVDeals] - [Funding (Seq: 43)] Amount - Both]&gt;</t>
        </r>
      </text>
    </comment>
    <comment ref="P493" authorId="0" shapeId="0" xr:uid="{5FDD7CCE-7C34-43B0-9D4E-4DE367DD5314}">
      <text>
        <r>
          <rPr>
            <b/>
            <sz val="9"/>
            <color indexed="81"/>
            <rFont val="Tahoma"/>
            <family val="2"/>
          </rPr>
          <t>&lt;[[DEVDeals] - [Funding (Seq: 44)] Program Type - Both]&gt;</t>
        </r>
      </text>
    </comment>
    <comment ref="Q493" authorId="0" shapeId="0" xr:uid="{DC4D0356-1A00-47FB-BFEE-43F6B8853495}">
      <text>
        <r>
          <rPr>
            <b/>
            <sz val="9"/>
            <color indexed="81"/>
            <rFont val="Tahoma"/>
            <family val="2"/>
          </rPr>
          <t>&lt;[[DEVDeals] - [Funding (Seq: 44)] All DEV Funding Sources - Both]&gt;</t>
        </r>
      </text>
    </comment>
    <comment ref="R493" authorId="0" shapeId="0" xr:uid="{5E7ABECE-FDD7-466D-9E3B-370B4FF519D2}">
      <text>
        <r>
          <rPr>
            <b/>
            <sz val="9"/>
            <color indexed="81"/>
            <rFont val="Tahoma"/>
            <family val="2"/>
          </rPr>
          <t>&lt;[[DEVDeals] - [Funding (Seq: 44)] Note - Both]&gt;</t>
        </r>
      </text>
    </comment>
    <comment ref="Y493" authorId="0" shapeId="0" xr:uid="{574FBAAE-0FEF-4C03-AC6D-1CD8E8324FE4}">
      <text>
        <r>
          <rPr>
            <b/>
            <sz val="9"/>
            <color indexed="81"/>
            <rFont val="Tahoma"/>
            <family val="2"/>
          </rPr>
          <t>&lt;[[DEVDeals] - [Funding (Seq: 44)] Amount - Both]&gt;</t>
        </r>
      </text>
    </comment>
    <comment ref="P494" authorId="0" shapeId="0" xr:uid="{1BDE3996-8DB1-470D-A4E7-A9F189447733}">
      <text>
        <r>
          <rPr>
            <b/>
            <sz val="9"/>
            <color indexed="81"/>
            <rFont val="Tahoma"/>
            <family val="2"/>
          </rPr>
          <t>&lt;[[DEVDeals] - [Funding (Seq: 45)] Program Type - Both]&gt;</t>
        </r>
      </text>
    </comment>
    <comment ref="Q494" authorId="0" shapeId="0" xr:uid="{AD370694-8A0D-46EC-9809-B60185736A4D}">
      <text>
        <r>
          <rPr>
            <b/>
            <sz val="9"/>
            <color indexed="81"/>
            <rFont val="Tahoma"/>
            <family val="2"/>
          </rPr>
          <t>&lt;[[DEVDeals] - [Funding (Seq: 45)] All DEV Funding Sources - Both]&gt;</t>
        </r>
      </text>
    </comment>
    <comment ref="R494" authorId="0" shapeId="0" xr:uid="{05975325-AD35-483A-9CD1-587E6469F63C}">
      <text>
        <r>
          <rPr>
            <b/>
            <sz val="9"/>
            <color indexed="81"/>
            <rFont val="Tahoma"/>
            <family val="2"/>
          </rPr>
          <t>&lt;[[DEVDeals] - [Funding (Seq: 45)] Note - Both]&gt;</t>
        </r>
      </text>
    </comment>
    <comment ref="Y494" authorId="0" shapeId="0" xr:uid="{8978A21A-F14B-4FCE-9069-BDD516EFCF8B}">
      <text>
        <r>
          <rPr>
            <b/>
            <sz val="9"/>
            <color indexed="81"/>
            <rFont val="Tahoma"/>
            <family val="2"/>
          </rPr>
          <t>&lt;[[DEVDeals] - [Funding (Seq: 45)] Amount - Both]&gt;</t>
        </r>
      </text>
    </comment>
    <comment ref="P495" authorId="0" shapeId="0" xr:uid="{5A44C8CB-7489-41E8-9B5F-25651CFAC1D3}">
      <text>
        <r>
          <rPr>
            <b/>
            <sz val="9"/>
            <color indexed="81"/>
            <rFont val="Tahoma"/>
            <family val="2"/>
          </rPr>
          <t>&lt;[[DEVDeals] - [Funding (Seq: 46)] Program Type - Both]&gt;</t>
        </r>
      </text>
    </comment>
    <comment ref="Q495" authorId="0" shapeId="0" xr:uid="{DC72BC69-54E4-4D44-8280-179D6C8F36A3}">
      <text>
        <r>
          <rPr>
            <b/>
            <sz val="9"/>
            <color indexed="81"/>
            <rFont val="Tahoma"/>
            <family val="2"/>
          </rPr>
          <t>&lt;[[DEVDeals] - [Funding (Seq: 46)] All DEV Funding Sources - Both]&gt;</t>
        </r>
      </text>
    </comment>
    <comment ref="R495" authorId="0" shapeId="0" xr:uid="{7A72D025-9A1C-4595-937C-8000F25EB6DB}">
      <text>
        <r>
          <rPr>
            <b/>
            <sz val="9"/>
            <color indexed="81"/>
            <rFont val="Tahoma"/>
            <family val="2"/>
          </rPr>
          <t>&lt;[[DEVDeals] - [Funding (Seq: 46)] Note - Both]&gt;</t>
        </r>
      </text>
    </comment>
    <comment ref="Y495" authorId="0" shapeId="0" xr:uid="{F7182A0E-45A4-42C7-BAA6-05318B78B14A}">
      <text>
        <r>
          <rPr>
            <b/>
            <sz val="9"/>
            <color indexed="81"/>
            <rFont val="Tahoma"/>
            <family val="2"/>
          </rPr>
          <t>&lt;[[DEVDeals] - [Funding (Seq: 46)] Amount - Both]&gt;</t>
        </r>
      </text>
    </comment>
    <comment ref="P496" authorId="0" shapeId="0" xr:uid="{0F68487F-D4E5-4427-B30D-35F7519527A3}">
      <text>
        <r>
          <rPr>
            <b/>
            <sz val="9"/>
            <color indexed="81"/>
            <rFont val="Tahoma"/>
            <family val="2"/>
          </rPr>
          <t>&lt;[[DEVDeals] - [Funding (Seq: 47)] Program Type - Both]&gt;</t>
        </r>
      </text>
    </comment>
    <comment ref="Q496" authorId="0" shapeId="0" xr:uid="{ABBA20F5-FCB7-46D0-89FE-25FCFC04E071}">
      <text>
        <r>
          <rPr>
            <b/>
            <sz val="9"/>
            <color indexed="81"/>
            <rFont val="Tahoma"/>
            <family val="2"/>
          </rPr>
          <t>&lt;[[DEVDeals] - [Funding (Seq: 47)] All DEV Funding Sources - Both]&gt;</t>
        </r>
      </text>
    </comment>
    <comment ref="R496" authorId="0" shapeId="0" xr:uid="{39803813-2442-4C25-AE1B-CD1BE9E32301}">
      <text>
        <r>
          <rPr>
            <b/>
            <sz val="9"/>
            <color indexed="81"/>
            <rFont val="Tahoma"/>
            <family val="2"/>
          </rPr>
          <t>&lt;[[DEVDeals] - [Funding (Seq: 47)] Note - Both]&gt;</t>
        </r>
      </text>
    </comment>
    <comment ref="Y496" authorId="0" shapeId="0" xr:uid="{1376F1D7-0864-4F08-8AFE-A8A7316C53B4}">
      <text>
        <r>
          <rPr>
            <b/>
            <sz val="9"/>
            <color indexed="81"/>
            <rFont val="Tahoma"/>
            <family val="2"/>
          </rPr>
          <t>&lt;[[DEVDeals] - [Funding (Seq: 47)] Amount - Both]&gt;</t>
        </r>
      </text>
    </comment>
    <comment ref="P497" authorId="0" shapeId="0" xr:uid="{1C28B4F8-4B0D-40E5-8EEF-166BDA5E2C8A}">
      <text>
        <r>
          <rPr>
            <b/>
            <sz val="9"/>
            <color indexed="81"/>
            <rFont val="Tahoma"/>
            <family val="2"/>
          </rPr>
          <t>&lt;[[DEVDeals] - [Funding (Seq: 48)] Program Type - Both]&gt;</t>
        </r>
      </text>
    </comment>
    <comment ref="Q497" authorId="0" shapeId="0" xr:uid="{EDBA9E8F-67BA-401F-840F-FFC403FE5E67}">
      <text>
        <r>
          <rPr>
            <b/>
            <sz val="9"/>
            <color indexed="81"/>
            <rFont val="Tahoma"/>
            <family val="2"/>
          </rPr>
          <t>&lt;[[DEVDeals] - [Funding (Seq: 48)] All DEV Funding Sources - Both]&gt;</t>
        </r>
      </text>
    </comment>
    <comment ref="R497" authorId="0" shapeId="0" xr:uid="{709D4F25-E146-40BA-A8FC-A1E5AF4BFBC1}">
      <text>
        <r>
          <rPr>
            <b/>
            <sz val="9"/>
            <color indexed="81"/>
            <rFont val="Tahoma"/>
            <family val="2"/>
          </rPr>
          <t>&lt;[[DEVDeals] - [Funding (Seq: 48)] Note - Both]&gt;</t>
        </r>
      </text>
    </comment>
    <comment ref="Y497" authorId="0" shapeId="0" xr:uid="{0AE81FE8-0F3B-466E-BD06-820961BE18F0}">
      <text>
        <r>
          <rPr>
            <b/>
            <sz val="9"/>
            <color indexed="81"/>
            <rFont val="Tahoma"/>
            <family val="2"/>
          </rPr>
          <t>&lt;[[DEVDeals] - [Funding (Seq: 48)] Amount - Both]&gt;</t>
        </r>
      </text>
    </comment>
    <comment ref="P498" authorId="0" shapeId="0" xr:uid="{B0DCB673-46B1-4FAF-A546-FA7DDB2DA514}">
      <text>
        <r>
          <rPr>
            <b/>
            <sz val="9"/>
            <color indexed="81"/>
            <rFont val="Tahoma"/>
            <family val="2"/>
          </rPr>
          <t>&lt;[[DEVDeals] - [Funding (Seq: 49)] Program Type - Both]&gt;</t>
        </r>
      </text>
    </comment>
    <comment ref="Q498" authorId="0" shapeId="0" xr:uid="{72F97411-A5A1-4BDF-8893-BBBE74F17E9B}">
      <text>
        <r>
          <rPr>
            <b/>
            <sz val="9"/>
            <color indexed="81"/>
            <rFont val="Tahoma"/>
            <family val="2"/>
          </rPr>
          <t>&lt;[[DEVDeals] - [Funding (Seq: 49)] All DEV Funding Sources - Both]&gt;</t>
        </r>
      </text>
    </comment>
    <comment ref="R498" authorId="0" shapeId="0" xr:uid="{66459529-F30F-49B6-9020-3195E6593E9F}">
      <text>
        <r>
          <rPr>
            <b/>
            <sz val="9"/>
            <color indexed="81"/>
            <rFont val="Tahoma"/>
            <family val="2"/>
          </rPr>
          <t>&lt;[[DEVDeals] - [Funding (Seq: 49)] Note - Both]&gt;</t>
        </r>
      </text>
    </comment>
    <comment ref="Y498" authorId="0" shapeId="0" xr:uid="{397AC3DC-214A-43AB-B8A4-F83F213D17F7}">
      <text>
        <r>
          <rPr>
            <b/>
            <sz val="9"/>
            <color indexed="81"/>
            <rFont val="Tahoma"/>
            <family val="2"/>
          </rPr>
          <t>&lt;[[DEVDeals] - [Funding (Seq: 49)] Amount - Both]&gt;</t>
        </r>
      </text>
    </comment>
    <comment ref="R503" authorId="0" shapeId="0" xr:uid="{05DBC2B4-0DB2-4D6C-9F2D-174EE716CB3B}">
      <text>
        <r>
          <rPr>
            <b/>
            <sz val="9"/>
            <color indexed="81"/>
            <rFont val="Tahoma"/>
            <family val="2"/>
          </rPr>
          <t>&lt;[[DEVDeals] - [Associated TC Deal (Seq: 1)] - [TC Property Current Stage (Seq: 1)] - [Actual Property Costs (Seq: 1)] Unit Structures New - Both]&gt;</t>
        </r>
      </text>
    </comment>
    <comment ref="T503" authorId="0" shapeId="0" xr:uid="{65BE3137-8881-414F-8119-E8173E0207B4}">
      <text>
        <r>
          <rPr>
            <b/>
            <sz val="9"/>
            <color indexed="81"/>
            <rFont val="Tahoma"/>
            <family val="2"/>
          </rPr>
          <t>&lt;[[DEVDeals] - [Associated TC Deal (Seq: 1)] - [TC Property Current Stage (Seq: 1)] - [4% Construction Property Costs (Seq: 1)] Unit Structures New - Both]&gt;</t>
        </r>
      </text>
    </comment>
    <comment ref="U503" authorId="0" shapeId="0" xr:uid="{ED0CF469-66A0-49C6-B3DF-3504E9DA023E}">
      <text>
        <r>
          <rPr>
            <b/>
            <sz val="9"/>
            <color indexed="81"/>
            <rFont val="Tahoma"/>
            <family val="2"/>
          </rPr>
          <t>&lt;[[DEVDeals] - [Associated TC Deal (Seq: 1)] - [TC Property Current Stage (Seq: 1)] - [9% Construction Property Costs (Seq: 1)] Unit Structures New - Both]&gt;</t>
        </r>
      </text>
    </comment>
    <comment ref="J504" authorId="0" shapeId="0" xr:uid="{93AEA465-B7D8-464E-B47C-7DF1C1FB43EF}">
      <text>
        <r>
          <rPr>
            <b/>
            <sz val="9"/>
            <color indexed="81"/>
            <rFont val="Tahoma"/>
            <family val="2"/>
          </rPr>
          <t>&lt;[[DEVDeals] - [Budget Initial (Seq: 1)] HC Structures - Both]&gt;</t>
        </r>
      </text>
    </comment>
    <comment ref="R504" authorId="0" shapeId="0" xr:uid="{E1BC8997-C5DE-4CDD-9C96-FDAA0EC75E2B}">
      <text>
        <r>
          <rPr>
            <b/>
            <sz val="9"/>
            <color indexed="81"/>
            <rFont val="Tahoma"/>
            <family val="2"/>
          </rPr>
          <t>&lt;[[DEVDeals] - [Associated TC Deal (Seq: 1)] - [TC Property Current Stage (Seq: 1)] - [Actual Property Costs (Seq: 1)] Unit Structures Rehab - Both]&gt;</t>
        </r>
      </text>
    </comment>
    <comment ref="T504" authorId="0" shapeId="0" xr:uid="{B233E3B5-E11B-4B15-8AD1-0F6BC3BC9872}">
      <text>
        <r>
          <rPr>
            <b/>
            <sz val="9"/>
            <color indexed="81"/>
            <rFont val="Tahoma"/>
            <family val="2"/>
          </rPr>
          <t>&lt;[[DEVDeals] - [Associated TC Deal (Seq: 1)] - [TC Property Current Stage (Seq: 1)] - [4% Construction Property Costs (Seq: 1)] Unit Structures Rehab - Both]&gt;</t>
        </r>
      </text>
    </comment>
    <comment ref="U504" authorId="0" shapeId="0" xr:uid="{4D79A077-C5F0-4A42-B878-DA9EB210B6D0}">
      <text>
        <r>
          <rPr>
            <b/>
            <sz val="9"/>
            <color indexed="81"/>
            <rFont val="Tahoma"/>
            <family val="2"/>
          </rPr>
          <t>&lt;[[DEVDeals] - [Associated TC Deal (Seq: 1)] - [TC Property Current Stage (Seq: 1)] - [9% Construction Property Costs (Seq: 1)] Unit Structures Rehab - Both]&gt;</t>
        </r>
      </text>
    </comment>
    <comment ref="J505" authorId="0" shapeId="0" xr:uid="{41327809-C3C5-4C31-BEEB-673E5FA30CA8}">
      <text>
        <r>
          <rPr>
            <b/>
            <sz val="9"/>
            <color indexed="81"/>
            <rFont val="Tahoma"/>
            <family val="2"/>
          </rPr>
          <t>&lt;[[DEVDeals] - [Budget Initial (Seq: 1)] HC General Req - Both]&gt;</t>
        </r>
      </text>
    </comment>
    <comment ref="R505" authorId="0" shapeId="0" xr:uid="{3689A07C-8C67-451F-B612-AD952EE6E448}">
      <text>
        <r>
          <rPr>
            <b/>
            <sz val="9"/>
            <color indexed="81"/>
            <rFont val="Tahoma"/>
            <family val="2"/>
          </rPr>
          <t>&lt;[[DEVDeals] - [Associated TC Deal (Seq: 1)] - [TC Property Current Stage (Seq: 1)] - [Actual Property Costs (Seq: 1)] General Requirements - Both]&gt;</t>
        </r>
      </text>
    </comment>
    <comment ref="T505" authorId="0" shapeId="0" xr:uid="{D297F574-1E2F-4DAA-932D-0C096E99FA24}">
      <text>
        <r>
          <rPr>
            <b/>
            <sz val="9"/>
            <color indexed="81"/>
            <rFont val="Tahoma"/>
            <family val="2"/>
          </rPr>
          <t>&lt;[[DEVDeals] - [Associated TC Deal (Seq: 1)] - [TC Property Current Stage (Seq: 1)] - [4% Construction Property Costs (Seq: 1)] General Requirements - Both]&gt;</t>
        </r>
      </text>
    </comment>
    <comment ref="U505" authorId="0" shapeId="0" xr:uid="{FA936129-6E41-4265-8547-45D7AB85E85A}">
      <text>
        <r>
          <rPr>
            <b/>
            <sz val="9"/>
            <color indexed="81"/>
            <rFont val="Tahoma"/>
            <family val="2"/>
          </rPr>
          <t>&lt;[[DEVDeals] - [Associated TC Deal (Seq: 1)] - [TC Property Current Stage (Seq: 1)] - [9% Construction Property Costs (Seq: 1)] General Requirements - Both]&gt;</t>
        </r>
      </text>
    </comment>
    <comment ref="J506" authorId="0" shapeId="0" xr:uid="{0B113ECD-7578-4CC6-8373-0F6F05A0E8AD}">
      <text>
        <r>
          <rPr>
            <b/>
            <sz val="9"/>
            <color indexed="81"/>
            <rFont val="Tahoma"/>
            <family val="2"/>
          </rPr>
          <t>&lt;[[DEVDeals] - [Budget Initial (Seq: 1)] HC Profit - Both]&gt;</t>
        </r>
      </text>
    </comment>
    <comment ref="R506" authorId="0" shapeId="0" xr:uid="{1705AEF1-DBEC-41B6-AB79-4BA1ECBC9DF4}">
      <text>
        <r>
          <rPr>
            <b/>
            <sz val="9"/>
            <color indexed="81"/>
            <rFont val="Tahoma"/>
            <family val="2"/>
          </rPr>
          <t>&lt;[[DEVDeals] - [Associated TC Deal (Seq: 1)] - [TC Property Current Stage (Seq: 1)] - [Actual Property Costs (Seq: 1)] Builders Profit - Both]&gt;</t>
        </r>
      </text>
    </comment>
    <comment ref="T506" authorId="0" shapeId="0" xr:uid="{E464C1BD-B6EE-446B-BFA1-D64D1380B212}">
      <text>
        <r>
          <rPr>
            <b/>
            <sz val="9"/>
            <color indexed="81"/>
            <rFont val="Tahoma"/>
            <family val="2"/>
          </rPr>
          <t>&lt;[[DEVDeals] - [Associated TC Deal (Seq: 1)] - [TC Property Current Stage (Seq: 1)] - [4% Construction Property Costs (Seq: 1)] Builders Profit - Both]&gt;</t>
        </r>
      </text>
    </comment>
    <comment ref="U506" authorId="0" shapeId="0" xr:uid="{517D2B04-DF91-4623-A041-A4F8C51FB0B8}">
      <text>
        <r>
          <rPr>
            <b/>
            <sz val="9"/>
            <color indexed="81"/>
            <rFont val="Tahoma"/>
            <family val="2"/>
          </rPr>
          <t>&lt;[[DEVDeals] - [Associated TC Deal (Seq: 1)] - [TC Property Current Stage (Seq: 1)] - [9% Construction Property Costs (Seq: 1)] Builders Profit - Both]&gt;</t>
        </r>
      </text>
    </comment>
    <comment ref="J507" authorId="0" shapeId="0" xr:uid="{23F988ED-04A0-4853-B973-C85F330A04EF}">
      <text>
        <r>
          <rPr>
            <b/>
            <sz val="9"/>
            <color indexed="81"/>
            <rFont val="Tahoma"/>
            <family val="2"/>
          </rPr>
          <t>&lt;[[DEVDeals] - [Budget Initial (Seq: 1)] HC Overhead - Both]&gt;</t>
        </r>
      </text>
    </comment>
    <comment ref="R507" authorId="0" shapeId="0" xr:uid="{771E7013-782A-4699-BCFC-C790F76D0F93}">
      <text>
        <r>
          <rPr>
            <b/>
            <sz val="9"/>
            <color indexed="81"/>
            <rFont val="Tahoma"/>
            <family val="2"/>
          </rPr>
          <t>&lt;[[DEVDeals] - [Associated TC Deal (Seq: 1)] - [TC Property Current Stage (Seq: 1)] - [Actual Property Costs (Seq: 1)] Builders Overhead - Both]&gt;</t>
        </r>
      </text>
    </comment>
    <comment ref="T507" authorId="0" shapeId="0" xr:uid="{3FDD57C3-2F79-48E8-AEED-42678E4C1CF5}">
      <text>
        <r>
          <rPr>
            <b/>
            <sz val="9"/>
            <color indexed="81"/>
            <rFont val="Tahoma"/>
            <family val="2"/>
          </rPr>
          <t>&lt;[[DEVDeals] - [Associated TC Deal (Seq: 1)] - [TC Property Current Stage (Seq: 1)] - [4% Construction Property Costs (Seq: 1)] Builders Overhead - Both]&gt;</t>
        </r>
      </text>
    </comment>
    <comment ref="U507" authorId="0" shapeId="0" xr:uid="{EC50D485-4995-40D3-9077-8BA1E42EBE70}">
      <text>
        <r>
          <rPr>
            <b/>
            <sz val="9"/>
            <color indexed="81"/>
            <rFont val="Tahoma"/>
            <family val="2"/>
          </rPr>
          <t>&lt;[[DEVDeals] - [Associated TC Deal (Seq: 1)] - [TC Property Current Stage (Seq: 1)] - [9% Construction Property Costs (Seq: 1)] Builders Overhead - Both]&gt;</t>
        </r>
      </text>
    </comment>
    <comment ref="J508" authorId="0" shapeId="0" xr:uid="{E32A8CB1-6044-487D-A0CC-3AF898BB5639}">
      <text>
        <r>
          <rPr>
            <b/>
            <sz val="9"/>
            <color indexed="81"/>
            <rFont val="Tahoma"/>
            <family val="2"/>
          </rPr>
          <t>&lt;[[DEVDeals] - [Budget Initial (Seq: 1)] HC Bonds - Both]&gt;</t>
        </r>
      </text>
    </comment>
    <comment ref="R508" authorId="0" shapeId="0" xr:uid="{DD36F062-B860-43EE-BB20-430A4E842256}">
      <text>
        <r>
          <rPr>
            <b/>
            <sz val="9"/>
            <color indexed="81"/>
            <rFont val="Tahoma"/>
            <family val="2"/>
          </rPr>
          <t>&lt;[[DEVDeals] - [Associated TC Deal (Seq: 1)] - [TC Property Current Stage (Seq: 1)] - [Actual Property Costs (Seq: 1)] Bonding Fee - Both]&gt;</t>
        </r>
      </text>
    </comment>
    <comment ref="T508" authorId="0" shapeId="0" xr:uid="{B03113D7-FC12-4635-A3DF-60E17FECF698}">
      <text>
        <r>
          <rPr>
            <b/>
            <sz val="9"/>
            <color indexed="81"/>
            <rFont val="Tahoma"/>
            <family val="2"/>
          </rPr>
          <t>&lt;[[DEVDeals] - [Associated TC Deal (Seq: 1)] - [TC Property Current Stage (Seq: 1)] - [4% Construction Property Costs (Seq: 1)] Bonding Fee - Both]&gt;</t>
        </r>
      </text>
    </comment>
    <comment ref="U508" authorId="0" shapeId="0" xr:uid="{FCB61CCB-B79F-47F3-ACAA-69DB3EEA3BB6}">
      <text>
        <r>
          <rPr>
            <b/>
            <sz val="9"/>
            <color indexed="81"/>
            <rFont val="Tahoma"/>
            <family val="2"/>
          </rPr>
          <t>&lt;[[DEVDeals] - [Associated TC Deal (Seq: 1)] - [TC Property Current Stage (Seq: 1)] - [9% Construction Property Costs (Seq: 1)] Bonding Fee - Both]&gt;</t>
        </r>
      </text>
    </comment>
    <comment ref="J509" authorId="0" shapeId="0" xr:uid="{809BEEF1-D3E1-45F1-8607-7143D2A44F35}">
      <text>
        <r>
          <rPr>
            <b/>
            <sz val="9"/>
            <color indexed="81"/>
            <rFont val="Tahoma"/>
            <family val="2"/>
          </rPr>
          <t>&lt;[[DEVDeals] - [Budget Initial (Seq: 1)] HC Other1 - Both]&gt;</t>
        </r>
      </text>
    </comment>
    <comment ref="N509" authorId="0" shapeId="0" xr:uid="{4B5B533A-8E10-4C1F-8FC2-E7C1E12705AA}">
      <text>
        <r>
          <rPr>
            <b/>
            <sz val="9"/>
            <color indexed="81"/>
            <rFont val="Tahoma"/>
            <family val="2"/>
          </rPr>
          <t>&lt;[[DEVDeals] - [Budget Initial (Seq: 1)] - [Budget Initial - User Defined Field Values (Seq: 1)] Development Budget Details - Construction or Rehab Costs - Other 1 - Both]&gt;</t>
        </r>
      </text>
    </comment>
    <comment ref="R509" authorId="0" shapeId="0" xr:uid="{FE0AF9A1-A5E8-4D3E-8729-58F13D849F75}">
      <text>
        <r>
          <rPr>
            <b/>
            <sz val="9"/>
            <color indexed="81"/>
            <rFont val="Tahoma"/>
            <family val="2"/>
          </rPr>
          <t>&lt;[[DEVDeals] - [Associated TC Deal (Seq: 1)] - [TC Property Current Stage (Seq: 1)] - [Actual Property Costs (Seq: 1)] Other Construction1 - Both]&gt;</t>
        </r>
      </text>
    </comment>
    <comment ref="T509" authorId="0" shapeId="0" xr:uid="{B03B00AD-D4EF-417B-B53B-4393ED0C3D7E}">
      <text>
        <r>
          <rPr>
            <b/>
            <sz val="9"/>
            <color indexed="81"/>
            <rFont val="Tahoma"/>
            <family val="2"/>
          </rPr>
          <t>&lt;[[DEVDeals] - [Associated TC Deal (Seq: 1)] - [TC Property Current Stage (Seq: 1)] - [4% Construction Property Costs (Seq: 1)] Other Construction1 - Both]&gt;</t>
        </r>
      </text>
    </comment>
    <comment ref="U509" authorId="0" shapeId="0" xr:uid="{870B393D-F54D-441C-AD61-CF9982EF6CA8}">
      <text>
        <r>
          <rPr>
            <b/>
            <sz val="9"/>
            <color indexed="81"/>
            <rFont val="Tahoma"/>
            <family val="2"/>
          </rPr>
          <t>&lt;[[DEVDeals] - [Associated TC Deal (Seq: 1)] - [TC Property Current Stage (Seq: 1)] - [9% Construction Property Costs (Seq: 1)] Other Construction1 - Both]&gt;</t>
        </r>
      </text>
    </comment>
    <comment ref="N510" authorId="0" shapeId="0" xr:uid="{7C83784D-FE5E-4664-A078-BB72EAD66BC7}">
      <text>
        <r>
          <rPr>
            <b/>
            <sz val="9"/>
            <color indexed="81"/>
            <rFont val="Tahoma"/>
            <family val="2"/>
          </rPr>
          <t>&lt;[[DEVDeals] - [Budget Initial (Seq: 1)] - [Budget Initial - User Defined Field Values (Seq: 1)] Development Budget Details - Construction or Rehab Costs - Other 2 - Both]&gt;</t>
        </r>
      </text>
    </comment>
    <comment ref="R510" authorId="0" shapeId="0" xr:uid="{AC37F1B8-1137-4816-9BE3-58819E9B565C}">
      <text>
        <r>
          <rPr>
            <b/>
            <sz val="9"/>
            <color indexed="81"/>
            <rFont val="Tahoma"/>
            <family val="2"/>
          </rPr>
          <t>&lt;[[DEVDeals] - [Associated TC Deal (Seq: 1)] - [TC Property Current Stage (Seq: 1)] - [Actual Property Costs (Seq: 1)] Other Construction2 - Both]&gt;</t>
        </r>
      </text>
    </comment>
    <comment ref="T510" authorId="0" shapeId="0" xr:uid="{30B9F2F8-D857-4D43-ABAD-EBE50F628833}">
      <text>
        <r>
          <rPr>
            <b/>
            <sz val="9"/>
            <color indexed="81"/>
            <rFont val="Tahoma"/>
            <family val="2"/>
          </rPr>
          <t>&lt;[[DEVDeals] - [Associated TC Deal (Seq: 1)] - [TC Property Current Stage (Seq: 1)] - [4% Construction Property Costs (Seq: 1)] Other Construction2 - Both]&gt;</t>
        </r>
      </text>
    </comment>
    <comment ref="U510" authorId="0" shapeId="0" xr:uid="{88662333-DD8A-4032-8A3B-C45BB610D71C}">
      <text>
        <r>
          <rPr>
            <b/>
            <sz val="9"/>
            <color indexed="81"/>
            <rFont val="Tahoma"/>
            <family val="2"/>
          </rPr>
          <t>&lt;[[DEVDeals] - [Associated TC Deal (Seq: 1)] - [TC Property Current Stage (Seq: 1)] - [9% Construction Property Costs (Seq: 1)] Other Construction2 - Both]&gt;</t>
        </r>
      </text>
    </comment>
    <comment ref="Z510" authorId="0" shapeId="0" xr:uid="{21A65B79-512C-4142-8FDD-6E864C7C89B0}">
      <text>
        <r>
          <rPr>
            <b/>
            <sz val="9"/>
            <color indexed="81"/>
            <rFont val="Tahoma"/>
            <family val="2"/>
          </rPr>
          <t>&lt;[[DEVDeals] - [Associated TC Deal (Seq: 1)] - [TC Property Current Stage (Seq: 1)] - [TC Property Current Stage - User Defined Field Values (Seq: 1)] Development Budget Details - Construction or Rehab Costs - Other 2 - Both]&gt;</t>
        </r>
      </text>
    </comment>
    <comment ref="N511" authorId="0" shapeId="0" xr:uid="{9B881A9C-DD41-4451-B851-E9511DE7E6C3}">
      <text>
        <r>
          <rPr>
            <b/>
            <sz val="9"/>
            <color indexed="81"/>
            <rFont val="Tahoma"/>
            <family val="2"/>
          </rPr>
          <t>&lt;[[DEVDeals] - [Budget Initial (Seq: 1)] - [Budget Initial - User Defined Field Values (Seq: 1)] Development Budget Details - Construction or Rehab Costs - Other 3 - Both]&gt;</t>
        </r>
      </text>
    </comment>
    <comment ref="Z511" authorId="0" shapeId="0" xr:uid="{DF2F3D05-9A1D-4C60-8DF7-6EC9E42ECBEE}">
      <text>
        <r>
          <rPr>
            <b/>
            <sz val="9"/>
            <color indexed="81"/>
            <rFont val="Tahoma"/>
            <family val="2"/>
          </rPr>
          <t>&lt;[[DEVDeals] - [Associated TC Deal (Seq: 1)] - [TC Property Current Stage (Seq: 1)] - [TC Property Current Stage - User Defined Field Values (Seq: 1)] Development Budget Details - Construction or Rehab Costs - Other 3 - Both]&gt;</t>
        </r>
      </text>
    </comment>
    <comment ref="N512" authorId="0" shapeId="0" xr:uid="{1B673868-6372-42E0-B655-A97510B9F3B2}">
      <text>
        <r>
          <rPr>
            <b/>
            <sz val="9"/>
            <color indexed="81"/>
            <rFont val="Tahoma"/>
            <family val="2"/>
          </rPr>
          <t>&lt;[[DEVDeals] - [Budget Initial (Seq: 1)] - [Budget Initial - User Defined Field Values (Seq: 1)] Development Budget Details - Construction or Rehab Costs - Other 4 - Both]&gt;</t>
        </r>
      </text>
    </comment>
    <comment ref="Z512" authorId="0" shapeId="0" xr:uid="{E39510F9-069F-4B54-8455-61F849EDEA76}">
      <text>
        <r>
          <rPr>
            <b/>
            <sz val="9"/>
            <color indexed="81"/>
            <rFont val="Tahoma"/>
            <family val="2"/>
          </rPr>
          <t>&lt;[[DEVDeals] - [Associated TC Deal (Seq: 1)] - [TC Property Current Stage (Seq: 1)] - [TC Property Current Stage - User Defined Field Values (Seq: 1)] Development Budget Details - Construction or Rehab Costs - Other 4 - Both]&gt;</t>
        </r>
      </text>
    </comment>
    <comment ref="N513" authorId="0" shapeId="0" xr:uid="{C1DF7629-92F2-4DD6-AEE6-5C609F7A924D}">
      <text>
        <r>
          <rPr>
            <b/>
            <sz val="9"/>
            <color indexed="81"/>
            <rFont val="Tahoma"/>
            <family val="2"/>
          </rPr>
          <t>&lt;[[DEVDeals] - [Budget Initial (Seq: 1)] - [Budget Initial - User Defined Field Values (Seq: 1)] Development Budget Details - Construction or Rehab Costs - Other 5 - Both]&gt;</t>
        </r>
      </text>
    </comment>
    <comment ref="Z513" authorId="0" shapeId="0" xr:uid="{98EAEEC6-CCC5-4BF1-BF69-9A469DD3AC09}">
      <text>
        <r>
          <rPr>
            <b/>
            <sz val="9"/>
            <color indexed="81"/>
            <rFont val="Tahoma"/>
            <family val="2"/>
          </rPr>
          <t>&lt;[[DEVDeals] - [Associated TC Deal (Seq: 1)] - [TC Property Current Stage (Seq: 1)] - [TC Property Current Stage - User Defined Field Values (Seq: 1)] Development Budget Details - Construction or Rehab Costs - Other 5 - Both]&gt;</t>
        </r>
      </text>
    </comment>
    <comment ref="N514" authorId="0" shapeId="0" xr:uid="{D3AC93F0-2EE5-46D7-B0DE-8DA0F346D5C1}">
      <text>
        <r>
          <rPr>
            <b/>
            <sz val="9"/>
            <color indexed="81"/>
            <rFont val="Tahoma"/>
            <family val="2"/>
          </rPr>
          <t>&lt;[[DEVDeals] - [Budget Initial (Seq: 1)] - [Budget Initial - User Defined Field Values (Seq: 1)] Development Budget Details - Construction or Rehab Costs - Other 6 - Both]&gt;</t>
        </r>
      </text>
    </comment>
    <comment ref="Z514" authorId="0" shapeId="0" xr:uid="{7D527293-2606-48ED-98A4-0B8FB9425F2D}">
      <text>
        <r>
          <rPr>
            <b/>
            <sz val="9"/>
            <color indexed="81"/>
            <rFont val="Tahoma"/>
            <family val="2"/>
          </rPr>
          <t>&lt;[[DEVDeals] - [Associated TC Deal (Seq: 1)] - [TC Property Current Stage (Seq: 1)] - [TC Property Current Stage - User Defined Field Values (Seq: 1)] Development Budget Details - Construction or Rehab Costs - Other 6 - Both]&gt;</t>
        </r>
      </text>
    </comment>
    <comment ref="N515" authorId="0" shapeId="0" xr:uid="{A87616CA-C101-4F66-8F4F-464A7B67696F}">
      <text>
        <r>
          <rPr>
            <b/>
            <sz val="9"/>
            <color indexed="81"/>
            <rFont val="Tahoma"/>
            <family val="2"/>
          </rPr>
          <t>&lt;[[DEVDeals] - [Budget Initial (Seq: 1)] - [Budget Initial - User Defined Field Values (Seq: 1)] Development Budget Details - Construction or Rehab Costs - Other 7 - Both]&gt;</t>
        </r>
      </text>
    </comment>
    <comment ref="Z515" authorId="0" shapeId="0" xr:uid="{0D91E024-6A42-4EC7-A184-53F865B9620C}">
      <text>
        <r>
          <rPr>
            <b/>
            <sz val="9"/>
            <color indexed="81"/>
            <rFont val="Tahoma"/>
            <family val="2"/>
          </rPr>
          <t>&lt;[[DEVDeals] - [Associated TC Deal (Seq: 1)] - [TC Property Current Stage (Seq: 1)] - [TC Property Current Stage - User Defined Field Values (Seq: 1)] Development Budget Details - Construction or Rehab Costs - Other 7 - Both]&gt;</t>
        </r>
      </text>
    </comment>
    <comment ref="J516" authorId="0" shapeId="0" xr:uid="{CA3E9A4D-5086-4775-A2D8-6C38FCA8546F}">
      <text>
        <r>
          <rPr>
            <b/>
            <sz val="9"/>
            <color indexed="81"/>
            <rFont val="Tahoma"/>
            <family val="2"/>
          </rPr>
          <t>&lt;[[DEVDeals] - [Budget Initial (Seq: 1)] HC - Contingency - Both]&gt;</t>
        </r>
      </text>
    </comment>
    <comment ref="R516" authorId="0" shapeId="0" xr:uid="{4D4858A8-9194-4992-88D9-30272AE821E6}">
      <text>
        <r>
          <rPr>
            <b/>
            <sz val="9"/>
            <color indexed="81"/>
            <rFont val="Tahoma"/>
            <family val="2"/>
          </rPr>
          <t>&lt;[[DEVDeals] - [Associated TC Deal (Seq: 1)] - [TC Property Current Stage (Seq: 1)] - [Actual Property Costs (Seq: 1)] Other Construction3 - Both]&gt;</t>
        </r>
      </text>
    </comment>
    <comment ref="T516" authorId="0" shapeId="0" xr:uid="{A78C1F72-D6F8-4947-90D4-AC8B2AB1580A}">
      <text>
        <r>
          <rPr>
            <b/>
            <sz val="9"/>
            <color indexed="81"/>
            <rFont val="Tahoma"/>
            <family val="2"/>
          </rPr>
          <t>&lt;[[DEVDeals] - [Associated TC Deal (Seq: 1)] - [TC Property Current Stage (Seq: 1)] - [4% Construction Property Costs (Seq: 1)] Other Construction3 - Both]&gt;</t>
        </r>
      </text>
    </comment>
    <comment ref="U516" authorId="0" shapeId="0" xr:uid="{66796139-8092-4308-A53E-4FA15F415791}">
      <text>
        <r>
          <rPr>
            <b/>
            <sz val="9"/>
            <color indexed="81"/>
            <rFont val="Tahoma"/>
            <family val="2"/>
          </rPr>
          <t>&lt;[[DEVDeals] - [Associated TC Deal (Seq: 1)] - [TC Property Current Stage (Seq: 1)] - [9% Construction Property Costs (Seq: 1)] Other Construction3 - Both]&gt;</t>
        </r>
      </text>
    </comment>
    <comment ref="J517" authorId="0" shapeId="0" xr:uid="{064688D2-34C6-4202-84E6-D09B5E4BFBC9}">
      <text>
        <r>
          <rPr>
            <b/>
            <sz val="9"/>
            <color indexed="81"/>
            <rFont val="Tahoma"/>
            <family val="2"/>
          </rPr>
          <t>&lt;[[DEVDeals] - [Budget Initial (Seq: 1)] HC Other1 Comments - Both]&gt;</t>
        </r>
      </text>
    </comment>
    <comment ref="N517" authorId="0" shapeId="0" xr:uid="{24C41A4F-D5CC-4FC9-8445-BC1437A7F4A4}">
      <text>
        <r>
          <rPr>
            <b/>
            <sz val="9"/>
            <color indexed="81"/>
            <rFont val="Tahoma"/>
            <family val="2"/>
          </rPr>
          <t>&lt;[[DEVDeals] - [Budget Initial (Seq: 1)] - [Budget Initial - User Defined Field Values (Seq: 1)] Development Budget Details - Construction or Rehab Costs - Other 1 Describe - Both]&gt;</t>
        </r>
      </text>
    </comment>
    <comment ref="Z517" authorId="0" shapeId="0" xr:uid="{46354F43-03AB-4A5C-AA4C-7E045AF1E324}">
      <text>
        <r>
          <rPr>
            <b/>
            <sz val="9"/>
            <color indexed="81"/>
            <rFont val="Tahoma"/>
            <family val="2"/>
          </rPr>
          <t>&lt;[[DEVDeals] - [Associated TC Deal (Seq: 1)] - [TC Property Current Stage (Seq: 1)] - [TC Property Current Stage - User Defined Field Values (Seq: 1)] Development Budget Details - Construction or Rehab Costs - Other 1 Describe - Both]&gt;</t>
        </r>
      </text>
    </comment>
    <comment ref="N518" authorId="0" shapeId="0" xr:uid="{88FEE56E-CF98-40BC-9016-E5AA3EEC6601}">
      <text>
        <r>
          <rPr>
            <b/>
            <sz val="9"/>
            <color indexed="81"/>
            <rFont val="Tahoma"/>
            <family val="2"/>
          </rPr>
          <t>&lt;[[DEVDeals] - [Budget Initial (Seq: 1)] - [Budget Initial - User Defined Field Values (Seq: 1)] Development Budget Details - Construction or Rehab Costs - Other 2 Describe - Both]&gt;</t>
        </r>
      </text>
    </comment>
    <comment ref="Z518" authorId="0" shapeId="0" xr:uid="{5E285D6B-1A84-452E-A083-322B15DAD298}">
      <text>
        <r>
          <rPr>
            <b/>
            <sz val="9"/>
            <color indexed="81"/>
            <rFont val="Tahoma"/>
            <family val="2"/>
          </rPr>
          <t>&lt;[[DEVDeals] - [Associated TC Deal (Seq: 1)] - [TC Property Current Stage (Seq: 1)] - [TC Property Current Stage - User Defined Field Values (Seq: 1)] Development Budget Details - Construction or Rehab Costs - Other 2 Describe - Both]&gt;</t>
        </r>
      </text>
    </comment>
    <comment ref="N519" authorId="0" shapeId="0" xr:uid="{9B11F3B4-B9CF-48E1-A2E6-D980BD37FF8B}">
      <text>
        <r>
          <rPr>
            <b/>
            <sz val="9"/>
            <color indexed="81"/>
            <rFont val="Tahoma"/>
            <family val="2"/>
          </rPr>
          <t>&lt;[[DEVDeals] - [Budget Initial (Seq: 1)] - [Budget Initial - User Defined Field Values (Seq: 1)] Development Budget Details - Construction or Rehab Costs - Other 3 Describe - Both]&gt;</t>
        </r>
      </text>
    </comment>
    <comment ref="Z519" authorId="0" shapeId="0" xr:uid="{D2199327-9FEE-44B2-8E62-5F85D9196B5F}">
      <text>
        <r>
          <rPr>
            <b/>
            <sz val="9"/>
            <color indexed="81"/>
            <rFont val="Tahoma"/>
            <family val="2"/>
          </rPr>
          <t>&lt;[[DEVDeals] - [Associated TC Deal (Seq: 1)] - [TC Property Current Stage (Seq: 1)] - [TC Property Current Stage - User Defined Field Values (Seq: 1)] Development Budget Details - Construction or Rehab Costs - Other 3 Describe - Both]&gt;</t>
        </r>
      </text>
    </comment>
    <comment ref="N520" authorId="0" shapeId="0" xr:uid="{DFB81CFC-9EC8-4DA4-B061-C65ABCBE4170}">
      <text>
        <r>
          <rPr>
            <b/>
            <sz val="9"/>
            <color indexed="81"/>
            <rFont val="Tahoma"/>
            <family val="2"/>
          </rPr>
          <t>&lt;[[DEVDeals] - [Budget Initial (Seq: 1)] - [Budget Initial - User Defined Field Values (Seq: 1)] Development Budget Details - Construction or Rehab Costs - Other 4 Describe - Both]&gt;</t>
        </r>
      </text>
    </comment>
    <comment ref="Z520" authorId="0" shapeId="0" xr:uid="{3B5AF273-F68C-448B-8DAC-D07068DF6D1B}">
      <text>
        <r>
          <rPr>
            <b/>
            <sz val="9"/>
            <color indexed="81"/>
            <rFont val="Tahoma"/>
            <family val="2"/>
          </rPr>
          <t>&lt;[[DEVDeals] - [Associated TC Deal (Seq: 1)] - [TC Property Current Stage (Seq: 1)] - [TC Property Current Stage - User Defined Field Values (Seq: 1)] Development Budget Details - Construction or Rehab Costs - Other 4 Describe - Both]&gt;</t>
        </r>
      </text>
    </comment>
    <comment ref="N521" authorId="0" shapeId="0" xr:uid="{D798BB15-75E9-49D8-8718-ECE1554AE802}">
      <text>
        <r>
          <rPr>
            <b/>
            <sz val="9"/>
            <color indexed="81"/>
            <rFont val="Tahoma"/>
            <family val="2"/>
          </rPr>
          <t>&lt;[[DEVDeals] - [Budget Initial (Seq: 1)] - [Budget Initial - User Defined Field Values (Seq: 1)] Development Budget Details - Construction or Rehab Costs - Other 5 Describe - Both]&gt;</t>
        </r>
      </text>
    </comment>
    <comment ref="Z521" authorId="0" shapeId="0" xr:uid="{E4072E80-CCFE-438D-8CA6-11DB290DA4CF}">
      <text>
        <r>
          <rPr>
            <b/>
            <sz val="9"/>
            <color indexed="81"/>
            <rFont val="Tahoma"/>
            <family val="2"/>
          </rPr>
          <t>&lt;[[DEVDeals] - [Associated TC Deal (Seq: 1)] - [TC Property Current Stage (Seq: 1)] - [TC Property Current Stage - User Defined Field Values (Seq: 1)] Development Budget Details - Construction or Rehab Costs - Other 5 Describe - Both]&gt;</t>
        </r>
      </text>
    </comment>
    <comment ref="N522" authorId="0" shapeId="0" xr:uid="{2547DD73-F59E-48B8-ADDB-6F87A7E7BA76}">
      <text>
        <r>
          <rPr>
            <b/>
            <sz val="9"/>
            <color indexed="81"/>
            <rFont val="Tahoma"/>
            <family val="2"/>
          </rPr>
          <t>&lt;[[DEVDeals] - [Budget Initial (Seq: 1)] - [Budget Initial - User Defined Field Values (Seq: 1)] Development Budget Details - Construction or Rehab Costs - Other 6 Describe - Both]&gt;</t>
        </r>
      </text>
    </comment>
    <comment ref="Z522" authorId="0" shapeId="0" xr:uid="{572A1342-1665-451C-8A53-53D55DB37AE3}">
      <text>
        <r>
          <rPr>
            <b/>
            <sz val="9"/>
            <color indexed="81"/>
            <rFont val="Tahoma"/>
            <family val="2"/>
          </rPr>
          <t>&lt;[[DEVDeals] - [Associated TC Deal (Seq: 1)] - [TC Property Current Stage (Seq: 1)] - [TC Property Current Stage - User Defined Field Values (Seq: 1)] Development Budget Details - Construction or Rehab Costs - Other 6 Describe - Both]&gt;</t>
        </r>
      </text>
    </comment>
    <comment ref="N523" authorId="0" shapeId="0" xr:uid="{19B58BBA-FB82-466F-AC1E-84F200C033E5}">
      <text>
        <r>
          <rPr>
            <b/>
            <sz val="9"/>
            <color indexed="81"/>
            <rFont val="Tahoma"/>
            <family val="2"/>
          </rPr>
          <t>&lt;[[DEVDeals] - [Budget Initial (Seq: 1)] - [Budget Initial - User Defined Field Values (Seq: 1)] Development Budget Details - Construction or Rehab Costs - Other 7 Describe - Both]&gt;</t>
        </r>
      </text>
    </comment>
    <comment ref="Z523" authorId="0" shapeId="0" xr:uid="{F736560E-5A8A-4B91-A850-0E2237D30940}">
      <text>
        <r>
          <rPr>
            <b/>
            <sz val="9"/>
            <color indexed="81"/>
            <rFont val="Tahoma"/>
            <family val="2"/>
          </rPr>
          <t>&lt;[[DEVDeals] - [Associated TC Deal (Seq: 1)] - [TC Property Current Stage (Seq: 1)] - [TC Property Current Stage - User Defined Field Values (Seq: 1)] Development Budget Details - Construction or Rehab Costs - Other 7 Describe - Both]&gt;</t>
        </r>
      </text>
    </comment>
    <comment ref="J524" authorId="0" shapeId="0" xr:uid="{CF9AB0AD-6B4F-4075-9ED4-F2FCD72259C7}">
      <text>
        <r>
          <rPr>
            <b/>
            <sz val="9"/>
            <color indexed="81"/>
            <rFont val="Tahoma"/>
            <family val="2"/>
          </rPr>
          <t>&lt;[[DEVDeals] - [Budget Initial (Seq: 1)] SC Design Architect - Both]&gt;</t>
        </r>
      </text>
    </comment>
    <comment ref="N524" authorId="0" shapeId="0" xr:uid="{5EB0297E-2AB0-4348-95F5-BC830CFFB22C}">
      <text>
        <r>
          <rPr>
            <b/>
            <sz val="9"/>
            <color indexed="81"/>
            <rFont val="Tahoma"/>
            <family val="2"/>
          </rPr>
          <t>&lt;[[DEVDeals] - [Budget Initial (Seq: 1)] - [Budget Initial - User Defined Field Values (Seq: 1)] Development Budget Details - Architect's Design Fee - Both]&gt;</t>
        </r>
      </text>
    </comment>
    <comment ref="R524" authorId="0" shapeId="0" xr:uid="{05CD3826-DF38-48FE-ADD3-7FF7BD7E8610}">
      <text>
        <r>
          <rPr>
            <b/>
            <sz val="9"/>
            <color indexed="81"/>
            <rFont val="Tahoma"/>
            <family val="2"/>
          </rPr>
          <t>&lt;[[DEVDeals] - [Associated TC Deal (Seq: 1)] - [TC Property Current Stage (Seq: 1)] - [Actual Property Costs (Seq: 1)] Arch Engin Design Fee - Both]&gt;</t>
        </r>
      </text>
    </comment>
    <comment ref="S524" authorId="0" shapeId="0" xr:uid="{D5F3DC6D-9D3D-48C7-9BF5-8161F22940B3}">
      <text>
        <r>
          <rPr>
            <b/>
            <sz val="9"/>
            <color indexed="81"/>
            <rFont val="Tahoma"/>
            <family val="2"/>
          </rPr>
          <t>&lt;[[DEVDeals] - [Associated TC Deal (Seq: 1)] - [TC Property Current Stage (Seq: 1)] - [Acquisition Property Costs (Seq: 1)] Arch Engin Design Fee - Both]&gt;</t>
        </r>
      </text>
    </comment>
    <comment ref="T524" authorId="0" shapeId="0" xr:uid="{5953CBE5-584F-4400-B80A-E4708A3A22E2}">
      <text>
        <r>
          <rPr>
            <b/>
            <sz val="9"/>
            <color indexed="81"/>
            <rFont val="Tahoma"/>
            <family val="2"/>
          </rPr>
          <t>&lt;[[DEVDeals] - [Associated TC Deal (Seq: 1)] - [TC Property Current Stage (Seq: 1)] - [4% Construction Property Costs (Seq: 1)] Arch Engin Design Fee - Both]&gt;</t>
        </r>
      </text>
    </comment>
    <comment ref="U524" authorId="0" shapeId="0" xr:uid="{364BD044-73EA-4843-8317-09D26F5D5581}">
      <text>
        <r>
          <rPr>
            <b/>
            <sz val="9"/>
            <color indexed="81"/>
            <rFont val="Tahoma"/>
            <family val="2"/>
          </rPr>
          <t>&lt;[[DEVDeals] - [Associated TC Deal (Seq: 1)] - [TC Property Current Stage (Seq: 1)] - [9% Construction Property Costs (Seq: 1)] Arch Engin Design Fee - Both]&gt;</t>
        </r>
      </text>
    </comment>
    <comment ref="Z524" authorId="0" shapeId="0" xr:uid="{23AB1D63-2240-4759-804E-ABC041A38F19}">
      <text>
        <r>
          <rPr>
            <b/>
            <sz val="9"/>
            <color indexed="81"/>
            <rFont val="Tahoma"/>
            <family val="2"/>
          </rPr>
          <t>&lt;[[DEVDeals] - [Associated TC Deal (Seq: 1)] - [TC Property Current Stage (Seq: 1)] - [TC Property Current Stage - User Defined Field Values (Seq: 1)] Development Budget Details - Architect's Design Fee - Both]&gt;</t>
        </r>
      </text>
    </comment>
    <comment ref="J525" authorId="0" shapeId="0" xr:uid="{7ED459A0-E58B-470B-88C0-347D9C96CFDA}">
      <text>
        <r>
          <rPr>
            <b/>
            <sz val="9"/>
            <color indexed="81"/>
            <rFont val="Tahoma"/>
            <family val="2"/>
          </rPr>
          <t>&lt;[[DEVDeals] - [Budget Initial (Seq: 1)] SC Architect Supervision - Both]&gt;</t>
        </r>
      </text>
    </comment>
    <comment ref="R525" authorId="0" shapeId="0" xr:uid="{C9432632-8201-465F-A6EF-C1908DCBD47A}">
      <text>
        <r>
          <rPr>
            <b/>
            <sz val="9"/>
            <color indexed="81"/>
            <rFont val="Tahoma"/>
            <family val="2"/>
          </rPr>
          <t>&lt;[[DEVDeals] - [Associated TC Deal (Seq: 1)] - [TC Property Current Stage (Seq: 1)] - [Actual Property Costs (Seq: 1)] Arch Supervision Fee - Both]&gt;</t>
        </r>
      </text>
    </comment>
    <comment ref="S525" authorId="0" shapeId="0" xr:uid="{2BA5E5AD-C84D-448A-84D8-79D9CE25DB6D}">
      <text>
        <r>
          <rPr>
            <b/>
            <sz val="9"/>
            <color indexed="81"/>
            <rFont val="Tahoma"/>
            <family val="2"/>
          </rPr>
          <t>&lt;[[DEVDeals] - [Associated TC Deal (Seq: 1)] - [TC Property Current Stage (Seq: 1)] - [Acquisition Property Costs (Seq: 1)] Arch Supervision Fee - Both]&gt;</t>
        </r>
      </text>
    </comment>
    <comment ref="T525" authorId="0" shapeId="0" xr:uid="{10AA710E-57C5-48F4-9EB2-3F01BD1FD9E6}">
      <text>
        <r>
          <rPr>
            <b/>
            <sz val="9"/>
            <color indexed="81"/>
            <rFont val="Tahoma"/>
            <family val="2"/>
          </rPr>
          <t>&lt;[[DEVDeals] - [Associated TC Deal (Seq: 1)] - [TC Property Current Stage (Seq: 1)] - [4% Construction Property Costs (Seq: 1)] Arch Supervision Fee - Both]&gt;</t>
        </r>
      </text>
    </comment>
    <comment ref="U525" authorId="0" shapeId="0" xr:uid="{786A9908-B2A4-4733-A37A-A3A50507CD7A}">
      <text>
        <r>
          <rPr>
            <b/>
            <sz val="9"/>
            <color indexed="81"/>
            <rFont val="Tahoma"/>
            <family val="2"/>
          </rPr>
          <t>&lt;[[DEVDeals] - [Associated TC Deal (Seq: 1)] - [TC Property Current Stage (Seq: 1)] - [9% Construction Property Costs (Seq: 1)] Arch Supervision Fee - Both]&gt;</t>
        </r>
      </text>
    </comment>
    <comment ref="N526" authorId="0" shapeId="0" xr:uid="{25DEC312-3D1F-4ED6-A86D-AA077ACB9C83}">
      <text>
        <r>
          <rPr>
            <b/>
            <sz val="9"/>
            <color indexed="81"/>
            <rFont val="Tahoma"/>
            <family val="2"/>
          </rPr>
          <t>&lt;[[DEVDeals] - [Budget Initial (Seq: 1)] - [Budget Initial - User Defined Field Values (Seq: 1)] Development Budget Details - Architect Reimbursable Additional Design - Both]&gt;</t>
        </r>
      </text>
    </comment>
    <comment ref="Z526" authorId="0" shapeId="0" xr:uid="{7B48F13F-40AB-4776-AD8B-26130B2563EA}">
      <text>
        <r>
          <rPr>
            <b/>
            <sz val="9"/>
            <color indexed="81"/>
            <rFont val="Tahoma"/>
            <family val="2"/>
          </rPr>
          <t>&lt;[[DEVDeals] - [Associated TC Deal (Seq: 1)] - [TC Property Current Stage (Seq: 1)] - [TC Property Current Stage - User Defined Field Values (Seq: 1)] Development Budget Details - Architect Reimbursable Additional Design - Both]&gt;</t>
        </r>
      </text>
    </comment>
    <comment ref="J527" authorId="0" shapeId="0" xr:uid="{83EF3E75-9054-4767-AEEF-88FEECB82794}">
      <text>
        <r>
          <rPr>
            <b/>
            <sz val="9"/>
            <color indexed="81"/>
            <rFont val="Tahoma"/>
            <family val="2"/>
          </rPr>
          <t>&lt;[[DEVDeals] - [Budget Initial (Seq: 1)] SC Legal - Both]&gt;</t>
        </r>
      </text>
    </comment>
    <comment ref="R527" authorId="0" shapeId="0" xr:uid="{DAC7AF96-9FE6-45D3-BF89-BA8B4867A9F8}">
      <text>
        <r>
          <rPr>
            <b/>
            <sz val="9"/>
            <color indexed="81"/>
            <rFont val="Tahoma"/>
            <family val="2"/>
          </rPr>
          <t>&lt;[[DEVDeals] - [Associated TC Deal (Seq: 1)] - [TC Property Current Stage (Seq: 1)] - [Actual Property Costs (Seq: 1)] Closing Legal Fees - Both]&gt;</t>
        </r>
      </text>
    </comment>
    <comment ref="S527" authorId="0" shapeId="0" xr:uid="{51DDB457-7BCA-4DD7-B416-BD81070CCD52}">
      <text>
        <r>
          <rPr>
            <b/>
            <sz val="9"/>
            <color indexed="81"/>
            <rFont val="Tahoma"/>
            <family val="2"/>
          </rPr>
          <t>&lt;[[DEVDeals] - [Associated TC Deal (Seq: 1)] - [TC Property Current Stage (Seq: 1)] - [Acquisition Property Costs (Seq: 1)] Closing Legal Fees - Both]&gt;</t>
        </r>
      </text>
    </comment>
    <comment ref="T527" authorId="0" shapeId="0" xr:uid="{32354443-7C0C-4A10-BE3B-5196AE039E93}">
      <text>
        <r>
          <rPr>
            <b/>
            <sz val="9"/>
            <color indexed="81"/>
            <rFont val="Tahoma"/>
            <family val="2"/>
          </rPr>
          <t>&lt;[[DEVDeals] - [Associated TC Deal (Seq: 1)] - [TC Property Current Stage (Seq: 1)] - [4% Construction Property Costs (Seq: 1)] Closing Legal Fees - Both]&gt;</t>
        </r>
      </text>
    </comment>
    <comment ref="U527" authorId="0" shapeId="0" xr:uid="{B43F6562-A1AB-4241-8267-66595BFBBA88}">
      <text>
        <r>
          <rPr>
            <b/>
            <sz val="9"/>
            <color indexed="81"/>
            <rFont val="Tahoma"/>
            <family val="2"/>
          </rPr>
          <t>&lt;[[DEVDeals] - [Associated TC Deal (Seq: 1)] - [TC Property Current Stage (Seq: 1)] - [9% Construction Property Costs (Seq: 1)] Closing Legal Fees - Both]&gt;</t>
        </r>
      </text>
    </comment>
    <comment ref="J528" authorId="0" shapeId="0" xr:uid="{C1C74A14-500C-4469-BAF5-7DF8844DAFC8}">
      <text>
        <r>
          <rPr>
            <b/>
            <sz val="9"/>
            <color indexed="81"/>
            <rFont val="Tahoma"/>
            <family val="2"/>
          </rPr>
          <t>&lt;[[DEVDeals] - [Budget Initial (Seq: 1)] SC Design Engineering - Both]&gt;</t>
        </r>
      </text>
    </comment>
    <comment ref="N528" authorId="0" shapeId="0" xr:uid="{F812FF30-91D3-4F7A-8F5E-79C92EF21FF5}">
      <text>
        <r>
          <rPr>
            <b/>
            <sz val="9"/>
            <color indexed="81"/>
            <rFont val="Tahoma"/>
            <family val="2"/>
          </rPr>
          <t>&lt;[[DEVDeals] - [Budget Initial (Seq: 1)] - [Budget Initial - User Defined Field Values (Seq: 1)] Development Budget Details - Civil Engineering Design Fee - Both]&gt;</t>
        </r>
      </text>
    </comment>
    <comment ref="R528" authorId="0" shapeId="0" xr:uid="{665DD90A-D0E3-4120-B53D-1DC181046787}">
      <text>
        <r>
          <rPr>
            <b/>
            <sz val="9"/>
            <color indexed="81"/>
            <rFont val="Tahoma"/>
            <family val="2"/>
          </rPr>
          <t>&lt;[[DEVDeals] - [Associated TC Deal (Seq: 1)] - [TC Property Current Stage (Seq: 1)] - [Actual Property Costs (Seq: 1)] Engineering - Both]&gt;</t>
        </r>
      </text>
    </comment>
    <comment ref="S528" authorId="0" shapeId="0" xr:uid="{1E0907F2-00D3-491D-9571-15DE03846F82}">
      <text>
        <r>
          <rPr>
            <b/>
            <sz val="9"/>
            <color indexed="81"/>
            <rFont val="Tahoma"/>
            <family val="2"/>
          </rPr>
          <t>&lt;[[DEVDeals] - [Associated TC Deal (Seq: 1)] - [TC Property Current Stage (Seq: 1)] - [Acquisition Property Costs (Seq: 1)] Engineering - Both]&gt;</t>
        </r>
      </text>
    </comment>
    <comment ref="T528" authorId="0" shapeId="0" xr:uid="{CCF13439-7A3A-41D5-AA8B-7B50FBDA5BCB}">
      <text>
        <r>
          <rPr>
            <b/>
            <sz val="9"/>
            <color indexed="81"/>
            <rFont val="Tahoma"/>
            <family val="2"/>
          </rPr>
          <t>&lt;[[DEVDeals] - [Associated TC Deal (Seq: 1)] - [TC Property Current Stage (Seq: 1)] - [4% Construction Property Costs (Seq: 1)] Engineering - Both]&gt;</t>
        </r>
      </text>
    </comment>
    <comment ref="U528" authorId="0" shapeId="0" xr:uid="{11FF3D8F-A358-4E88-B89F-3B2A202E235B}">
      <text>
        <r>
          <rPr>
            <b/>
            <sz val="9"/>
            <color indexed="81"/>
            <rFont val="Tahoma"/>
            <family val="2"/>
          </rPr>
          <t>&lt;[[DEVDeals] - [Associated TC Deal (Seq: 1)] - [TC Property Current Stage (Seq: 1)] - [9% Construction Property Costs (Seq: 1)] Engineering - Both]&gt;</t>
        </r>
      </text>
    </comment>
    <comment ref="Z528" authorId="0" shapeId="0" xr:uid="{EE53085B-AADA-42AA-9170-9D0664A25A22}">
      <text>
        <r>
          <rPr>
            <b/>
            <sz val="9"/>
            <color indexed="81"/>
            <rFont val="Tahoma"/>
            <family val="2"/>
          </rPr>
          <t>&lt;[[DEVDeals] - [Associated TC Deal (Seq: 1)] - [TC Property Current Stage (Seq: 1)] - [TC Property Current Stage - User Defined Field Values (Seq: 1)] Development Budget Details - Civil Engineering Design Fee - Both]&gt;</t>
        </r>
      </text>
    </comment>
    <comment ref="N529" authorId="0" shapeId="0" xr:uid="{542E94D1-A8E2-48B4-B3EC-EEF3DD140255}">
      <text>
        <r>
          <rPr>
            <b/>
            <sz val="9"/>
            <color indexed="81"/>
            <rFont val="Tahoma"/>
            <family val="2"/>
          </rPr>
          <t>&lt;[[DEVDeals] - [Budget Initial (Seq: 1)] - [Budget Initial - User Defined Field Values (Seq: 1)] Development Budget Details - Civil Engineering Supervision Fee - Both]&gt;</t>
        </r>
      </text>
    </comment>
    <comment ref="Z529" authorId="0" shapeId="0" xr:uid="{613E454D-E2C1-48C5-8342-7197B0DFBECD}">
      <text>
        <r>
          <rPr>
            <b/>
            <sz val="9"/>
            <color indexed="81"/>
            <rFont val="Tahoma"/>
            <family val="2"/>
          </rPr>
          <t>&lt;[[DEVDeals] - [Associated TC Deal (Seq: 1)] - [TC Property Current Stage (Seq: 1)] - [TC Property Current Stage - User Defined Field Values (Seq: 1)] Development Budget Details - Civil Engineering Supervision Fee - Both]&gt;</t>
        </r>
      </text>
    </comment>
    <comment ref="J530" authorId="0" shapeId="0" xr:uid="{A874DAA9-FEA4-4220-A6BB-C0190D2EF03F}">
      <text>
        <r>
          <rPr>
            <b/>
            <sz val="9"/>
            <color indexed="81"/>
            <rFont val="Tahoma"/>
            <family val="2"/>
          </rPr>
          <t>&lt;[[DEVDeals] - [Budget Initial (Seq: 1)] SC Mrkt Gen Lease Up - Both]&gt;</t>
        </r>
      </text>
    </comment>
    <comment ref="R530" authorId="0" shapeId="0" xr:uid="{8360F003-32B0-4285-A454-0E211879D0A9}">
      <text>
        <r>
          <rPr>
            <b/>
            <sz val="9"/>
            <color indexed="81"/>
            <rFont val="Tahoma"/>
            <family val="2"/>
          </rPr>
          <t>&lt;[[DEVDeals] - [Associated TC Deal (Seq: 1)] - [TC Property Current Stage (Seq: 1)] - [Actual Property Costs (Seq: 1)] Acq Addl Cost 10 - Both]&gt;</t>
        </r>
      </text>
    </comment>
    <comment ref="S530" authorId="0" shapeId="0" xr:uid="{97729EA8-5D50-43AB-81BB-C404A1A204B6}">
      <text>
        <r>
          <rPr>
            <b/>
            <sz val="9"/>
            <color indexed="81"/>
            <rFont val="Tahoma"/>
            <family val="2"/>
          </rPr>
          <t>&lt;[[DEVDeals] - [Associated TC Deal (Seq: 1)] - [TC Property Current Stage (Seq: 1)] - [Acquisition Property Costs (Seq: 1)] Acq Addl Cost 10 - Both]&gt;</t>
        </r>
      </text>
    </comment>
    <comment ref="T530" authorId="0" shapeId="0" xr:uid="{27287D43-FB6A-4924-80AC-615E7E13B485}">
      <text>
        <r>
          <rPr>
            <b/>
            <sz val="9"/>
            <color indexed="81"/>
            <rFont val="Tahoma"/>
            <family val="2"/>
          </rPr>
          <t>&lt;[[DEVDeals] - [Associated TC Deal (Seq: 1)] - [TC Property Current Stage (Seq: 1)] - [4% Construction Property Costs (Seq: 1)] Rehab Addl Cost 10 - Both]&gt;</t>
        </r>
      </text>
    </comment>
    <comment ref="U530" authorId="0" shapeId="0" xr:uid="{B14991C3-18FD-42B0-AD0A-9D5678751428}">
      <text>
        <r>
          <rPr>
            <b/>
            <sz val="9"/>
            <color indexed="81"/>
            <rFont val="Tahoma"/>
            <family val="2"/>
          </rPr>
          <t>&lt;[[DEVDeals] - [Associated TC Deal (Seq: 1)] - [TC Property Current Stage (Seq: 1)] - [9% Construction Property Costs (Seq: 1)] Rehab Addl Cost 10 - Both]&gt;</t>
        </r>
      </text>
    </comment>
    <comment ref="V530" authorId="0" shapeId="0" xr:uid="{26936BC9-86FF-4FBF-A8CA-6EB7FAD80AB8}">
      <text>
        <r>
          <rPr>
            <b/>
            <sz val="9"/>
            <color indexed="81"/>
            <rFont val="Tahoma"/>
            <family val="2"/>
          </rPr>
          <t>&lt;[[DEVDeals] - [Associated TC Deal (Seq: 1)] - [TC Property Current Stage (Seq: 1)] Additional Costs10 - Both]&gt;</t>
        </r>
      </text>
    </comment>
    <comment ref="J531" authorId="0" shapeId="0" xr:uid="{09C79DF2-6AE9-406D-83EC-662896F1ADFC}">
      <text>
        <r>
          <rPr>
            <b/>
            <sz val="9"/>
            <color indexed="81"/>
            <rFont val="Tahoma"/>
            <family val="2"/>
          </rPr>
          <t>&lt;[[DEVDeals] - [Budget Initial (Seq: 1)] SC Other1 - Both]&gt;</t>
        </r>
      </text>
    </comment>
    <comment ref="N531" authorId="0" shapeId="0" xr:uid="{63DB8374-02A2-439C-9491-FF7304464925}">
      <text>
        <r>
          <rPr>
            <b/>
            <sz val="9"/>
            <color indexed="81"/>
            <rFont val="Tahoma"/>
            <family val="2"/>
          </rPr>
          <t>&lt;[[DEVDeals] - [Budget Initial (Seq: 1)] - [Budget Initial - User Defined Field Values (Seq: 1)] Development Budget Details - Fees - Other 1 - Both]&gt;</t>
        </r>
      </text>
    </comment>
    <comment ref="R531" authorId="0" shapeId="0" xr:uid="{1E534716-2FAD-4359-993D-E168F7C0F6A6}">
      <text>
        <r>
          <rPr>
            <b/>
            <sz val="9"/>
            <color indexed="81"/>
            <rFont val="Tahoma"/>
            <family val="2"/>
          </rPr>
          <t>&lt;[[DEVDeals] - [Associated TC Deal (Seq: 1)] - [TC Property Current Stage (Seq: 1)] - [Actual Property Costs (Seq: 1)] Acq Addl Cost 1 - Both]&gt;</t>
        </r>
      </text>
    </comment>
    <comment ref="S531" authorId="0" shapeId="0" xr:uid="{8DAF0A45-9B8C-4BB5-A925-7D883D471D71}">
      <text>
        <r>
          <rPr>
            <b/>
            <sz val="9"/>
            <color indexed="81"/>
            <rFont val="Tahoma"/>
            <family val="2"/>
          </rPr>
          <t>&lt;[[DEVDeals] - [Associated TC Deal (Seq: 1)] - [TC Property Current Stage (Seq: 1)] - [Acquisition Property Costs (Seq: 1)] Acq Addl Cost 1 - Both]&gt;</t>
        </r>
      </text>
    </comment>
    <comment ref="T531" authorId="0" shapeId="0" xr:uid="{CA790F0D-67B2-4442-90AE-5489CC623DEB}">
      <text>
        <r>
          <rPr>
            <b/>
            <sz val="9"/>
            <color indexed="81"/>
            <rFont val="Tahoma"/>
            <family val="2"/>
          </rPr>
          <t>&lt;[[DEVDeals] - [Associated TC Deal (Seq: 1)] - [TC Property Current Stage (Seq: 1)] - [4% Construction Property Costs (Seq: 1)] Rehab Addl Cost 1 - Both]&gt;</t>
        </r>
      </text>
    </comment>
    <comment ref="U531" authorId="0" shapeId="0" xr:uid="{2BC36628-C1FD-4A13-8CC4-92CEAA9C1704}">
      <text>
        <r>
          <rPr>
            <b/>
            <sz val="9"/>
            <color indexed="81"/>
            <rFont val="Tahoma"/>
            <family val="2"/>
          </rPr>
          <t>&lt;[[DEVDeals] - [Associated TC Deal (Seq: 1)] - [TC Property Current Stage (Seq: 1)] - [9% Construction Property Costs (Seq: 1)] Rehab Addl Cost 1 - Both]&gt;</t>
        </r>
      </text>
    </comment>
    <comment ref="V531" authorId="0" shapeId="0" xr:uid="{52F7838E-7FB6-408A-9165-8F35F397773C}">
      <text>
        <r>
          <rPr>
            <b/>
            <sz val="9"/>
            <color indexed="81"/>
            <rFont val="Tahoma"/>
            <family val="2"/>
          </rPr>
          <t>&lt;[[DEVDeals] - [Associated TC Deal (Seq: 1)] - [TC Property Current Stage (Seq: 1)] Additional Costs1 - Both]&gt;</t>
        </r>
      </text>
    </comment>
    <comment ref="Z531" authorId="0" shapeId="0" xr:uid="{BFCB3DEC-FA19-4C7D-A81F-BD688685AB97}">
      <text>
        <r>
          <rPr>
            <b/>
            <sz val="9"/>
            <color indexed="81"/>
            <rFont val="Tahoma"/>
            <family val="2"/>
          </rPr>
          <t>&lt;[[DEVDeals] - [Associated TC Deal (Seq: 1)] - [TC Property Current Stage (Seq: 1)] - [TC Property Current Stage - User Defined Field Values (Seq: 1)] Development Budget Details - Fees - Other 1 - Both]&gt;</t>
        </r>
      </text>
    </comment>
    <comment ref="J532" authorId="0" shapeId="0" xr:uid="{04C6C782-4EC2-4649-9008-D698177071F9}">
      <text>
        <r>
          <rPr>
            <b/>
            <sz val="9"/>
            <color indexed="81"/>
            <rFont val="Tahoma"/>
            <family val="2"/>
          </rPr>
          <t>&lt;[[DEVDeals] - [Budget Initial (Seq: 1)] SC Survey - Both]&gt;</t>
        </r>
      </text>
    </comment>
    <comment ref="Z532" authorId="0" shapeId="0" xr:uid="{37E467B4-D4A1-40F0-A0F4-3D49FF05949A}">
      <text>
        <r>
          <rPr>
            <b/>
            <sz val="9"/>
            <color indexed="81"/>
            <rFont val="Tahoma"/>
            <family val="2"/>
          </rPr>
          <t>&lt;[[DEVDeals] - [Associated TC Deal (Seq: 1)] - [TC Property Current Stage (Seq: 1)] - [TC Property Current Stage - User Defined Field Values (Seq: 1)] Development Budget Details - Surveys - Both]&gt;</t>
        </r>
      </text>
    </comment>
    <comment ref="J533" authorId="0" shapeId="0" xr:uid="{CDB664CE-AB9F-4A5B-876A-3EDAE911D2DE}">
      <text>
        <r>
          <rPr>
            <b/>
            <sz val="9"/>
            <color indexed="81"/>
            <rFont val="Tahoma"/>
            <family val="2"/>
          </rPr>
          <t>&lt;[[DEVDeals] - [Budget Initial (Seq: 1)] SC Soil Borings - Both]&gt;</t>
        </r>
      </text>
    </comment>
    <comment ref="R533" authorId="0" shapeId="0" xr:uid="{46D5D480-3A27-4B6F-8BEA-8D5E3A6A10E7}">
      <text>
        <r>
          <rPr>
            <b/>
            <sz val="9"/>
            <color indexed="81"/>
            <rFont val="Tahoma"/>
            <family val="2"/>
          </rPr>
          <t>&lt;[[DEVDeals] - [Associated TC Deal (Seq: 1)] - [TC Property Current Stage (Seq: 1)] - [Actual Property Costs (Seq: 1)] Soil Borings - Both]&gt;</t>
        </r>
      </text>
    </comment>
    <comment ref="S533" authorId="0" shapeId="0" xr:uid="{FF5026BD-5ABA-416E-92FC-359DEF86A158}">
      <text>
        <r>
          <rPr>
            <b/>
            <sz val="9"/>
            <color indexed="81"/>
            <rFont val="Tahoma"/>
            <family val="2"/>
          </rPr>
          <t>&lt;[[DEVDeals] - [Associated TC Deal (Seq: 1)] - [TC Property Current Stage (Seq: 1)] - [Acquisition Property Costs (Seq: 1)] Soil Borings - Both]&gt;</t>
        </r>
      </text>
    </comment>
    <comment ref="T533" authorId="0" shapeId="0" xr:uid="{A42443F1-ACFA-49AB-8207-23A43F89D039}">
      <text>
        <r>
          <rPr>
            <b/>
            <sz val="9"/>
            <color indexed="81"/>
            <rFont val="Tahoma"/>
            <family val="2"/>
          </rPr>
          <t>&lt;[[DEVDeals] - [Associated TC Deal (Seq: 1)] - [TC Property Current Stage (Seq: 1)] - [4% Construction Property Costs (Seq: 1)] Soil Borings - Both]&gt;</t>
        </r>
      </text>
    </comment>
    <comment ref="U533" authorId="0" shapeId="0" xr:uid="{BF8A8314-0E2B-40C6-94D5-FCDA5E39C2F6}">
      <text>
        <r>
          <rPr>
            <b/>
            <sz val="9"/>
            <color indexed="81"/>
            <rFont val="Tahoma"/>
            <family val="2"/>
          </rPr>
          <t>&lt;[[DEVDeals] - [Associated TC Deal (Seq: 1)] - [TC Property Current Stage (Seq: 1)] - [9% Construction Property Costs (Seq: 1)] Soil Borings - Both]&gt;</t>
        </r>
      </text>
    </comment>
    <comment ref="J534" authorId="0" shapeId="0" xr:uid="{5E8BCABB-9C85-47A1-B999-6DECEBD6A6AC}">
      <text>
        <r>
          <rPr>
            <b/>
            <sz val="9"/>
            <color indexed="81"/>
            <rFont val="Tahoma"/>
            <family val="2"/>
          </rPr>
          <t>&lt;[[DEVDeals] - [Budget Initial (Seq: 1)] SC Appraisal - Both]&gt;</t>
        </r>
      </text>
    </comment>
    <comment ref="R534" authorId="0" shapeId="0" xr:uid="{782751DA-B352-4AC6-B16A-4E086477B13C}">
      <text>
        <r>
          <rPr>
            <b/>
            <sz val="9"/>
            <color indexed="81"/>
            <rFont val="Tahoma"/>
            <family val="2"/>
          </rPr>
          <t>&lt;[[DEVDeals] - [Associated TC Deal (Seq: 1)] - [TC Property Current Stage (Seq: 1)] - [Actual Property Costs (Seq: 1)] Appraisal Fee - Both]&gt;</t>
        </r>
      </text>
    </comment>
    <comment ref="S534" authorId="0" shapeId="0" xr:uid="{DD36F5F1-B736-4B4C-8DA4-992E6A516532}">
      <text>
        <r>
          <rPr>
            <b/>
            <sz val="9"/>
            <color indexed="81"/>
            <rFont val="Tahoma"/>
            <family val="2"/>
          </rPr>
          <t>&lt;[[DEVDeals] - [Associated TC Deal (Seq: 1)] - [TC Property Current Stage (Seq: 1)] - [Acquisition Property Costs (Seq: 1)] Appraisal Fee - Both]&gt;</t>
        </r>
      </text>
    </comment>
    <comment ref="T534" authorId="0" shapeId="0" xr:uid="{28808AD7-E748-44D0-B0BD-497632CFDF28}">
      <text>
        <r>
          <rPr>
            <b/>
            <sz val="9"/>
            <color indexed="81"/>
            <rFont val="Tahoma"/>
            <family val="2"/>
          </rPr>
          <t>&lt;[[DEVDeals] - [Associated TC Deal (Seq: 1)] - [TC Property Current Stage (Seq: 1)] - [4% Construction Property Costs (Seq: 1)] Appraisal Fee - Both]&gt;</t>
        </r>
      </text>
    </comment>
    <comment ref="U534" authorId="0" shapeId="0" xr:uid="{2AAC23CC-4E9F-4329-9977-103BFD01A3A9}">
      <text>
        <r>
          <rPr>
            <b/>
            <sz val="9"/>
            <color indexed="81"/>
            <rFont val="Tahoma"/>
            <family val="2"/>
          </rPr>
          <t>&lt;[[DEVDeals] - [Associated TC Deal (Seq: 1)] - [TC Property Current Stage (Seq: 1)] - [9% Construction Property Costs (Seq: 1)] Appraisal Fee - Both]&gt;</t>
        </r>
      </text>
    </comment>
    <comment ref="J535" authorId="0" shapeId="0" xr:uid="{EAA1EC42-DACE-4B73-A312-59D0FC3534A6}">
      <text>
        <r>
          <rPr>
            <b/>
            <sz val="9"/>
            <color indexed="81"/>
            <rFont val="Tahoma"/>
            <family val="2"/>
          </rPr>
          <t>&lt;[[DEVDeals] - [Budget Initial (Seq: 1)] SC Market Study - Both]&gt;</t>
        </r>
      </text>
    </comment>
    <comment ref="R535" authorId="0" shapeId="0" xr:uid="{63AA8A5B-4C72-44A0-81EB-8D1E383E3809}">
      <text>
        <r>
          <rPr>
            <b/>
            <sz val="9"/>
            <color indexed="81"/>
            <rFont val="Tahoma"/>
            <family val="2"/>
          </rPr>
          <t>&lt;[[DEVDeals] - [Associated TC Deal (Seq: 1)] - [TC Property Current Stage (Seq: 1)] - [Actual Property Costs (Seq: 1)] Market Study - Both]&gt;</t>
        </r>
      </text>
    </comment>
    <comment ref="S535" authorId="0" shapeId="0" xr:uid="{E118D199-F1B5-4BAC-AC84-31C7D3B3B8C4}">
      <text>
        <r>
          <rPr>
            <b/>
            <sz val="9"/>
            <color indexed="81"/>
            <rFont val="Tahoma"/>
            <family val="2"/>
          </rPr>
          <t>&lt;[[DEVDeals] - [Associated TC Deal (Seq: 1)] - [TC Property Current Stage (Seq: 1)] - [Acquisition Property Costs (Seq: 1)] Market Study - Both]&gt;</t>
        </r>
      </text>
    </comment>
    <comment ref="T535" authorId="0" shapeId="0" xr:uid="{926BF86D-2D2A-495B-A551-F28275995B04}">
      <text>
        <r>
          <rPr>
            <b/>
            <sz val="9"/>
            <color indexed="81"/>
            <rFont val="Tahoma"/>
            <family val="2"/>
          </rPr>
          <t>&lt;[[DEVDeals] - [Associated TC Deal (Seq: 1)] - [TC Property Current Stage (Seq: 1)] - [4% Construction Property Costs (Seq: 1)] Market Study - Both]&gt;</t>
        </r>
      </text>
    </comment>
    <comment ref="U535" authorId="0" shapeId="0" xr:uid="{DDD1751F-5A5B-4C3A-BD30-E20119BBD690}">
      <text>
        <r>
          <rPr>
            <b/>
            <sz val="9"/>
            <color indexed="81"/>
            <rFont val="Tahoma"/>
            <family val="2"/>
          </rPr>
          <t>&lt;[[DEVDeals] - [Associated TC Deal (Seq: 1)] - [TC Property Current Stage (Seq: 1)] - [9% Construction Property Costs (Seq: 1)] Market Study - Both]&gt;</t>
        </r>
      </text>
    </comment>
    <comment ref="J536" authorId="0" shapeId="0" xr:uid="{338A50A4-1C81-4770-AEC6-6ACECDB23D55}">
      <text>
        <r>
          <rPr>
            <b/>
            <sz val="9"/>
            <color indexed="81"/>
            <rFont val="Tahoma"/>
            <family val="2"/>
          </rPr>
          <t>&lt;[[DEVDeals] - [Budget Initial (Seq: 1)] SC Environmental - Both]&gt;</t>
        </r>
      </text>
    </comment>
    <comment ref="N536" authorId="0" shapeId="0" xr:uid="{8FB3B545-A3FD-4DCF-BC26-AC73D03B36B8}">
      <text>
        <r>
          <rPr>
            <b/>
            <sz val="9"/>
            <color indexed="81"/>
            <rFont val="Tahoma"/>
            <family val="2"/>
          </rPr>
          <t>&lt;[[DEVDeals] - [Budget Initial (Seq: 1)] - [Budget Initial - User Defined Field Values (Seq: 1)] Development Budget Details - Environmental Report - Both]&gt;</t>
        </r>
      </text>
    </comment>
    <comment ref="R536" authorId="0" shapeId="0" xr:uid="{ADCC4FB0-1FC2-450B-B91E-13F3150B4D7D}">
      <text>
        <r>
          <rPr>
            <b/>
            <sz val="9"/>
            <color indexed="81"/>
            <rFont val="Tahoma"/>
            <family val="2"/>
          </rPr>
          <t>&lt;[[DEVDeals] - [Associated TC Deal (Seq: 1)] - [TC Property Current Stage (Seq: 1)] - [Actual Property Costs (Seq: 1)] Enviro Study - Both]&gt;</t>
        </r>
      </text>
    </comment>
    <comment ref="S536" authorId="0" shapeId="0" xr:uid="{6EEA793F-B02C-457F-9D70-61EDE838B249}">
      <text>
        <r>
          <rPr>
            <b/>
            <sz val="9"/>
            <color indexed="81"/>
            <rFont val="Tahoma"/>
            <family val="2"/>
          </rPr>
          <t>&lt;[[DEVDeals] - [Associated TC Deal (Seq: 1)] - [TC Property Current Stage (Seq: 1)] - [Acquisition Property Costs (Seq: 1)] Enviro Study - Both]&gt;</t>
        </r>
      </text>
    </comment>
    <comment ref="T536" authorId="0" shapeId="0" xr:uid="{9A946899-1537-48EC-AD3E-D2C21B16E95C}">
      <text>
        <r>
          <rPr>
            <b/>
            <sz val="9"/>
            <color indexed="81"/>
            <rFont val="Tahoma"/>
            <family val="2"/>
          </rPr>
          <t>&lt;[[DEVDeals] - [Associated TC Deal (Seq: 1)] - [TC Property Current Stage (Seq: 1)] - [4% Construction Property Costs (Seq: 1)] Enviro Study - Both]&gt;</t>
        </r>
      </text>
    </comment>
    <comment ref="U536" authorId="0" shapeId="0" xr:uid="{A65D550F-AAD3-47DB-9D68-7DAB8E608446}">
      <text>
        <r>
          <rPr>
            <b/>
            <sz val="9"/>
            <color indexed="81"/>
            <rFont val="Tahoma"/>
            <family val="2"/>
          </rPr>
          <t>&lt;[[DEVDeals] - [Associated TC Deal (Seq: 1)] - [TC Property Current Stage (Seq: 1)] - [9% Construction Property Costs (Seq: 1)] Enviro Study - Both]&gt;</t>
        </r>
      </text>
    </comment>
    <comment ref="Z536" authorId="0" shapeId="0" xr:uid="{C7CA7EA5-CBF9-4072-B466-E649C616F7B3}">
      <text>
        <r>
          <rPr>
            <b/>
            <sz val="9"/>
            <color indexed="81"/>
            <rFont val="Tahoma"/>
            <family val="2"/>
          </rPr>
          <t>&lt;[[DEVDeals] - [Associated TC Deal (Seq: 1)] - [TC Property Current Stage (Seq: 1)] - [TC Property Current Stage - User Defined Field Values (Seq: 1)] Development Budget Details - Environmental Report - Both]&gt;</t>
        </r>
      </text>
    </comment>
    <comment ref="N537" authorId="0" shapeId="0" xr:uid="{9B68F08B-A2ED-43A0-BEAD-5F86F7DCFA7E}">
      <text>
        <r>
          <rPr>
            <b/>
            <sz val="9"/>
            <color indexed="81"/>
            <rFont val="Tahoma"/>
            <family val="2"/>
          </rPr>
          <t>&lt;[[DEVDeals] - [Budget Initial (Seq: 1)] - [Budget Initial - User Defined Field Values (Seq: 1)] Development Budget Details - Environmental Consultant - Both]&gt;</t>
        </r>
      </text>
    </comment>
    <comment ref="Z537" authorId="0" shapeId="0" xr:uid="{5B13BBA6-97B0-4E1D-A2CD-57F96D70D016}">
      <text>
        <r>
          <rPr>
            <b/>
            <sz val="9"/>
            <color indexed="81"/>
            <rFont val="Tahoma"/>
            <family val="2"/>
          </rPr>
          <t>&lt;[[DEVDeals] - [Associated TC Deal (Seq: 1)] - [TC Property Current Stage (Seq: 1)] - [TC Property Current Stage - User Defined Field Values (Seq: 1)] Development Budget Details - Environmental Consultant - Both]&gt;</t>
        </r>
      </text>
    </comment>
    <comment ref="J538" authorId="0" shapeId="0" xr:uid="{39996173-8F18-4087-8E56-B0857D4596AD}">
      <text>
        <r>
          <rPr>
            <b/>
            <sz val="9"/>
            <color indexed="81"/>
            <rFont val="Tahoma"/>
            <family val="2"/>
          </rPr>
          <t>&lt;[[DEVDeals] - [Budget Initial (Seq: 1)] HC Building Permits - Both]&gt;</t>
        </r>
      </text>
    </comment>
    <comment ref="R538" authorId="0" shapeId="0" xr:uid="{70B785FE-FFB4-4422-87D6-7E2C49437D53}">
      <text>
        <r>
          <rPr>
            <b/>
            <sz val="9"/>
            <color indexed="81"/>
            <rFont val="Tahoma"/>
            <family val="2"/>
          </rPr>
          <t>&lt;[[DEVDeals] - [Associated TC Deal (Seq: 1)] - [TC Property Current Stage (Seq: 1)] - [Actual Property Costs (Seq: 1)] Building Permit - Both]&gt;</t>
        </r>
      </text>
    </comment>
    <comment ref="S538" authorId="0" shapeId="0" xr:uid="{EAEC2B66-A96E-4145-9421-92C8DA39286E}">
      <text>
        <r>
          <rPr>
            <b/>
            <sz val="9"/>
            <color indexed="81"/>
            <rFont val="Tahoma"/>
            <family val="2"/>
          </rPr>
          <t>&lt;[[DEVDeals] - [Associated TC Deal (Seq: 1)] - [TC Property Current Stage (Seq: 1)] - [Acquisition Property Costs (Seq: 1)] Building Permit - Both]&gt;</t>
        </r>
      </text>
    </comment>
    <comment ref="T538" authorId="0" shapeId="0" xr:uid="{1D7910AB-4D0A-400E-865C-4B84511CF7DC}">
      <text>
        <r>
          <rPr>
            <b/>
            <sz val="9"/>
            <color indexed="81"/>
            <rFont val="Tahoma"/>
            <family val="2"/>
          </rPr>
          <t>&lt;[[DEVDeals] - [Associated TC Deal (Seq: 1)] - [TC Property Current Stage (Seq: 1)] - [4% Construction Property Costs (Seq: 1)] Building Permit - Both]&gt;</t>
        </r>
      </text>
    </comment>
    <comment ref="U538" authorId="0" shapeId="0" xr:uid="{980F66A5-A33D-4C68-A746-0F86A7A7BAFA}">
      <text>
        <r>
          <rPr>
            <b/>
            <sz val="9"/>
            <color indexed="81"/>
            <rFont val="Tahoma"/>
            <family val="2"/>
          </rPr>
          <t>&lt;[[DEVDeals] - [Associated TC Deal (Seq: 1)] - [TC Property Current Stage (Seq: 1)] - [9% Construction Property Costs (Seq: 1)] Building Permit - Both]&gt;</t>
        </r>
      </text>
    </comment>
    <comment ref="J539" authorId="0" shapeId="0" xr:uid="{A7A883A0-2F84-4F4B-A515-1916A45249B4}">
      <text>
        <r>
          <rPr>
            <b/>
            <sz val="9"/>
            <color indexed="81"/>
            <rFont val="Tahoma"/>
            <family val="2"/>
          </rPr>
          <t>&lt;[[DEVDeals] - [Budget Initial (Seq: 1)] SC Tap Fees - Both]&gt;</t>
        </r>
      </text>
    </comment>
    <comment ref="R539" authorId="0" shapeId="0" xr:uid="{CA98A2B4-9F20-42D1-ACEA-540D988EC207}">
      <text>
        <r>
          <rPr>
            <b/>
            <sz val="9"/>
            <color indexed="81"/>
            <rFont val="Tahoma"/>
            <family val="2"/>
          </rPr>
          <t>&lt;[[DEVDeals] - [Associated TC Deal (Seq: 1)] - [TC Property Current Stage (Seq: 1)] - [Actual Property Costs (Seq: 1)] Tap Fees - Both]&gt;</t>
        </r>
      </text>
    </comment>
    <comment ref="S539" authorId="0" shapeId="0" xr:uid="{55C46D03-EB61-4E8D-85BF-77D444BA7234}">
      <text>
        <r>
          <rPr>
            <b/>
            <sz val="9"/>
            <color indexed="81"/>
            <rFont val="Tahoma"/>
            <family val="2"/>
          </rPr>
          <t>&lt;[[DEVDeals] - [Associated TC Deal (Seq: 1)] - [TC Property Current Stage (Seq: 1)] - [Acquisition Property Costs (Seq: 1)] Tap Fees - Both]&gt;</t>
        </r>
      </text>
    </comment>
    <comment ref="T539" authorId="0" shapeId="0" xr:uid="{F85C104C-253B-4F0E-B332-23D199CA96BF}">
      <text>
        <r>
          <rPr>
            <b/>
            <sz val="9"/>
            <color indexed="81"/>
            <rFont val="Tahoma"/>
            <family val="2"/>
          </rPr>
          <t>&lt;[[DEVDeals] - [Associated TC Deal (Seq: 1)] - [TC Property Current Stage (Seq: 1)] - [4% Construction Property Costs (Seq: 1)] Tap Fees - Both]&gt;</t>
        </r>
      </text>
    </comment>
    <comment ref="U539" authorId="0" shapeId="0" xr:uid="{AE03F315-A59E-47BE-B5EB-A50C1E170EAA}">
      <text>
        <r>
          <rPr>
            <b/>
            <sz val="9"/>
            <color indexed="81"/>
            <rFont val="Tahoma"/>
            <family val="2"/>
          </rPr>
          <t>&lt;[[DEVDeals] - [Associated TC Deal (Seq: 1)] - [TC Property Current Stage (Seq: 1)] - [9% Construction Property Costs (Seq: 1)] Tap Fees - Both]&gt;</t>
        </r>
      </text>
    </comment>
    <comment ref="J540" authorId="0" shapeId="0" xr:uid="{1045D2DD-C3E2-4E48-A8D0-551427FC6D95}">
      <text>
        <r>
          <rPr>
            <b/>
            <sz val="9"/>
            <color indexed="81"/>
            <rFont val="Tahoma"/>
            <family val="2"/>
          </rPr>
          <t>&lt;[[DEVDeals] - [Budget Initial (Seq: 1)] SC Furn Fixt Equip - Both]&gt;</t>
        </r>
      </text>
    </comment>
    <comment ref="R540" authorId="0" shapeId="0" xr:uid="{FE098B9B-6D29-4311-8EF1-7417DE1DB8AB}">
      <text>
        <r>
          <rPr>
            <b/>
            <sz val="9"/>
            <color indexed="81"/>
            <rFont val="Tahoma"/>
            <family val="2"/>
          </rPr>
          <t>&lt;[[DEVDeals] - [Associated TC Deal (Seq: 1)] - [TC Property Current Stage (Seq: 1)] - [Actual Property Costs (Seq: 1)] Special Equipment - Both]&gt;</t>
        </r>
      </text>
    </comment>
    <comment ref="S540" authorId="0" shapeId="0" xr:uid="{5B05634C-81C7-47ED-886E-0217D0B189AE}">
      <text>
        <r>
          <rPr>
            <b/>
            <sz val="9"/>
            <color indexed="81"/>
            <rFont val="Tahoma"/>
            <family val="2"/>
          </rPr>
          <t>&lt;[[DEVDeals] - [Associated TC Deal (Seq: 1)] - [TC Property Current Stage (Seq: 1)] - [Acquisition Property Costs (Seq: 1)] Special Equipment - Both]&gt;</t>
        </r>
      </text>
    </comment>
    <comment ref="T540" authorId="0" shapeId="0" xr:uid="{5701291A-7049-4B60-8D5D-B122D595F900}">
      <text>
        <r>
          <rPr>
            <b/>
            <sz val="9"/>
            <color indexed="81"/>
            <rFont val="Tahoma"/>
            <family val="2"/>
          </rPr>
          <t>&lt;[[DEVDeals] - [Associated TC Deal (Seq: 1)] - [TC Property Current Stage (Seq: 1)] - [4% Construction Property Costs (Seq: 1)] Special Equipment - Both]&gt;</t>
        </r>
      </text>
    </comment>
    <comment ref="U540" authorId="0" shapeId="0" xr:uid="{4C625323-394D-4110-8F6A-35114F4B277A}">
      <text>
        <r>
          <rPr>
            <b/>
            <sz val="9"/>
            <color indexed="81"/>
            <rFont val="Tahoma"/>
            <family val="2"/>
          </rPr>
          <t>&lt;[[DEVDeals] - [Associated TC Deal (Seq: 1)] - [TC Property Current Stage (Seq: 1)] - [9% Construction Property Costs (Seq: 1)] Special Equipment - Both]&gt;</t>
        </r>
      </text>
    </comment>
    <comment ref="J541" authorId="0" shapeId="0" xr:uid="{5703A565-3B17-4827-A716-425C3594A8FC}">
      <text>
        <r>
          <rPr>
            <b/>
            <sz val="9"/>
            <color indexed="81"/>
            <rFont val="Tahoma"/>
            <family val="2"/>
          </rPr>
          <t>&lt;[[DEVDeals] - [Budget Initial (Seq: 1)] SC Consultants - Both]&gt;</t>
        </r>
      </text>
    </comment>
    <comment ref="N541" authorId="0" shapeId="0" xr:uid="{C35E0094-F099-4E88-B1AF-963458D5D046}">
      <text>
        <r>
          <rPr>
            <b/>
            <sz val="9"/>
            <color indexed="81"/>
            <rFont val="Tahoma"/>
            <family val="2"/>
          </rPr>
          <t>&lt;[[DEVDeals] - [Budget Initial (Seq: 1)] - [Budget Initial - User Defined Field Values (Seq: 1)] Development Budget Details - Accessibility Consultant Design Fee - Both]&gt;</t>
        </r>
      </text>
    </comment>
    <comment ref="R541" authorId="0" shapeId="0" xr:uid="{3D30998C-2246-455B-A02B-03262FE7C87D}">
      <text>
        <r>
          <rPr>
            <b/>
            <sz val="9"/>
            <color indexed="81"/>
            <rFont val="Tahoma"/>
            <family val="2"/>
          </rPr>
          <t>&lt;[[DEVDeals] - [Associated TC Deal (Seq: 1)] - [TC Property Current Stage (Seq: 1)] - [Actual Property Costs (Seq: 1)] Acq Addl Cost 11 - Both]&gt;</t>
        </r>
      </text>
    </comment>
    <comment ref="S541" authorId="0" shapeId="0" xr:uid="{45CF7178-A51C-4763-BB4B-1DE26B05A190}">
      <text>
        <r>
          <rPr>
            <b/>
            <sz val="9"/>
            <color indexed="81"/>
            <rFont val="Tahoma"/>
            <family val="2"/>
          </rPr>
          <t>&lt;[[DEVDeals] - [Associated TC Deal (Seq: 1)] - [TC Property Current Stage (Seq: 1)] - [Acquisition Property Costs (Seq: 1)] Acq Addl Cost 11 - Both]&gt;</t>
        </r>
      </text>
    </comment>
    <comment ref="T541" authorId="0" shapeId="0" xr:uid="{D6C5B725-6E6C-4A32-BA85-19B0F08B9159}">
      <text>
        <r>
          <rPr>
            <b/>
            <sz val="9"/>
            <color indexed="81"/>
            <rFont val="Tahoma"/>
            <family val="2"/>
          </rPr>
          <t>&lt;[[DEVDeals] - [Associated TC Deal (Seq: 1)] - [TC Property Current Stage (Seq: 1)] - [4% Construction Property Costs (Seq: 1)] Rehab Addl Cost 11 - Both]&gt;</t>
        </r>
      </text>
    </comment>
    <comment ref="U541" authorId="0" shapeId="0" xr:uid="{05AF6CD0-6BF6-49E5-A12C-77D112679339}">
      <text>
        <r>
          <rPr>
            <b/>
            <sz val="9"/>
            <color indexed="81"/>
            <rFont val="Tahoma"/>
            <family val="2"/>
          </rPr>
          <t>&lt;[[DEVDeals] - [Associated TC Deal (Seq: 1)] - [TC Property Current Stage (Seq: 1)] - [9% Construction Property Costs (Seq: 1)] Rehab Addl Cost 11 - Both]&gt;</t>
        </r>
      </text>
    </comment>
    <comment ref="V541" authorId="0" shapeId="0" xr:uid="{3ED39A05-5EF7-4472-B115-8C774F2D688A}">
      <text>
        <r>
          <rPr>
            <b/>
            <sz val="9"/>
            <color indexed="81"/>
            <rFont val="Tahoma"/>
            <family val="2"/>
          </rPr>
          <t>&lt;[[DEVDeals] - [Associated TC Deal (Seq: 1)] - [TC Property Current Stage (Seq: 1)] Additional Costs11 - Both]&gt;</t>
        </r>
      </text>
    </comment>
    <comment ref="Z541" authorId="0" shapeId="0" xr:uid="{088B8CCA-E99B-43AB-BAE9-A576ADBDFE72}">
      <text>
        <r>
          <rPr>
            <b/>
            <sz val="9"/>
            <color indexed="81"/>
            <rFont val="Tahoma"/>
            <family val="2"/>
          </rPr>
          <t>&lt;[[DEVDeals] - [Associated TC Deal (Seq: 1)] - [TC Property Current Stage (Seq: 1)] - [TC Property Current Stage - User Defined Field Values (Seq: 1)] Development Budget Details - Accessibility Consultant - Both]&gt;</t>
        </r>
      </text>
    </comment>
    <comment ref="N542" authorId="0" shapeId="0" xr:uid="{C37E5036-8849-4FD4-9D1E-65A4AA993317}">
      <text>
        <r>
          <rPr>
            <b/>
            <sz val="9"/>
            <color indexed="81"/>
            <rFont val="Tahoma"/>
            <family val="2"/>
          </rPr>
          <t>&lt;[[DEVDeals] - [Budget Initial (Seq: 1)] - [Budget Initial - User Defined Field Values (Seq: 1)] Development Budget Details - Accessibility Consultant Supervision Fee - Both]&gt;</t>
        </r>
      </text>
    </comment>
    <comment ref="Z542" authorId="0" shapeId="0" xr:uid="{3D175A77-E718-45B8-A140-A8F14EBFE62B}">
      <text>
        <r>
          <rPr>
            <b/>
            <sz val="9"/>
            <color indexed="81"/>
            <rFont val="Tahoma"/>
            <family val="2"/>
          </rPr>
          <t>&lt;[[DEVDeals] - [Associated TC Deal (Seq: 1)] - [TC Property Current Stage (Seq: 1)] - [TC Property Current Stage - User Defined Field Values (Seq: 1)] Development Budget Details - Accessibility Consultant Supervision Fee - Both]&gt;</t>
        </r>
      </text>
    </comment>
    <comment ref="N543" authorId="0" shapeId="0" xr:uid="{6CA9504B-1FAF-4048-A7D7-68C093C0EF07}">
      <text>
        <r>
          <rPr>
            <b/>
            <sz val="9"/>
            <color indexed="81"/>
            <rFont val="Tahoma"/>
            <family val="2"/>
          </rPr>
          <t>&lt;[[DEVDeals] - [Budget Initial (Seq: 1)] - [Budget Initial - User Defined Field Values (Seq: 1)] Development Budget Details - Green Consultant Design Fee - Both]&gt;</t>
        </r>
      </text>
    </comment>
    <comment ref="Z543" authorId="0" shapeId="0" xr:uid="{23F36244-4CF5-46FC-80C0-5161B555921D}">
      <text>
        <r>
          <rPr>
            <b/>
            <sz val="9"/>
            <color indexed="81"/>
            <rFont val="Tahoma"/>
            <family val="2"/>
          </rPr>
          <t>&lt;[[DEVDeals] - [Associated TC Deal (Seq: 1)] - [TC Property Current Stage (Seq: 1)] - [TC Property Current Stage - User Defined Field Values (Seq: 1)] Development Budget Details - Green Consultant - Both]&gt;</t>
        </r>
      </text>
    </comment>
    <comment ref="N544" authorId="0" shapeId="0" xr:uid="{0AF263A9-39AB-4184-8DC2-D876141372E8}">
      <text>
        <r>
          <rPr>
            <b/>
            <sz val="9"/>
            <color indexed="81"/>
            <rFont val="Tahoma"/>
            <family val="2"/>
          </rPr>
          <t>&lt;[[DEVDeals] - [Budget Initial (Seq: 1)] - [Budget Initial - User Defined Field Values (Seq: 1)] Development Budget Details - Green Consultant Supervision Fee - Both]&gt;</t>
        </r>
      </text>
    </comment>
    <comment ref="Z544" authorId="0" shapeId="0" xr:uid="{83D8000D-F136-4C89-871F-BFD593117A31}">
      <text>
        <r>
          <rPr>
            <b/>
            <sz val="9"/>
            <color indexed="81"/>
            <rFont val="Tahoma"/>
            <family val="2"/>
          </rPr>
          <t>&lt;[[DEVDeals] - [Associated TC Deal (Seq: 1)] - [TC Property Current Stage (Seq: 1)] - [TC Property Current Stage - User Defined Field Values (Seq: 1)] Development Budget Details - Green Consultant Supervision Fee - Both]&gt;</t>
        </r>
      </text>
    </comment>
    <comment ref="N545" authorId="0" shapeId="0" xr:uid="{F84F3738-144B-417B-A4A9-27920906C83B}">
      <text>
        <r>
          <rPr>
            <b/>
            <sz val="9"/>
            <color indexed="81"/>
            <rFont val="Tahoma"/>
            <family val="2"/>
          </rPr>
          <t>&lt;[[DEVDeals] - [Budget Initial (Seq: 1)] - [Budget Initial - User Defined Field Values (Seq: 1)] Development Budget Details - Offsite Infrastructure - Both]&gt;</t>
        </r>
      </text>
    </comment>
    <comment ref="Z545" authorId="0" shapeId="0" xr:uid="{60F2FC68-2158-414C-9E46-A00FD61B6C4F}">
      <text>
        <r>
          <rPr>
            <b/>
            <sz val="9"/>
            <color indexed="81"/>
            <rFont val="Tahoma"/>
            <family val="2"/>
          </rPr>
          <t>&lt;[[DEVDeals] - [Associated TC Deal (Seq: 1)] - [TC Property Current Stage (Seq: 1)] - [TC Property Current Stage - User Defined Field Values (Seq: 1)] Development Budget Details - Offsite Infrastructure - Both]&gt;</t>
        </r>
      </text>
    </comment>
    <comment ref="N546" authorId="0" shapeId="0" xr:uid="{48F9DD8F-0FCA-45B5-B795-27D78DA42F96}">
      <text>
        <r>
          <rPr>
            <b/>
            <sz val="9"/>
            <color indexed="81"/>
            <rFont val="Tahoma"/>
            <family val="2"/>
          </rPr>
          <t>&lt;[[DEVDeals] - [Budget Initial (Seq: 1)] - [Budget Initial - User Defined Field Values (Seq: 1)] Development Budget Details - Solar Installation - Both]&gt;</t>
        </r>
      </text>
    </comment>
    <comment ref="Z546" authorId="0" shapeId="0" xr:uid="{8FD8BBFC-D707-41D2-AD82-00535A2F5E76}">
      <text>
        <r>
          <rPr>
            <b/>
            <sz val="9"/>
            <color indexed="81"/>
            <rFont val="Tahoma"/>
            <family val="2"/>
          </rPr>
          <t>&lt;[[DEVDeals] - [Associated TC Deal (Seq: 1)] - [TC Property Current Stage (Seq: 1)] - [TC Property Current Stage - User Defined Field Values (Seq: 1)] Development Budget Details - Solar Installation - Both]&gt;</t>
        </r>
      </text>
    </comment>
    <comment ref="N547" authorId="0" shapeId="0" xr:uid="{93026348-265D-4CBE-ACB3-9237E312B939}">
      <text>
        <r>
          <rPr>
            <b/>
            <sz val="9"/>
            <color indexed="81"/>
            <rFont val="Tahoma"/>
            <family val="2"/>
          </rPr>
          <t>&lt;[[DEVDeals] - [Budget Initial (Seq: 1)] - [Budget Initial - User Defined Field Values (Seq: 1)] Development Budget Details - Fees - Other 2 - Both]&gt;</t>
        </r>
      </text>
    </comment>
    <comment ref="Z547" authorId="0" shapeId="0" xr:uid="{E041170D-24F9-4965-8FCF-5DC8E9BB01CD}">
      <text>
        <r>
          <rPr>
            <b/>
            <sz val="9"/>
            <color indexed="81"/>
            <rFont val="Tahoma"/>
            <family val="2"/>
          </rPr>
          <t>&lt;[[DEVDeals] - [Associated TC Deal (Seq: 1)] - [TC Property Current Stage (Seq: 1)] - [TC Property Current Stage - User Defined Field Values (Seq: 1)] Development Budget Details - Fees - Other 2 - Both]&gt;</t>
        </r>
      </text>
    </comment>
    <comment ref="N548" authorId="0" shapeId="0" xr:uid="{339F8BCD-2CDB-4076-AC0A-B34500FF0AED}">
      <text>
        <r>
          <rPr>
            <b/>
            <sz val="9"/>
            <color indexed="81"/>
            <rFont val="Tahoma"/>
            <family val="2"/>
          </rPr>
          <t>&lt;[[DEVDeals] - [Budget Initial (Seq: 1)] - [Budget Initial - User Defined Field Values (Seq: 1)] Development Budget Details - Fees - Other 3 - Both]&gt;</t>
        </r>
      </text>
    </comment>
    <comment ref="Z548" authorId="0" shapeId="0" xr:uid="{CF55CCC6-598F-4997-834E-21C00649BB2C}">
      <text>
        <r>
          <rPr>
            <b/>
            <sz val="9"/>
            <color indexed="81"/>
            <rFont val="Tahoma"/>
            <family val="2"/>
          </rPr>
          <t>&lt;[[DEVDeals] - [Associated TC Deal (Seq: 1)] - [TC Property Current Stage (Seq: 1)] - [TC Property Current Stage - User Defined Field Values (Seq: 1)] Development Budget Details - Fees - Other 3 - Both]&gt;</t>
        </r>
      </text>
    </comment>
    <comment ref="N549" authorId="0" shapeId="0" xr:uid="{9B8D8845-AA55-44EE-BD2E-98CC1A32F89D}">
      <text>
        <r>
          <rPr>
            <b/>
            <sz val="9"/>
            <color indexed="81"/>
            <rFont val="Tahoma"/>
            <family val="2"/>
          </rPr>
          <t>&lt;[[DEVDeals] - [Budget Initial (Seq: 1)] - [Budget Initial - User Defined Field Values (Seq: 1)] Development Budget Details - Fees - Other 4 - Both]&gt;</t>
        </r>
      </text>
    </comment>
    <comment ref="Z549" authorId="0" shapeId="0" xr:uid="{33902CD0-9034-438C-81B5-58A9CAA0E499}">
      <text>
        <r>
          <rPr>
            <b/>
            <sz val="9"/>
            <color indexed="81"/>
            <rFont val="Tahoma"/>
            <family val="2"/>
          </rPr>
          <t>&lt;[[DEVDeals] - [Associated TC Deal (Seq: 1)] - [TC Property Current Stage (Seq: 1)] - [TC Property Current Stage - User Defined Field Values (Seq: 1)] Development Budget Details - Fees - Other 4 - Both]&gt;</t>
        </r>
      </text>
    </comment>
    <comment ref="N550" authorId="0" shapeId="0" xr:uid="{22DDB05F-B2D0-4718-BD39-5A8F8CEA0466}">
      <text>
        <r>
          <rPr>
            <b/>
            <sz val="9"/>
            <color indexed="81"/>
            <rFont val="Tahoma"/>
            <family val="2"/>
          </rPr>
          <t>&lt;[[DEVDeals] - [Budget Initial (Seq: 1)] - [Budget Initial - User Defined Field Values (Seq: 1)] Development Budget Details - Fees - Other 5 - Both]&gt;</t>
        </r>
      </text>
    </comment>
    <comment ref="Z550" authorId="0" shapeId="0" xr:uid="{FF288F58-95B5-4228-BFDC-D6B480EA1541}">
      <text>
        <r>
          <rPr>
            <b/>
            <sz val="9"/>
            <color indexed="81"/>
            <rFont val="Tahoma"/>
            <family val="2"/>
          </rPr>
          <t>&lt;[[DEVDeals] - [Associated TC Deal (Seq: 1)] - [TC Property Current Stage (Seq: 1)] - [TC Property Current Stage - User Defined Field Values (Seq: 1)] Development Budget Details - Fees - Other 5 - Both]&gt;</t>
        </r>
      </text>
    </comment>
    <comment ref="N551" authorId="0" shapeId="0" xr:uid="{437F3592-03A6-4532-8E6E-07734C1C9436}">
      <text>
        <r>
          <rPr>
            <b/>
            <sz val="9"/>
            <color indexed="81"/>
            <rFont val="Tahoma"/>
            <family val="2"/>
          </rPr>
          <t>&lt;[[DEVDeals] - [Budget Initial (Seq: 1)] - [Budget Initial - User Defined Field Values (Seq: 1)] Development Budget Details - Fees - Other 6 - Both]&gt;</t>
        </r>
      </text>
    </comment>
    <comment ref="Z551" authorId="0" shapeId="0" xr:uid="{55015FB8-5CC0-49CF-8F65-2964B3EAD20D}">
      <text>
        <r>
          <rPr>
            <b/>
            <sz val="9"/>
            <color indexed="81"/>
            <rFont val="Tahoma"/>
            <family val="2"/>
          </rPr>
          <t>&lt;[[DEVDeals] - [Associated TC Deal (Seq: 1)] - [TC Property Current Stage (Seq: 1)] - [TC Property Current Stage - User Defined Field Values (Seq: 1)] Development Budget Details - Fees - Other 6 - Both]&gt;</t>
        </r>
      </text>
    </comment>
    <comment ref="N552" authorId="0" shapeId="0" xr:uid="{733467ED-3028-4B4D-866E-FDDCD38D849F}">
      <text>
        <r>
          <rPr>
            <b/>
            <sz val="9"/>
            <color indexed="81"/>
            <rFont val="Tahoma"/>
            <family val="2"/>
          </rPr>
          <t>&lt;[[DEVDeals] - [Budget Initial (Seq: 1)] - [Budget Initial - User Defined Field Values (Seq: 1)] Development Budget Details - Fees - Other 7 - Both]&gt;</t>
        </r>
      </text>
    </comment>
    <comment ref="Z552" authorId="0" shapeId="0" xr:uid="{0188C2E3-11AE-47CA-A2F6-6E0C33D94244}">
      <text>
        <r>
          <rPr>
            <b/>
            <sz val="9"/>
            <color indexed="81"/>
            <rFont val="Tahoma"/>
            <family val="2"/>
          </rPr>
          <t>&lt;[[DEVDeals] - [Associated TC Deal (Seq: 1)] - [TC Property Current Stage (Seq: 1)] - [TC Property Current Stage - User Defined Field Values (Seq: 1)] Development Budget Details - Fees - Other 7 - Both]&gt;</t>
        </r>
      </text>
    </comment>
    <comment ref="N553" authorId="0" shapeId="0" xr:uid="{4A9C62C5-9488-4A2B-8D32-7FA0C385D893}">
      <text>
        <r>
          <rPr>
            <b/>
            <sz val="9"/>
            <color indexed="81"/>
            <rFont val="Tahoma"/>
            <family val="2"/>
          </rPr>
          <t>&lt;[[DEVDeals] - [Budget Initial (Seq: 1)] - [Budget Initial - User Defined Field Values (Seq: 1)] Development Budget Details - Fees - Other 8 - Both]&gt;</t>
        </r>
      </text>
    </comment>
    <comment ref="Z553" authorId="0" shapeId="0" xr:uid="{7EA21B5F-FD07-4177-9C98-D4A1950342D9}">
      <text>
        <r>
          <rPr>
            <b/>
            <sz val="9"/>
            <color indexed="81"/>
            <rFont val="Tahoma"/>
            <family val="2"/>
          </rPr>
          <t>&lt;[[DEVDeals] - [Associated TC Deal (Seq: 1)] - [TC Property Current Stage (Seq: 1)] - [TC Property Current Stage - User Defined Field Values (Seq: 1)] Development Budget Details - Fees - Other 8 - Both]&gt;</t>
        </r>
      </text>
    </comment>
    <comment ref="N554" authorId="0" shapeId="0" xr:uid="{5600DCD1-1DDF-4BA3-961B-CC145E454FD0}">
      <text>
        <r>
          <rPr>
            <b/>
            <sz val="9"/>
            <color indexed="81"/>
            <rFont val="Tahoma"/>
            <family val="2"/>
          </rPr>
          <t>&lt;[[DEVDeals] - [Budget Initial (Seq: 1)] - [Budget Initial - User Defined Field Values (Seq: 1)] Development Budget Details - Fees - Other 9 - Both]&gt;</t>
        </r>
      </text>
    </comment>
    <comment ref="Z554" authorId="0" shapeId="0" xr:uid="{6B95ECE3-B73C-4107-9ACE-E61FFA5BBADC}">
      <text>
        <r>
          <rPr>
            <b/>
            <sz val="9"/>
            <color indexed="81"/>
            <rFont val="Tahoma"/>
            <family val="2"/>
          </rPr>
          <t>&lt;[[DEVDeals] - [Associated TC Deal (Seq: 1)] - [TC Property Current Stage (Seq: 1)] - [TC Property Current Stage - User Defined Field Values (Seq: 1)] Development Budget Details - Fees - Other 9 - Both]&gt;</t>
        </r>
      </text>
    </comment>
    <comment ref="N555" authorId="0" shapeId="0" xr:uid="{961E295C-FA68-48AE-9F4A-27158EE03DFF}">
      <text>
        <r>
          <rPr>
            <b/>
            <sz val="9"/>
            <color indexed="81"/>
            <rFont val="Tahoma"/>
            <family val="2"/>
          </rPr>
          <t>&lt;[[DEVDeals] - [Budget Initial (Seq: 1)] - [Budget Initial - User Defined Field Values (Seq: 1)] Development Budget Details - Fees - Other 10 - Both]&gt;</t>
        </r>
      </text>
    </comment>
    <comment ref="Z555" authorId="0" shapeId="0" xr:uid="{F0524ADB-C470-404A-8E09-A791DFC2B13D}">
      <text>
        <r>
          <rPr>
            <b/>
            <sz val="9"/>
            <color indexed="81"/>
            <rFont val="Tahoma"/>
            <family val="2"/>
          </rPr>
          <t>&lt;[[DEVDeals] - [Associated TC Deal (Seq: 1)] - [TC Property Current Stage (Seq: 1)] - [TC Property Current Stage - User Defined Field Values (Seq: 1)] Development Budget Details - Fees - Other 10 - Both]&gt;</t>
        </r>
      </text>
    </comment>
    <comment ref="N556" authorId="0" shapeId="0" xr:uid="{46DF744B-3DCD-43A4-8146-7AF139886394}">
      <text>
        <r>
          <rPr>
            <b/>
            <sz val="9"/>
            <color indexed="81"/>
            <rFont val="Tahoma"/>
            <family val="2"/>
          </rPr>
          <t>&lt;[[DEVDeals] - [Budget Initial (Seq: 1)] - [Budget Initial - User Defined Field Values (Seq: 1)] Development Budget Details - Fees - Other 11 - Both]&gt;</t>
        </r>
      </text>
    </comment>
    <comment ref="Z556" authorId="0" shapeId="0" xr:uid="{0AF12826-6142-4574-BB3F-8E49A401D10D}">
      <text>
        <r>
          <rPr>
            <b/>
            <sz val="9"/>
            <color indexed="81"/>
            <rFont val="Tahoma"/>
            <family val="2"/>
          </rPr>
          <t>&lt;[[DEVDeals] - [Associated TC Deal (Seq: 1)] - [TC Property Current Stage (Seq: 1)] - [TC Property Current Stage - User Defined Field Values (Seq: 1)] Development Budget Details - Fees - Other 11 - Both]&gt;</t>
        </r>
      </text>
    </comment>
    <comment ref="J557" authorId="0" shapeId="0" xr:uid="{213E3869-1202-4DFD-B6AE-D3CA084EF2D9}">
      <text>
        <r>
          <rPr>
            <b/>
            <sz val="9"/>
            <color indexed="81"/>
            <rFont val="Tahoma"/>
            <family val="2"/>
          </rPr>
          <t>&lt;[[DEVDeals] - [Budget Initial (Seq: 1)] SC Other1 Comments - Both]&gt;</t>
        </r>
      </text>
    </comment>
    <comment ref="N557" authorId="0" shapeId="0" xr:uid="{0592BF7D-2086-4691-A3F1-0AC0DB403A5E}">
      <text>
        <r>
          <rPr>
            <b/>
            <sz val="9"/>
            <color indexed="81"/>
            <rFont val="Tahoma"/>
            <family val="2"/>
          </rPr>
          <t>&lt;[[DEVDeals] - [Budget Initial (Seq: 1)] - [Budget Initial - User Defined Field Values (Seq: 1)] Development Budget Details - Fees - Other 1 Describe - Both]&gt;</t>
        </r>
      </text>
    </comment>
    <comment ref="Z557" authorId="0" shapeId="0" xr:uid="{6CE39B26-A6C7-47AE-9C36-707BCC897CCB}">
      <text>
        <r>
          <rPr>
            <b/>
            <sz val="9"/>
            <color indexed="81"/>
            <rFont val="Tahoma"/>
            <family val="2"/>
          </rPr>
          <t>&lt;[[DEVDeals] - [Associated TC Deal (Seq: 1)] - [TC Property Current Stage (Seq: 1)] - [TC Property Current Stage - User Defined Field Values (Seq: 1)] Development Budget Details - Fees - Other 1 Describe - Both]&gt;</t>
        </r>
      </text>
    </comment>
    <comment ref="N558" authorId="0" shapeId="0" xr:uid="{9EBE1E04-4F97-41DE-96DB-9EC7589EBEFA}">
      <text>
        <r>
          <rPr>
            <b/>
            <sz val="9"/>
            <color indexed="81"/>
            <rFont val="Tahoma"/>
            <family val="2"/>
          </rPr>
          <t>&lt;[[DEVDeals] - [Budget Initial (Seq: 1)] - [Budget Initial - User Defined Field Values (Seq: 1)] Development Budget Details - Fees - Other 2 Describe - Both]&gt;</t>
        </r>
      </text>
    </comment>
    <comment ref="Z558" authorId="0" shapeId="0" xr:uid="{82B5329B-8932-4F94-9444-DB421B4B66C8}">
      <text>
        <r>
          <rPr>
            <b/>
            <sz val="9"/>
            <color indexed="81"/>
            <rFont val="Tahoma"/>
            <family val="2"/>
          </rPr>
          <t>&lt;[[DEVDeals] - [Associated TC Deal (Seq: 1)] - [TC Property Current Stage (Seq: 1)] - [TC Property Current Stage - User Defined Field Values (Seq: 1)] Development Budget Details - Fees - Other 2 Describe - Both]&gt;</t>
        </r>
      </text>
    </comment>
    <comment ref="N559" authorId="0" shapeId="0" xr:uid="{4721194A-EBC5-4835-912B-4275D47716D9}">
      <text>
        <r>
          <rPr>
            <b/>
            <sz val="9"/>
            <color indexed="81"/>
            <rFont val="Tahoma"/>
            <family val="2"/>
          </rPr>
          <t>Tom Dang:
 &lt;[[DEVDeals] - [Budget Initial (Seq: 1)] - [Budget Initial - User Defined Field Values (Seq: 1)] Development Budget Details - Fees - Other 3 Describe - Both]&gt;</t>
        </r>
      </text>
    </comment>
    <comment ref="Z559" authorId="0" shapeId="0" xr:uid="{30797B78-B11B-4037-90D2-96F90CFD3FD1}">
      <text>
        <r>
          <rPr>
            <b/>
            <sz val="9"/>
            <color indexed="81"/>
            <rFont val="Tahoma"/>
            <family val="2"/>
          </rPr>
          <t>&lt;[[DEVDeals] - [Associated TC Deal (Seq: 1)] - [TC Property Current Stage (Seq: 1)] - [TC Property Current Stage - User Defined Field Values (Seq: 1)] Development Budget Details - Fees - Other 3 Describe - Both]&gt;</t>
        </r>
      </text>
    </comment>
    <comment ref="N560" authorId="0" shapeId="0" xr:uid="{47CE90C5-B7D4-4C0F-A348-4AE18A778A97}">
      <text>
        <r>
          <rPr>
            <b/>
            <sz val="9"/>
            <color indexed="81"/>
            <rFont val="Tahoma"/>
            <family val="2"/>
          </rPr>
          <t>Tom Dang:
 &lt;[[DEVDeals] - [Budget Initial (Seq: 1)] - [Budget Initial - User Defined Field Values (Seq: 1)] Development Budget Details - Fees - Other 4 Describe - Both]&gt;</t>
        </r>
      </text>
    </comment>
    <comment ref="Z560" authorId="0" shapeId="0" xr:uid="{7D31E173-4AEA-49C2-AFDF-9C3CE042A567}">
      <text>
        <r>
          <rPr>
            <b/>
            <sz val="9"/>
            <color indexed="81"/>
            <rFont val="Tahoma"/>
            <family val="2"/>
          </rPr>
          <t>&lt;[[DEVDeals] - [Associated TC Deal (Seq: 1)] - [TC Property Current Stage (Seq: 1)] - [TC Property Current Stage - User Defined Field Values (Seq: 1)] Development Budget Details - Fees - Other 4 Describe - Both]&gt;</t>
        </r>
      </text>
    </comment>
    <comment ref="N561" authorId="0" shapeId="0" xr:uid="{7CFF7CE4-39C2-4F49-BFC2-FB3807644C56}">
      <text>
        <r>
          <rPr>
            <b/>
            <sz val="9"/>
            <color indexed="81"/>
            <rFont val="Tahoma"/>
            <family val="2"/>
          </rPr>
          <t>Tom Dang:
 &lt;[[DEVDeals] - [Budget Initial (Seq: 1)] - [Budget Initial - User Defined Field Values (Seq: 1)] Development Budget Details - Fees - Other 5 Describe - Both]&gt;</t>
        </r>
      </text>
    </comment>
    <comment ref="Z561" authorId="0" shapeId="0" xr:uid="{9B954529-BFF7-44C1-90AF-86E25BD2D5D6}">
      <text>
        <r>
          <rPr>
            <b/>
            <sz val="9"/>
            <color indexed="81"/>
            <rFont val="Tahoma"/>
            <family val="2"/>
          </rPr>
          <t>&lt;[[DEVDeals] - [Associated TC Deal (Seq: 1)] - [TC Property Current Stage (Seq: 1)] - [TC Property Current Stage - User Defined Field Values (Seq: 1)] Development Budget Details - Fees - Other 5 Describe - Both]&gt;</t>
        </r>
      </text>
    </comment>
    <comment ref="N562" authorId="0" shapeId="0" xr:uid="{1FB5189D-BCE6-46B9-BEC2-967580FBA7DA}">
      <text>
        <r>
          <rPr>
            <b/>
            <sz val="9"/>
            <color indexed="81"/>
            <rFont val="Tahoma"/>
            <family val="2"/>
          </rPr>
          <t>Tom Dang:
 &lt;[[DEVDeals] - [Budget Initial (Seq: 1)] - [Budget Initial - User Defined Field Values (Seq: 1)] Development Budget Details - Fees - Other 6 Describe - Both]&gt;</t>
        </r>
      </text>
    </comment>
    <comment ref="Z562" authorId="0" shapeId="0" xr:uid="{19679C70-4D2E-4659-939B-B1F9AE9105AB}">
      <text>
        <r>
          <rPr>
            <b/>
            <sz val="9"/>
            <color indexed="81"/>
            <rFont val="Tahoma"/>
            <family val="2"/>
          </rPr>
          <t>&lt;[[DEVDeals] - [Associated TC Deal (Seq: 1)] - [TC Property Current Stage (Seq: 1)] - [TC Property Current Stage - User Defined Field Values (Seq: 1)] Development Budget Details - Fees - Other 6 Describe - Both]&gt;</t>
        </r>
      </text>
    </comment>
    <comment ref="N563" authorId="0" shapeId="0" xr:uid="{0ADDCBDB-FA2E-4B3D-9AB4-51CFA06BA595}">
      <text>
        <r>
          <rPr>
            <b/>
            <sz val="9"/>
            <color indexed="81"/>
            <rFont val="Tahoma"/>
            <family val="2"/>
          </rPr>
          <t>Tom Dang:
 &lt;[[DEVDeals] - [Budget Initial (Seq: 1)] - [Budget Initial - User Defined Field Values (Seq: 1)] Development Budget Details - Fees - Other 7 Describe - Both]&gt;</t>
        </r>
      </text>
    </comment>
    <comment ref="Z563" authorId="0" shapeId="0" xr:uid="{9B3C56F8-FEB1-41CA-97AF-4984151147E5}">
      <text>
        <r>
          <rPr>
            <b/>
            <sz val="9"/>
            <color indexed="81"/>
            <rFont val="Tahoma"/>
            <family val="2"/>
          </rPr>
          <t>&lt;[[DEVDeals] - [Associated TC Deal (Seq: 1)] - [TC Property Current Stage (Seq: 1)] - [TC Property Current Stage - User Defined Field Values (Seq: 1)] Development Budget Details - Fees - Other 7 Describe - Both]&gt;</t>
        </r>
      </text>
    </comment>
    <comment ref="N564" authorId="0" shapeId="0" xr:uid="{AFF244BC-5A72-4A24-B16D-D4CB9E0C28AE}">
      <text>
        <r>
          <rPr>
            <b/>
            <sz val="9"/>
            <color indexed="81"/>
            <rFont val="Tahoma"/>
            <family val="2"/>
          </rPr>
          <t>Tom Dang:
 &lt;[[DEVDeals] - [Budget Initial (Seq: 1)] - [Budget Initial - User Defined Field Values (Seq: 1)] Development Budget Details - Fees - Other 8 Describe - Both]&gt;</t>
        </r>
      </text>
    </comment>
    <comment ref="Z564" authorId="0" shapeId="0" xr:uid="{C7D75FE9-FDBF-45FD-AC8C-F1650747B18E}">
      <text>
        <r>
          <rPr>
            <b/>
            <sz val="9"/>
            <color indexed="81"/>
            <rFont val="Tahoma"/>
            <family val="2"/>
          </rPr>
          <t>&lt;[[DEVDeals] - [Associated TC Deal (Seq: 1)] - [TC Property Current Stage (Seq: 1)] - [TC Property Current Stage - User Defined Field Values (Seq: 1)] Development Budget Details - Fees - Other 8 Describe - Both]&gt;</t>
        </r>
      </text>
    </comment>
    <comment ref="N565" authorId="0" shapeId="0" xr:uid="{ADBFAA38-E32D-40B6-B055-1DFF2437DF60}">
      <text>
        <r>
          <rPr>
            <b/>
            <sz val="9"/>
            <color indexed="81"/>
            <rFont val="Tahoma"/>
            <family val="2"/>
          </rPr>
          <t>Tom Dang:
 &lt;[[DEVDeals] - [Budget Initial (Seq: 1)] - [Budget Initial - User Defined Field Values (Seq: 1)] Development Budget Details - Fees - Other 9 Describe - Both]&gt;</t>
        </r>
      </text>
    </comment>
    <comment ref="Z565" authorId="0" shapeId="0" xr:uid="{84BBB8FD-90FC-4C45-AF63-4BF67A0394AF}">
      <text>
        <r>
          <rPr>
            <b/>
            <sz val="9"/>
            <color indexed="81"/>
            <rFont val="Tahoma"/>
            <family val="2"/>
          </rPr>
          <t>&lt;[[DEVDeals] - [Associated TC Deal (Seq: 1)] - [TC Property Current Stage (Seq: 1)] - [TC Property Current Stage - User Defined Field Values (Seq: 1)] Development Budget Details - Fees - Other 9 Describe - Both]&gt;</t>
        </r>
      </text>
    </comment>
    <comment ref="N566" authorId="0" shapeId="0" xr:uid="{E07CAE94-A06D-4FB2-AEA3-6B616F01A3B3}">
      <text>
        <r>
          <rPr>
            <b/>
            <sz val="9"/>
            <color indexed="81"/>
            <rFont val="Tahoma"/>
            <family val="2"/>
          </rPr>
          <t>Tom Dang:
 &lt;[[DEVDeals] - [Budget Initial (Seq: 1)] - [Budget Initial - User Defined Field Values (Seq: 1)] Development Budget Details - Fees - Other 10 Describe - Both]&gt;</t>
        </r>
      </text>
    </comment>
    <comment ref="Z566" authorId="0" shapeId="0" xr:uid="{4725B61B-C574-4F29-AA30-0D9B12ACFB0F}">
      <text>
        <r>
          <rPr>
            <b/>
            <sz val="9"/>
            <color indexed="81"/>
            <rFont val="Tahoma"/>
            <family val="2"/>
          </rPr>
          <t>&lt;[[DEVDeals] - [Associated TC Deal (Seq: 1)] - [TC Property Current Stage (Seq: 1)] - [TC Property Current Stage - User Defined Field Values (Seq: 1)] Development Budget Details - Fees - Other 10 Describe - Both]&gt;</t>
        </r>
      </text>
    </comment>
    <comment ref="N567" authorId="0" shapeId="0" xr:uid="{0F6237D8-D149-418D-84E8-BF77F6ECD028}">
      <text>
        <r>
          <rPr>
            <b/>
            <sz val="9"/>
            <color indexed="81"/>
            <rFont val="Tahoma"/>
            <family val="2"/>
          </rPr>
          <t>Tom Dang:
 &lt;[[DEVDeals] - [Budget Initial (Seq: 1)] - [Budget Initial - User Defined Field Values (Seq: 1)] Development Budget Details - Fees - Other 11 Describe - Both]&gt;</t>
        </r>
      </text>
    </comment>
    <comment ref="Z567" authorId="0" shapeId="0" xr:uid="{DB746DFE-E141-4FAB-B3F6-127843D6A2A9}">
      <text>
        <r>
          <rPr>
            <b/>
            <sz val="9"/>
            <color indexed="81"/>
            <rFont val="Tahoma"/>
            <family val="2"/>
          </rPr>
          <t>&lt;[[DEVDeals] - [Associated TC Deal (Seq: 1)] - [TC Property Current Stage (Seq: 1)] - [TC Property Current Stage - User Defined Field Values (Seq: 1)] Development Budget Details - Fees - Other 11 Describe - Both]&gt;</t>
        </r>
      </text>
    </comment>
    <comment ref="J568" authorId="0" shapeId="0" xr:uid="{3B9CA141-87D6-48FF-9209-E4085BCAC0D5}">
      <text>
        <r>
          <rPr>
            <b/>
            <sz val="9"/>
            <color indexed="81"/>
            <rFont val="Tahoma"/>
            <family val="2"/>
          </rPr>
          <t>Tom Dang:
 &lt;[[DEVDeals] - [Budget Initial (Seq: 1)] SC Construction Interest - Both]&gt;</t>
        </r>
      </text>
    </comment>
    <comment ref="N568" authorId="0" shapeId="0" xr:uid="{BF3D6965-5135-40D4-B7CA-7DDA23C7F075}">
      <text>
        <r>
          <rPr>
            <b/>
            <sz val="9"/>
            <color indexed="81"/>
            <rFont val="Tahoma"/>
            <family val="2"/>
          </rPr>
          <t>Tom Dang:
 &lt;[[DEVDeals] - [Budget Initial (Seq: 1)] - [Budget Initial - User Defined Field Values (Seq: 1)] Development Budget Details - Construction Interest - Both]&gt;</t>
        </r>
      </text>
    </comment>
    <comment ref="R568" authorId="0" shapeId="0" xr:uid="{8603179E-0914-4364-A87C-60413342784E}">
      <text>
        <r>
          <rPr>
            <b/>
            <sz val="9"/>
            <color indexed="81"/>
            <rFont val="Tahoma"/>
            <family val="2"/>
          </rPr>
          <t>Tom Dang:
 &lt;[[DEVDeals] - [Associated TC Deal (Seq: 1)] - [TC Property Current Stage (Seq: 1)] - [Actual Property Costs (Seq: 1)] Constr Interest - Both]&gt;</t>
        </r>
      </text>
    </comment>
    <comment ref="S568" authorId="0" shapeId="0" xr:uid="{93604B4A-539C-4C48-8309-C8399AF82412}">
      <text>
        <r>
          <rPr>
            <b/>
            <sz val="9"/>
            <color indexed="81"/>
            <rFont val="Tahoma"/>
            <family val="2"/>
          </rPr>
          <t>&lt;[[DEVDeals] - [Associated TC Deal (Seq: 1)] - [TC Property Current Stage (Seq: 1)] - [Acquisition Property Costs (Seq: 1)] Constr Interest - Both]&gt;</t>
        </r>
      </text>
    </comment>
    <comment ref="T568" authorId="0" shapeId="0" xr:uid="{B6C5F8D2-2DE8-4249-B9FF-8E052DC6F749}">
      <text>
        <r>
          <rPr>
            <b/>
            <sz val="9"/>
            <color indexed="81"/>
            <rFont val="Tahoma"/>
            <family val="2"/>
          </rPr>
          <t>&lt;[[DEVDeals] - [Associated TC Deal (Seq: 1)] - [TC Property Current Stage (Seq: 1)] - [4% Construction Property Costs (Seq: 1)] Constr Interest - Both]&gt;</t>
        </r>
      </text>
    </comment>
    <comment ref="U568" authorId="0" shapeId="0" xr:uid="{C45E36C6-66F7-4EAF-AACD-9CBD03D59FBD}">
      <text>
        <r>
          <rPr>
            <b/>
            <sz val="9"/>
            <color indexed="81"/>
            <rFont val="Tahoma"/>
            <family val="2"/>
          </rPr>
          <t>&lt;[[DEVDeals] - [Associated TC Deal (Seq: 1)] - [TC Property Current Stage (Seq: 1)] - [9% Construction Property Costs (Seq: 1)] Constr Interest - Both]&gt;</t>
        </r>
      </text>
    </comment>
    <comment ref="Z568" authorId="0" shapeId="0" xr:uid="{086C30A6-3C3B-4F41-B982-4968361F32FE}">
      <text>
        <r>
          <rPr>
            <b/>
            <sz val="9"/>
            <color indexed="81"/>
            <rFont val="Tahoma"/>
            <family val="2"/>
          </rPr>
          <t>&lt;[[DEVDeals] - [Associated TC Deal (Seq: 1)] - [TC Property Current Stage (Seq: 1)] - [TC Property Current Stage - User Defined Field Values (Seq: 1)] Development Budget Details - Construction Interest - Both]&gt;</t>
        </r>
      </text>
    </comment>
    <comment ref="N569" authorId="0" shapeId="0" xr:uid="{2DADED61-E161-486A-8E80-C540EF57D91C}">
      <text>
        <r>
          <rPr>
            <b/>
            <sz val="9"/>
            <color indexed="81"/>
            <rFont val="Tahoma"/>
            <family val="2"/>
          </rPr>
          <t>&lt;[[DEVDeals] - [Budget Initial (Seq: 1)] - [Budget Initial - User Defined Field Values (Seq: 1)] Development Budget Details - Bond Interest - Both]&gt;</t>
        </r>
      </text>
    </comment>
    <comment ref="Z569" authorId="0" shapeId="0" xr:uid="{40D81D1C-1761-48CB-BF44-C3CF880EAD00}">
      <text>
        <r>
          <rPr>
            <b/>
            <sz val="9"/>
            <color indexed="81"/>
            <rFont val="Tahoma"/>
            <family val="2"/>
          </rPr>
          <t>&lt;[[DEVDeals] - [Associated TC Deal (Seq: 1)] - [TC Property Current Stage (Seq: 1)] - [TC Property Current Stage - User Defined Field Values (Seq: 1)] Development Budget Details - Bond Interest - Both]&gt;</t>
        </r>
      </text>
    </comment>
    <comment ref="N570" authorId="0" shapeId="0" xr:uid="{346A14B3-D543-4F8F-AD52-6F30809A6D6C}">
      <text>
        <r>
          <rPr>
            <b/>
            <sz val="9"/>
            <color indexed="81"/>
            <rFont val="Tahoma"/>
            <family val="2"/>
          </rPr>
          <t>Tom Dang:
 &lt;[[DEVDeals] - [Budget Initial (Seq: 1)] - [Budget Initial - User Defined Field Values (Seq: 1)] Development Budget Details - Negative Arbitrage - Both]&gt;</t>
        </r>
      </text>
    </comment>
    <comment ref="Z570" authorId="0" shapeId="0" xr:uid="{A56BD46A-0D71-49BF-97A9-C7F778EA93C3}">
      <text>
        <r>
          <rPr>
            <b/>
            <sz val="9"/>
            <color indexed="81"/>
            <rFont val="Tahoma"/>
            <family val="2"/>
          </rPr>
          <t>&lt;[[DEVDeals] - [Associated TC Deal (Seq: 1)] - [TC Property Current Stage (Seq: 1)] - [TC Property Current Stage - User Defined Field Values (Seq: 1)] Development Budget Details - Negative Arbitrage - Both]&gt;</t>
        </r>
      </text>
    </comment>
    <comment ref="J571" authorId="0" shapeId="0" xr:uid="{CA9A7062-3A51-4B72-9E65-A8BF6A05F7D3}">
      <text>
        <r>
          <rPr>
            <b/>
            <sz val="9"/>
            <color indexed="81"/>
            <rFont val="Tahoma"/>
            <family val="2"/>
          </rPr>
          <t>Tom Dang:
 &lt;[[DEVDeals] - [Budget Initial (Seq: 1)] SC Taxes During Const - Both]&gt;</t>
        </r>
      </text>
    </comment>
    <comment ref="R571" authorId="0" shapeId="0" xr:uid="{9AE691A0-16EE-46C1-BDEA-6B555629C54A}">
      <text>
        <r>
          <rPr>
            <b/>
            <sz val="9"/>
            <color indexed="81"/>
            <rFont val="Tahoma"/>
            <family val="2"/>
          </rPr>
          <t>Tom Dang:
 &lt;[[DEVDeals] - [Associated TC Deal (Seq: 1)] - [TC Property Current Stage (Seq: 1)] - [Actual Property Costs (Seq: 1)] Taxes Construction - Both]&gt;</t>
        </r>
      </text>
    </comment>
    <comment ref="S571" authorId="0" shapeId="0" xr:uid="{6A31CA57-2AFA-4681-AB6E-55469D0277CD}">
      <text>
        <r>
          <rPr>
            <b/>
            <sz val="9"/>
            <color indexed="81"/>
            <rFont val="Tahoma"/>
            <family val="2"/>
          </rPr>
          <t>&lt;[[DEVDeals] - [Associated TC Deal (Seq: 1)] - [TC Property Current Stage (Seq: 1)] - [Acquisition Property Costs (Seq: 1)] Taxes Construction - Both]&gt;</t>
        </r>
      </text>
    </comment>
    <comment ref="T571" authorId="0" shapeId="0" xr:uid="{BA2AE717-E59A-4090-B41B-4848C5623F47}">
      <text>
        <r>
          <rPr>
            <b/>
            <sz val="9"/>
            <color indexed="81"/>
            <rFont val="Tahoma"/>
            <family val="2"/>
          </rPr>
          <t>&lt;[[DEVDeals] - [Associated TC Deal (Seq: 1)] - [TC Property Current Stage (Seq: 1)] - [4% Construction Property Costs (Seq: 1)] Taxes Construction - Both]&gt;</t>
        </r>
      </text>
    </comment>
    <comment ref="U571" authorId="0" shapeId="0" xr:uid="{F4CDB272-F9E6-43EA-B887-5E84252896D5}">
      <text>
        <r>
          <rPr>
            <b/>
            <sz val="9"/>
            <color indexed="81"/>
            <rFont val="Tahoma"/>
            <family val="2"/>
          </rPr>
          <t>&lt;[[DEVDeals] - [Associated TC Deal (Seq: 1)] - [TC Property Current Stage (Seq: 1)] - [9% Construction Property Costs (Seq: 1)] Taxes Construction - Both]&gt;</t>
        </r>
      </text>
    </comment>
    <comment ref="J572" authorId="0" shapeId="0" xr:uid="{6E96CDD5-3DFE-4719-87CE-C1DB5EDD14D2}">
      <text>
        <r>
          <rPr>
            <b/>
            <sz val="9"/>
            <color indexed="81"/>
            <rFont val="Tahoma"/>
            <family val="2"/>
          </rPr>
          <t>Tom Dang:
 &lt;[[DEVDeals] - [Budget Initial (Seq: 1)] SC Insurance - Both]&gt;</t>
        </r>
      </text>
    </comment>
    <comment ref="R572" authorId="0" shapeId="0" xr:uid="{C2A8CD87-620C-4AEE-9538-E14E4CE36FCE}">
      <text>
        <r>
          <rPr>
            <b/>
            <sz val="9"/>
            <color indexed="81"/>
            <rFont val="Tahoma"/>
            <family val="2"/>
          </rPr>
          <t>Tom Dang:
 &lt;[[DEVDeals] - [Associated TC Deal (Seq: 1)] - [TC Property Current Stage (Seq: 1)] - [Actual Property Costs (Seq: 1)] Insurance Construction - Both]&gt;</t>
        </r>
      </text>
    </comment>
    <comment ref="S572" authorId="0" shapeId="0" xr:uid="{60920353-0A8A-4752-8030-2205E6C65EB6}">
      <text>
        <r>
          <rPr>
            <b/>
            <sz val="9"/>
            <color indexed="81"/>
            <rFont val="Tahoma"/>
            <family val="2"/>
          </rPr>
          <t>&lt;[[DEVDeals] - [Associated TC Deal (Seq: 1)] - [TC Property Current Stage (Seq: 1)] - [Acquisition Property Costs (Seq: 1)] Insurance Construction - Both]&gt;</t>
        </r>
      </text>
    </comment>
    <comment ref="T572" authorId="0" shapeId="0" xr:uid="{640D3CBF-B537-4F5E-BF47-F9435E2A0098}">
      <text>
        <r>
          <rPr>
            <b/>
            <sz val="9"/>
            <color indexed="81"/>
            <rFont val="Tahoma"/>
            <family val="2"/>
          </rPr>
          <t>&lt;[[DEVDeals] - [Associated TC Deal (Seq: 1)] - [TC Property Current Stage (Seq: 1)] - [4% Construction Property Costs (Seq: 1)] Insurance Construction - Both]&gt;</t>
        </r>
      </text>
    </comment>
    <comment ref="U572" authorId="0" shapeId="0" xr:uid="{DAFF4303-AA66-4480-B580-28EA5B3BD274}">
      <text>
        <r>
          <rPr>
            <b/>
            <sz val="9"/>
            <color indexed="81"/>
            <rFont val="Tahoma"/>
            <family val="2"/>
          </rPr>
          <t>&lt;[[DEVDeals] - [Associated TC Deal (Seq: 1)] - [TC Property Current Stage (Seq: 1)] - [9% Construction Property Costs (Seq: 1)] Insurance Construction - Both]&gt;</t>
        </r>
      </text>
    </comment>
    <comment ref="J573" authorId="0" shapeId="0" xr:uid="{9D33F85C-3732-48E4-BE7A-44B4F0229981}">
      <text>
        <r>
          <rPr>
            <b/>
            <sz val="9"/>
            <color indexed="81"/>
            <rFont val="Tahoma"/>
            <family val="2"/>
          </rPr>
          <t>&lt;[[DEVDeals] - [Budget Initial (Seq: 1)] SC Other2 - Both]&gt;</t>
        </r>
      </text>
    </comment>
    <comment ref="N573" authorId="0" shapeId="0" xr:uid="{E9FC9E64-7F5C-450E-98F0-0196C16DF4ED}">
      <text>
        <r>
          <rPr>
            <b/>
            <sz val="9"/>
            <color indexed="81"/>
            <rFont val="Tahoma"/>
            <family val="2"/>
          </rPr>
          <t>Tom Dang:
 &lt;[[DEVDeals] - [Budget Initial (Seq: 1)] - [Budget Initial - User Defined Field Values (Seq: 1)] Development Budget Details - Mortgage Insurance Premium - Both]&gt;</t>
        </r>
      </text>
    </comment>
    <comment ref="Z573" authorId="0" shapeId="0" xr:uid="{4D908BA7-323B-4378-9102-B5B12725BA8D}">
      <text>
        <r>
          <rPr>
            <b/>
            <sz val="9"/>
            <color indexed="81"/>
            <rFont val="Tahoma"/>
            <family val="2"/>
          </rPr>
          <t>&lt;[[DEVDeals] - [Associated TC Deal (Seq: 1)] - [TC Property Current Stage (Seq: 1)] - [TC Property Current Stage - User Defined Field Values (Seq: 1)] Development Budget Details - Mortgage Insurance Premium - Both]&gt;</t>
        </r>
      </text>
    </comment>
    <comment ref="J574" authorId="0" shapeId="0" xr:uid="{40DA4051-E811-4DF4-90F3-E1EFC66ECEB4}">
      <text>
        <r>
          <rPr>
            <b/>
            <sz val="9"/>
            <color indexed="81"/>
            <rFont val="Tahoma"/>
            <family val="2"/>
          </rPr>
          <t>Tom Dang:
 &lt;[[DEVDeals] - [Budget Initial (Seq: 1)] SC Title Recording - Both]&gt;</t>
        </r>
      </text>
    </comment>
    <comment ref="R574" authorId="0" shapeId="0" xr:uid="{9517FFC6-286B-4C71-AE5C-F3A870FE2D8F}">
      <text>
        <r>
          <rPr>
            <b/>
            <sz val="9"/>
            <color indexed="81"/>
            <rFont val="Tahoma"/>
            <family val="2"/>
          </rPr>
          <t>Tom Dang:
 &lt;[[DEVDeals] - [Associated TC Deal (Seq: 1)] - [TC Property Current Stage (Seq: 1)] - [Actual Property Costs (Seq: 1)] Title And Recording - Both]&gt;</t>
        </r>
      </text>
    </comment>
    <comment ref="S574" authorId="0" shapeId="0" xr:uid="{E60062AF-ED59-412F-9E98-75FBFF8D743C}">
      <text>
        <r>
          <rPr>
            <b/>
            <sz val="9"/>
            <color indexed="81"/>
            <rFont val="Tahoma"/>
            <family val="2"/>
          </rPr>
          <t>&lt;[[DEVDeals] - [Associated TC Deal (Seq: 1)] - [TC Property Current Stage (Seq: 1)] - [Acquisition Property Costs (Seq: 1)] Title And Recording - Both]&gt;</t>
        </r>
      </text>
    </comment>
    <comment ref="T574" authorId="0" shapeId="0" xr:uid="{AB790E33-1D8C-4F8E-9307-F60B3403BA91}">
      <text>
        <r>
          <rPr>
            <b/>
            <sz val="9"/>
            <color indexed="81"/>
            <rFont val="Tahoma"/>
            <family val="2"/>
          </rPr>
          <t>&lt;[[DEVDeals] - [Associated TC Deal (Seq: 1)] - [TC Property Current Stage (Seq: 1)] - [4% Construction Property Costs (Seq: 1)] Title And Recording - Both]&gt;</t>
        </r>
      </text>
    </comment>
    <comment ref="U574" authorId="0" shapeId="0" xr:uid="{7E84EFF2-AAE5-4EC7-94E1-4A90067C21E5}">
      <text>
        <r>
          <rPr>
            <b/>
            <sz val="9"/>
            <color indexed="81"/>
            <rFont val="Tahoma"/>
            <family val="2"/>
          </rPr>
          <t>&lt;[[DEVDeals] - [Associated TC Deal (Seq: 1)] - [TC Property Current Stage (Seq: 1)] - [9% Construction Property Costs (Seq: 1)] Title And Recording - Both]&gt;</t>
        </r>
      </text>
    </comment>
    <comment ref="N575" authorId="0" shapeId="0" xr:uid="{DBC03ED6-F9E5-4523-870F-15D39C291FAE}">
      <text>
        <r>
          <rPr>
            <b/>
            <sz val="9"/>
            <color indexed="81"/>
            <rFont val="Tahoma"/>
            <family val="2"/>
          </rPr>
          <t>&lt;[[DEVDeals] - [Budget Initial (Seq: 1)] - [Budget Initial - User Defined Field Values (Seq: 1)] Development Budget Details - Credit Report - Both]&gt;</t>
        </r>
      </text>
    </comment>
    <comment ref="Z575" authorId="0" shapeId="0" xr:uid="{354D311D-A1BC-4204-8C4D-0636DD19F1DD}">
      <text>
        <r>
          <rPr>
            <b/>
            <sz val="9"/>
            <color indexed="81"/>
            <rFont val="Tahoma"/>
            <family val="2"/>
          </rPr>
          <t>&lt;[[DEVDeals] - [Associated TC Deal (Seq: 1)] - [TC Property Current Stage (Seq: 1)] - [TC Property Current Stage - User Defined Field Values (Seq: 1)] Development Budget Details - Credit Report - Both]&gt;</t>
        </r>
      </text>
    </comment>
    <comment ref="J576" authorId="0" shapeId="0" xr:uid="{3E6B306F-7522-4BA0-B65E-455375150BC2}">
      <text>
        <r>
          <rPr>
            <b/>
            <sz val="9"/>
            <color indexed="81"/>
            <rFont val="Tahoma"/>
            <family val="2"/>
          </rPr>
          <t>&lt;[[DEVDeals] - [Budget Initial (Seq: 1)] SC Predevelopment - Both]&gt;</t>
        </r>
      </text>
    </comment>
    <comment ref="Z576" authorId="0" shapeId="0" xr:uid="{A115FD2E-5F65-495E-AF8D-4EAA7CE74F5B}">
      <text>
        <r>
          <rPr>
            <b/>
            <sz val="9"/>
            <color indexed="81"/>
            <rFont val="Tahoma"/>
            <family val="2"/>
          </rPr>
          <t>&lt;[[DEVDeals] - [Associated TC Deal (Seq: 1)] - [TC Property Current Stage (Seq: 1)] - [TC Property Current Stage - User Defined Field Values (Seq: 1)] Development Budget Details - Predevelopment Loan Fees - Both]&gt;</t>
        </r>
      </text>
    </comment>
    <comment ref="J577" authorId="0" shapeId="0" xr:uid="{2B21D6DC-EE11-4862-8093-2DF374A4D7D0}">
      <text>
        <r>
          <rPr>
            <b/>
            <sz val="9"/>
            <color indexed="81"/>
            <rFont val="Tahoma"/>
            <family val="2"/>
          </rPr>
          <t>Tom Dang:
 &lt;[[DEVDeals] - [Budget Initial (Seq: 1)] SC Contingency - Both]&gt;</t>
        </r>
      </text>
    </comment>
    <comment ref="R577" authorId="0" shapeId="0" xr:uid="{552F7462-7400-46C4-81A9-B32626255AF5}">
      <text>
        <r>
          <rPr>
            <b/>
            <sz val="9"/>
            <color indexed="81"/>
            <rFont val="Tahoma"/>
            <family val="2"/>
          </rPr>
          <t>Tom Dang:
 &lt;[[DEVDeals] - [Associated TC Deal (Seq: 1)] - [TC Property Current Stage (Seq: 1)] - [Actual Property Costs (Seq: 1)] Other Contingency Total - Both]&gt;</t>
        </r>
      </text>
    </comment>
    <comment ref="S577" authorId="0" shapeId="0" xr:uid="{DC3378F3-FC4A-40BB-A33D-003B4F82E6BD}">
      <text>
        <r>
          <rPr>
            <b/>
            <sz val="9"/>
            <color indexed="81"/>
            <rFont val="Tahoma"/>
            <family val="2"/>
          </rPr>
          <t>&lt;[[DEVDeals] - [Associated TC Deal (Seq: 1)] - [TC Property Current Stage (Seq: 1)] - [Acquisition Property Costs (Seq: 1)] Other Contingency Total - Both]&gt;</t>
        </r>
      </text>
    </comment>
    <comment ref="T577" authorId="0" shapeId="0" xr:uid="{3D167E40-7E24-40EC-932D-D235D3394C03}">
      <text>
        <r>
          <rPr>
            <b/>
            <sz val="9"/>
            <color indexed="81"/>
            <rFont val="Tahoma"/>
            <family val="2"/>
          </rPr>
          <t>&lt;[[DEVDeals] - [Associated TC Deal (Seq: 1)] - [TC Property Current Stage (Seq: 1)] - [4% Construction Property Costs (Seq: 1)] Other Contingency Total - Both]&gt;</t>
        </r>
      </text>
    </comment>
    <comment ref="U577" authorId="0" shapeId="0" xr:uid="{63BFDDA7-A6A8-463E-BF77-84763EC41C63}">
      <text>
        <r>
          <rPr>
            <b/>
            <sz val="9"/>
            <color indexed="81"/>
            <rFont val="Tahoma"/>
            <family val="2"/>
          </rPr>
          <t>&lt;[[DEVDeals] - [Associated TC Deal (Seq: 1)] - [TC Property Current Stage (Seq: 1)] - [9% Construction Property Costs (Seq: 1)] Other Contingency Total - Both]&gt;</t>
        </r>
      </text>
    </comment>
    <comment ref="J578" authorId="0" shapeId="0" xr:uid="{61131550-17F0-402F-8E40-0AE9E4222790}">
      <text>
        <r>
          <rPr>
            <b/>
            <sz val="9"/>
            <color indexed="81"/>
            <rFont val="Tahoma"/>
            <family val="2"/>
          </rPr>
          <t>&lt;[[DEVDeals] - [Budget Initial (Seq: 1)] SC Other3 - Both]&gt;</t>
        </r>
      </text>
    </comment>
    <comment ref="N578" authorId="0" shapeId="0" xr:uid="{6680AA02-71F0-4BC0-BACB-1D8D8CE8CB1C}">
      <text>
        <r>
          <rPr>
            <b/>
            <sz val="9"/>
            <color indexed="81"/>
            <rFont val="Tahoma"/>
            <family val="2"/>
          </rPr>
          <t>Tom Dang:
 &lt;[[DEVDeals] - [Budget Initial (Seq: 1)] - [Budget Initial - User Defined Field Values (Seq: 1)] Development Budget Details - CDA Subordinate Loan Commitment Fees (RHP) - Both]&gt;</t>
        </r>
      </text>
    </comment>
    <comment ref="R578" authorId="0" shapeId="0" xr:uid="{2DFB1053-FD70-4B2D-BA9C-506FC5296BED}">
      <text>
        <r>
          <rPr>
            <b/>
            <sz val="9"/>
            <color indexed="81"/>
            <rFont val="Tahoma"/>
            <family val="2"/>
          </rPr>
          <t>Tom Dang:
 &lt;[[DEVDeals] - [Associated TC Deal (Seq: 1)] - [TC Property Current Stage (Seq: 1)] - [Actual Property Costs (Seq: 1)] Acq Addl Cost 2 - Both]&gt;</t>
        </r>
      </text>
    </comment>
    <comment ref="S578" authorId="0" shapeId="0" xr:uid="{C9A86484-5AD0-43DB-84D0-48E94DE6A3B2}">
      <text>
        <r>
          <rPr>
            <b/>
            <sz val="9"/>
            <color indexed="81"/>
            <rFont val="Tahoma"/>
            <family val="2"/>
          </rPr>
          <t>&lt;[[DEVDeals] - [Associated TC Deal (Seq: 1)] - [TC Property Current Stage (Seq: 1)] - [Acquisition Property Costs (Seq: 1)] Acq Addl Cost 2 - Both]&gt;</t>
        </r>
      </text>
    </comment>
    <comment ref="T578" authorId="0" shapeId="0" xr:uid="{5FF2FDC6-8C93-4571-990E-B9F28B54AC4D}">
      <text>
        <r>
          <rPr>
            <b/>
            <sz val="9"/>
            <color indexed="81"/>
            <rFont val="Tahoma"/>
            <family val="2"/>
          </rPr>
          <t>&lt;[[DEVDeals] - [Associated TC Deal (Seq: 1)] - [TC Property Current Stage (Seq: 1)] - [4% Construction Property Costs (Seq: 1)] Rehab Addl Cost 2 - Both]&gt;</t>
        </r>
      </text>
    </comment>
    <comment ref="U578" authorId="0" shapeId="0" xr:uid="{5AAD14DF-A113-45EE-911F-06E6D6DD2A4A}">
      <text>
        <r>
          <rPr>
            <b/>
            <sz val="9"/>
            <color indexed="81"/>
            <rFont val="Tahoma"/>
            <family val="2"/>
          </rPr>
          <t>&lt;[[DEVDeals] - [Associated TC Deal (Seq: 1)] - [TC Property Current Stage (Seq: 1)] - [9% Construction Property Costs (Seq: 1)] Rehab Addl Cost 2 - Both]&gt;</t>
        </r>
      </text>
    </comment>
    <comment ref="V578" authorId="0" shapeId="0" xr:uid="{A901C046-A30F-4DE2-969D-590909056AA7}">
      <text>
        <r>
          <rPr>
            <b/>
            <sz val="9"/>
            <color indexed="81"/>
            <rFont val="Tahoma"/>
            <family val="2"/>
          </rPr>
          <t>&lt;[[DEVDeals] - [Associated TC Deal (Seq: 1)] - [TC Property Current Stage (Seq: 1)] Additional Costs2 - Both]&gt;</t>
        </r>
      </text>
    </comment>
    <comment ref="Z578" authorId="0" shapeId="0" xr:uid="{8EBEF539-9B88-4ABB-BBE0-FC3102FB17BC}">
      <text>
        <r>
          <rPr>
            <b/>
            <sz val="9"/>
            <color indexed="81"/>
            <rFont val="Tahoma"/>
            <family val="2"/>
          </rPr>
          <t>&lt;[[DEVDeals] - [Associated TC Deal (Seq: 1)] - [TC Property Current Stage (Seq: 1)] - [TC Property Current Stage - User Defined Field Values (Seq: 1)] Development Budget Details - CDA Subordinate Loan Commitment Fees (RHP) - Both]&gt;</t>
        </r>
      </text>
    </comment>
    <comment ref="N579" authorId="0" shapeId="0" xr:uid="{37E1499E-894E-4286-AA89-881C67E41B40}">
      <text>
        <r>
          <rPr>
            <b/>
            <sz val="9"/>
            <color indexed="81"/>
            <rFont val="Tahoma"/>
            <family val="2"/>
          </rPr>
          <t>Tom Dang:
 &lt;[[DEVDeals] - [Budget Initial (Seq: 1)] - [Budget Initial - User Defined Field Values (Seq: 1)] Development Budget Details - CDA Subordinate Loan Commitment Fees (RHW) - Both]&gt;</t>
        </r>
      </text>
    </comment>
    <comment ref="Z579" authorId="0" shapeId="0" xr:uid="{F1BCD225-E970-46C0-AE26-5BCE1D245B46}">
      <text>
        <r>
          <rPr>
            <b/>
            <sz val="9"/>
            <color indexed="81"/>
            <rFont val="Tahoma"/>
            <family val="2"/>
          </rPr>
          <t>&lt;[[DEVDeals] - [Associated TC Deal (Seq: 1)] - [TC Property Current Stage (Seq: 1)] - [TC Property Current Stage - User Defined Field Values (Seq: 1)] Development Budget Details - CDA Subordinate Loan Commitment Fees (RHW) - Both]&gt;</t>
        </r>
      </text>
    </comment>
    <comment ref="N580" authorId="0" shapeId="0" xr:uid="{E86E576F-A6A2-4E45-9EB5-46C4FA6F9DBA}">
      <text>
        <r>
          <rPr>
            <b/>
            <sz val="9"/>
            <color indexed="81"/>
            <rFont val="Tahoma"/>
            <family val="2"/>
          </rPr>
          <t>Tom Dang:
 &lt;[[DEVDeals] - [Budget Initial (Seq: 1)] - [Budget Initial - User Defined Field Values (Seq: 1)] Development Budget Details - CDA Subordinate Loan Commitment Fees (PRHP) - Both]&gt;</t>
        </r>
      </text>
    </comment>
    <comment ref="Z580" authorId="0" shapeId="0" xr:uid="{4D4AF686-F279-425A-AD8C-61272B4080DD}">
      <text>
        <r>
          <rPr>
            <b/>
            <sz val="9"/>
            <color indexed="81"/>
            <rFont val="Tahoma"/>
            <family val="2"/>
          </rPr>
          <t>&lt;[[DEVDeals] - [Associated TC Deal (Seq: 1)] - [TC Property Current Stage (Seq: 1)] - [TC Property Current Stage - User Defined Field Values (Seq: 1)] Development Budget Details - CDA Subordinate Loan Commitment Fees (PRHP) - Both]&gt;</t>
        </r>
      </text>
    </comment>
    <comment ref="N581" authorId="0" shapeId="0" xr:uid="{06B9639D-7C1D-4026-871C-4C8274D8EDB6}">
      <text>
        <r>
          <rPr>
            <b/>
            <sz val="9"/>
            <color indexed="81"/>
            <rFont val="Tahoma"/>
            <family val="2"/>
          </rPr>
          <t>&lt;[[DEVDeals] - [Budget Initial (Seq: 1)] - [Budget Initial - User Defined Field Values (Seq: 1)] Development Budget Details - State Loan and LIHTC Assumption Fees - Both]&gt;</t>
        </r>
      </text>
    </comment>
    <comment ref="Z581" authorId="0" shapeId="0" xr:uid="{9EA9978E-3F76-4F5F-ADE6-2B2F42584698}">
      <text>
        <r>
          <rPr>
            <b/>
            <sz val="9"/>
            <color indexed="81"/>
            <rFont val="Tahoma"/>
            <family val="2"/>
          </rPr>
          <t>&lt;[[DEVDeals] - [Associated TC Deal (Seq: 1)] - [TC Property Current Stage (Seq: 1)] - [TC Property Current Stage - User Defined Field Values (Seq: 1)] Development Budget Details - State Loan and LIHTC Assumption Fee - Both]&gt;</t>
        </r>
      </text>
    </comment>
    <comment ref="N582" authorId="0" shapeId="0" xr:uid="{FC26F97B-E617-49BD-9A8E-98B05C262FDB}">
      <text>
        <r>
          <rPr>
            <b/>
            <sz val="9"/>
            <color indexed="81"/>
            <rFont val="Tahoma"/>
            <family val="2"/>
          </rPr>
          <t>&lt;[[DEVDeals] - [Budget Initial (Seq: 1)] - [Budget Initial - User Defined Field Values (Seq: 1)] Development Budget Details - MBP Loan Assumption Fee - Both]&gt;</t>
        </r>
      </text>
    </comment>
    <comment ref="Z582" authorId="0" shapeId="0" xr:uid="{26D3253F-3993-4B30-BBAF-CCED2DEDFD49}">
      <text>
        <r>
          <rPr>
            <b/>
            <sz val="9"/>
            <color indexed="81"/>
            <rFont val="Tahoma"/>
            <family val="2"/>
          </rPr>
          <t>&lt;[[DEVDeals] - [Associated TC Deal (Seq: 1)] - [TC Property Current Stage (Seq: 1)] - [TC Property Current Stage - User Defined Field Values (Seq: 1)] Development Budget Details - MBP Loan Assumption Fee - Both]&gt;</t>
        </r>
      </text>
    </comment>
    <comment ref="N583" authorId="0" shapeId="0" xr:uid="{305525BD-BE7E-4872-B855-1E2805FE61EB}">
      <text>
        <r>
          <rPr>
            <b/>
            <sz val="9"/>
            <color indexed="81"/>
            <rFont val="Tahoma"/>
            <family val="2"/>
          </rPr>
          <t>&lt;[[DEVDeals] - [Budget Initial (Seq: 1)] - [Budget Initial - User Defined Field Values (Seq: 1)] Development Budget Details - CDA Loan Servicing Fee - Both]&gt;</t>
        </r>
      </text>
    </comment>
    <comment ref="Z583" authorId="0" shapeId="0" xr:uid="{1338EC28-47AE-4F10-A43F-43F80CAA4DB3}">
      <text>
        <r>
          <rPr>
            <b/>
            <sz val="9"/>
            <color indexed="81"/>
            <rFont val="Tahoma"/>
            <family val="2"/>
          </rPr>
          <t>&lt;[[DEVDeals] - [Associated TC Deal (Seq: 1)] - [TC Property Current Stage (Seq: 1)] - [TC Property Current Stage - User Defined Field Values (Seq: 1)] Development Budget Details - CDA Loan Servicing Fee - Both]&gt;</t>
        </r>
      </text>
    </comment>
    <comment ref="N584" authorId="0" shapeId="0" xr:uid="{1F9D4FF4-7F61-4E73-B46A-1C63D98CA0B7}">
      <text>
        <r>
          <rPr>
            <b/>
            <sz val="9"/>
            <color indexed="81"/>
            <rFont val="Tahoma"/>
            <family val="2"/>
          </rPr>
          <t>&lt;[[DEVDeals] - [Budget Initial (Seq: 1)] - [Budget Initial - User Defined Field Values (Seq: 1)] Development Budget Details - CDA Subsidy Layering Fee - Both]&gt;</t>
        </r>
      </text>
    </comment>
    <comment ref="Z584" authorId="0" shapeId="0" xr:uid="{68A8CE78-C4EC-4C97-A98E-3EE842DED3F5}">
      <text>
        <r>
          <rPr>
            <b/>
            <sz val="9"/>
            <color indexed="81"/>
            <rFont val="Tahoma"/>
            <family val="2"/>
          </rPr>
          <t>&lt;[[DEVDeals] - [Associated TC Deal (Seq: 1)] - [TC Property Current Stage (Seq: 1)] - [TC Property Current Stage - User Defined Field Values (Seq: 1)] Development Budget Details - CDA Subsidy Layering Fee - Both]&gt;</t>
        </r>
      </text>
    </comment>
    <comment ref="N585" authorId="0" shapeId="0" xr:uid="{0701E71A-CEAE-4962-9353-64A4104B7C16}">
      <text>
        <r>
          <rPr>
            <b/>
            <sz val="9"/>
            <color indexed="81"/>
            <rFont val="Tahoma"/>
            <family val="2"/>
          </rPr>
          <t>&lt;[[DEVDeals] - [Budget Initial (Seq: 1)] - [Budget Initial - User Defined Field Values (Seq: 1)] Development Budget Details - CDA Construction Monitoring Fee - Both]&gt;</t>
        </r>
      </text>
    </comment>
    <comment ref="Z585" authorId="0" shapeId="0" xr:uid="{E3338FAE-CFEC-419E-B9C0-F4E44B079BBA}">
      <text>
        <r>
          <rPr>
            <b/>
            <sz val="9"/>
            <color indexed="81"/>
            <rFont val="Tahoma"/>
            <family val="2"/>
          </rPr>
          <t>&lt;[[DEVDeals] - [Associated TC Deal (Seq: 1)] - [TC Property Current Stage (Seq: 1)] - [TC Property Current Stage - User Defined Field Values (Seq: 1)] Development Budget Details - CDA Construction Monitoring Fee - Both]&gt;</t>
        </r>
      </text>
    </comment>
    <comment ref="J586" authorId="0" shapeId="0" xr:uid="{08F6EDFA-CC8F-4E09-947A-23E72B32269C}">
      <text>
        <r>
          <rPr>
            <b/>
            <sz val="9"/>
            <color indexed="81"/>
            <rFont val="Tahoma"/>
            <family val="2"/>
          </rPr>
          <t>&lt;[[DEVDeals] - [Budget Initial (Seq: 1)] SC Other4 - Both]&gt;</t>
        </r>
      </text>
    </comment>
    <comment ref="N586" authorId="0" shapeId="0" xr:uid="{3DA2B9BD-AC92-4D77-BDFA-D035E8613BCD}">
      <text>
        <r>
          <rPr>
            <b/>
            <sz val="9"/>
            <color indexed="81"/>
            <rFont val="Tahoma"/>
            <family val="2"/>
          </rPr>
          <t>&lt;[[DEVDeals] - [Budget Initial (Seq: 1)] - [Budget Initial - User Defined Field Values (Seq: 1)] Development Budget Details - Cost of Issuance (Private Placement Underwriter's Fees) - Both]&gt;</t>
        </r>
      </text>
    </comment>
    <comment ref="Z586" authorId="0" shapeId="0" xr:uid="{EF43FE42-FC2D-4952-9A6B-40E664CEACDD}">
      <text>
        <r>
          <rPr>
            <b/>
            <sz val="9"/>
            <color indexed="81"/>
            <rFont val="Tahoma"/>
            <family val="2"/>
          </rPr>
          <t>&lt;[[DEVDeals] - [Associated TC Deal (Seq: 1)] - [TC Property Current Stage (Seq: 1)] - [TC Property Current Stage - User Defined Field Values (Seq: 1)] Development Budget Details - Cost of Issuance (Private Placement Underwriter's Fees) - Both]&gt;</t>
        </r>
      </text>
    </comment>
    <comment ref="N587" authorId="0" shapeId="0" xr:uid="{B9E906B7-0CED-4C2E-B00A-C1070FE4BC34}">
      <text>
        <r>
          <rPr>
            <b/>
            <sz val="9"/>
            <color indexed="81"/>
            <rFont val="Tahoma"/>
            <family val="2"/>
          </rPr>
          <t>&lt;[[DEVDeals] - [Budget Initial (Seq: 1)] - [Budget Initial - User Defined Field Values (Seq: 1)] Development Budget Details - Cost of Issuance (CDA) - Both]&gt;</t>
        </r>
      </text>
    </comment>
    <comment ref="Z587" authorId="0" shapeId="0" xr:uid="{F8E1D3FB-5D53-45B5-8DFE-26BD829A81CC}">
      <text>
        <r>
          <rPr>
            <b/>
            <sz val="9"/>
            <color indexed="81"/>
            <rFont val="Tahoma"/>
            <family val="2"/>
          </rPr>
          <t>&lt;[[DEVDeals] - [Associated TC Deal (Seq: 1)] - [TC Property Current Stage (Seq: 1)] - [TC Property Current Stage - User Defined Field Values (Seq: 1)] Development Budget Details - Cost of Issuance (CDA) - Both]&gt;</t>
        </r>
      </text>
    </comment>
    <comment ref="N588" authorId="0" shapeId="0" xr:uid="{82816C29-0B12-44C7-A2B9-52A2962C2CCE}">
      <text>
        <r>
          <rPr>
            <b/>
            <sz val="9"/>
            <color indexed="81"/>
            <rFont val="Tahoma"/>
            <family val="2"/>
          </rPr>
          <t>&lt;[[DEVDeals] - [Budget Initial (Seq: 1)] - [Budget Initial - User Defined Field Values (Seq: 1)] Development Budget Details - CDA Issuer Fee (FNMA MTEB) - Both]&gt;</t>
        </r>
      </text>
    </comment>
    <comment ref="Z588" authorId="0" shapeId="0" xr:uid="{3824380C-30B1-403D-BA6D-7CB5AB6EE175}">
      <text>
        <r>
          <rPr>
            <b/>
            <sz val="9"/>
            <color indexed="81"/>
            <rFont val="Tahoma"/>
            <family val="2"/>
          </rPr>
          <t>&lt;[[DEVDeals] - [Associated TC Deal (Seq: 1)] - [TC Property Current Stage (Seq: 1)] - [TC Property Current Stage - User Defined Field Values (Seq: 1)] Development Budget Details - CDA Issuer Fee (FNMA MTEB) - Both]&gt;</t>
        </r>
      </text>
    </comment>
    <comment ref="N589" authorId="0" shapeId="0" xr:uid="{136073B0-F1D3-42A0-B571-589DAC0BF683}">
      <text>
        <r>
          <rPr>
            <b/>
            <sz val="9"/>
            <color indexed="81"/>
            <rFont val="Tahoma"/>
            <family val="2"/>
          </rPr>
          <t>&lt;[[DEVDeals] - [Budget Initial (Seq: 1)] - [Budget Initial - User Defined Field Values (Seq: 1)] Development Budget Details - CDA Issuer Fee (FTEL) - Both]&gt;</t>
        </r>
      </text>
    </comment>
    <comment ref="Z589" authorId="0" shapeId="0" xr:uid="{C8B27CCE-6E7A-45DF-ABBA-D5B3E6AA2D34}">
      <text>
        <r>
          <rPr>
            <b/>
            <sz val="9"/>
            <color indexed="81"/>
            <rFont val="Tahoma"/>
            <family val="2"/>
          </rPr>
          <t>&lt;[[DEVDeals] - [Associated TC Deal (Seq: 1)] - [TC Property Current Stage (Seq: 1)] - [TC Property Current Stage - User Defined Field Values (Seq: 1)] Development Budget Details - CDA Issuer Fee (FTEL) - Both]&gt;</t>
        </r>
      </text>
    </comment>
    <comment ref="N590" authorId="0" shapeId="0" xr:uid="{B24F279C-E80D-44CA-885A-A436C37CE4EC}">
      <text>
        <r>
          <rPr>
            <b/>
            <sz val="9"/>
            <color indexed="81"/>
            <rFont val="Tahoma"/>
            <family val="2"/>
          </rPr>
          <t>&lt;[[DEVDeals] - [Budget Initial (Seq: 1)] - [Budget Initial - User Defined Field Values (Seq: 1)] Development Budget Details - Capitalized Interest on Initial Funding Loan (FTEL) - Both]&gt;</t>
        </r>
      </text>
    </comment>
    <comment ref="Z590" authorId="0" shapeId="0" xr:uid="{FCBDA4EF-6098-4E3D-B0B1-298891DB2AB1}">
      <text>
        <r>
          <rPr>
            <b/>
            <sz val="9"/>
            <color indexed="81"/>
            <rFont val="Tahoma"/>
            <family val="2"/>
          </rPr>
          <t>&lt;[[DEVDeals] - [Associated TC Deal (Seq: 1)] - [TC Property Current Stage (Seq: 1)] - [TC Property Current Stage - User Defined Field Values (Seq: 1)] Development Budget Details - Capitalized Interest on Initial Funding Loan (FTEL) - Both]&gt;</t>
        </r>
      </text>
    </comment>
    <comment ref="N591" authorId="0" shapeId="0" xr:uid="{1B0F9A19-F7F0-4369-B1F2-33C3CD44F8D2}">
      <text>
        <r>
          <rPr>
            <b/>
            <sz val="9"/>
            <color indexed="81"/>
            <rFont val="Tahoma"/>
            <family val="2"/>
          </rPr>
          <t>&lt;[[DEVDeals] - [Budget Initial (Seq: 1)] - [Budget Initial - User Defined Field Values (Seq: 1)] Development Budget Details - CDA/FHA Risk Sharing Fees (MHF Application Fee) - Both]&gt;</t>
        </r>
      </text>
    </comment>
    <comment ref="Z591" authorId="0" shapeId="0" xr:uid="{296E2F3C-DBE8-4EB0-8268-DDA5867AA234}">
      <text>
        <r>
          <rPr>
            <b/>
            <sz val="9"/>
            <color indexed="81"/>
            <rFont val="Tahoma"/>
            <family val="2"/>
          </rPr>
          <t>&lt;[[DEVDeals] - [Associated TC Deal (Seq: 1)] - [TC Property Current Stage (Seq: 1)] - [TC Property Current Stage - User Defined Field Values (Seq: 1)] Development Budget Details - MHF Application Fee (CDA/FHA Risk Sharing) - Both]&gt;</t>
        </r>
      </text>
    </comment>
    <comment ref="N592" authorId="0" shapeId="0" xr:uid="{9926B2B7-F64F-4004-9679-BC72FBD4F3B6}">
      <text>
        <r>
          <rPr>
            <b/>
            <sz val="9"/>
            <color indexed="81"/>
            <rFont val="Tahoma"/>
            <family val="2"/>
          </rPr>
          <t>Tom Dang:
&lt;[[DEVDeals] - [Budget Initial (Seq: 1)] - [Budget Initial - User Defined Field Values (Seq: 1)] Development Budget Details - CDA/FHA Risk Sharing Fees (MHF Administrative and Legal Fee) - Both]&gt;</t>
        </r>
      </text>
    </comment>
    <comment ref="Z592" authorId="0" shapeId="0" xr:uid="{DD253A78-7DFC-423C-8E4E-DE1528AF4440}">
      <text>
        <r>
          <rPr>
            <b/>
            <sz val="9"/>
            <color indexed="81"/>
            <rFont val="Tahoma"/>
            <family val="2"/>
          </rPr>
          <t>&lt;[[DEVDeals] - [Associated TC Deal (Seq: 1)] - [TC Property Current Stage (Seq: 1)] - [TC Property Current Stage - User Defined Field Values (Seq: 1)] Development Budget Details - MHF Administrative and Legal Fee (CDA/FHA Risk Sharing) - Both]&gt;</t>
        </r>
      </text>
    </comment>
    <comment ref="N593" authorId="0" shapeId="0" xr:uid="{AEB554CF-D87D-414F-82A5-966EC7B08EC8}">
      <text>
        <r>
          <rPr>
            <b/>
            <sz val="9"/>
            <color indexed="81"/>
            <rFont val="Tahoma"/>
            <family val="2"/>
          </rPr>
          <t>Tom Dang:
&lt;[[DEVDeals] - [Budget Initial (Seq: 1)] - [Budget Initial - User Defined Field Values (Seq: 1)] Development Budget Details - Construction Loan Period MIP - Both]&gt;</t>
        </r>
      </text>
    </comment>
    <comment ref="R593" authorId="0" shapeId="0" xr:uid="{F5B27B83-B149-4074-8960-8FBAB247AE07}">
      <text>
        <r>
          <rPr>
            <b/>
            <sz val="9"/>
            <color indexed="81"/>
            <rFont val="Tahoma"/>
            <family val="2"/>
          </rPr>
          <t>Tom Dang:
 &lt;[[DEVDeals] - [Associated TC Deal (Seq: 1)] - [TC Property Current Stage (Seq: 1)] - [Actual Property Costs (Seq: 1)] Acq Addl Cost 3 - Both]&gt;</t>
        </r>
      </text>
    </comment>
    <comment ref="S593" authorId="0" shapeId="0" xr:uid="{278FE928-3CA6-4074-8AD5-E3A64B542282}">
      <text>
        <r>
          <rPr>
            <b/>
            <sz val="9"/>
            <color indexed="81"/>
            <rFont val="Tahoma"/>
            <family val="2"/>
          </rPr>
          <t>&lt;[[DEVDeals] - [Associated TC Deal (Seq: 1)] - [TC Property Current Stage (Seq: 1)] - [Acquisition Property Costs (Seq: 1)] Acq Addl Cost 3 - Both]&gt;</t>
        </r>
      </text>
    </comment>
    <comment ref="T593" authorId="0" shapeId="0" xr:uid="{A1446EAE-87CB-4961-AFB5-E96BE65684EA}">
      <text>
        <r>
          <rPr>
            <b/>
            <sz val="9"/>
            <color indexed="81"/>
            <rFont val="Tahoma"/>
            <family val="2"/>
          </rPr>
          <t>&lt;[[DEVDeals] - [Associated TC Deal (Seq: 1)] - [TC Property Current Stage (Seq: 1)] - [4% Construction Property Costs (Seq: 1)] Rehab Addl Cost 3 - Both]&gt;</t>
        </r>
      </text>
    </comment>
    <comment ref="U593" authorId="0" shapeId="0" xr:uid="{B2FEFF3E-856A-4893-B756-E3F2746330EA}">
      <text>
        <r>
          <rPr>
            <b/>
            <sz val="9"/>
            <color indexed="81"/>
            <rFont val="Tahoma"/>
            <family val="2"/>
          </rPr>
          <t>&lt;[[DEVDeals] - [Associated TC Deal (Seq: 1)] - [TC Property Current Stage (Seq: 1)] - [9% Construction Property Costs (Seq: 1)] Rehab Addl Cost 3 - Both]&gt;</t>
        </r>
      </text>
    </comment>
    <comment ref="V593" authorId="0" shapeId="0" xr:uid="{A20B419E-5EF2-4DC3-A5BE-0B6DEE642AB9}">
      <text>
        <r>
          <rPr>
            <b/>
            <sz val="9"/>
            <color indexed="81"/>
            <rFont val="Tahoma"/>
            <family val="2"/>
          </rPr>
          <t>&lt;[[DEVDeals] - [Associated TC Deal (Seq: 1)] - [TC Property Current Stage (Seq: 1)] Additional Costs3 - Both]&gt;</t>
        </r>
      </text>
    </comment>
    <comment ref="Z593" authorId="0" shapeId="0" xr:uid="{338F79BD-11E0-4CE1-B88F-C9C459CA0CEC}">
      <text>
        <r>
          <rPr>
            <b/>
            <sz val="9"/>
            <color indexed="81"/>
            <rFont val="Tahoma"/>
            <family val="2"/>
          </rPr>
          <t>&lt;[[DEVDeals] - [Associated TC Deal (Seq: 1)] - [TC Property Current Stage (Seq: 1)] - [TC Property Current Stage - User Defined Field Values (Seq: 1)] Development Budget Details - Construction Loan Period MIP (CDA/FHA Risk Sharing) - Both]&gt;</t>
        </r>
      </text>
    </comment>
    <comment ref="N594" authorId="0" shapeId="0" xr:uid="{92D626E3-5316-45B2-A575-B4027EA5FCE6}">
      <text>
        <r>
          <rPr>
            <b/>
            <sz val="9"/>
            <color indexed="81"/>
            <rFont val="Tahoma"/>
            <family val="2"/>
          </rPr>
          <t>Tom Dang:
&lt;[[DEVDeals] - [Budget Initial (Seq: 1)] - [Budget Initial - User Defined Field Values (Seq: 1)] Development Budget Details - First Year's Permanent MIP - Both]&gt;</t>
        </r>
      </text>
    </comment>
    <comment ref="Z594" authorId="0" shapeId="0" xr:uid="{140B91E6-B12B-40D9-A7F8-EC1A5091910A}">
      <text>
        <r>
          <rPr>
            <b/>
            <sz val="9"/>
            <color indexed="81"/>
            <rFont val="Tahoma"/>
            <family val="2"/>
          </rPr>
          <t>&lt;[[DEVDeals] - [Associated TC Deal (Seq: 1)] - [TC Property Current Stage (Seq: 1)] - [TC Property Current Stage - User Defined Field Values (Seq: 1)] Development Budget Details - First Year's Permanent MIP (CDA/FHA Risk Sharing) - Both]&gt;</t>
        </r>
      </text>
    </comment>
    <comment ref="N595" authorId="0" shapeId="0" xr:uid="{F30BB1F9-A8D9-4270-9FF9-7247AF57F813}">
      <text>
        <r>
          <rPr>
            <b/>
            <sz val="9"/>
            <color indexed="81"/>
            <rFont val="Tahoma"/>
            <family val="2"/>
          </rPr>
          <t>Tom Dang:
&lt;[[DEVDeals] - [Budget Initial (Seq: 1)] - [Budget Initial - User Defined Field Values (Seq: 1)] Development Budget Details - CDA Closing Attorney's Fees - Both]&gt;</t>
        </r>
      </text>
    </comment>
    <comment ref="Z595" authorId="0" shapeId="0" xr:uid="{87B332B4-CD68-4AEB-A08E-4CCE5AF4D1FE}">
      <text>
        <r>
          <rPr>
            <b/>
            <sz val="9"/>
            <color indexed="81"/>
            <rFont val="Tahoma"/>
            <family val="2"/>
          </rPr>
          <t>&lt;[[DEVDeals] - [Associated TC Deal (Seq: 1)] - [TC Property Current Stage (Seq: 1)] - [TC Property Current Stage - User Defined Field Values (Seq: 1)] Development Budget Details - CDA Closing Attorney's Fees - Both]&gt;</t>
        </r>
      </text>
    </comment>
    <comment ref="N596" authorId="0" shapeId="0" xr:uid="{689F2979-0400-4621-B206-EE35918DE5CB}">
      <text>
        <r>
          <rPr>
            <b/>
            <sz val="9"/>
            <color indexed="81"/>
            <rFont val="Tahoma"/>
            <family val="2"/>
          </rPr>
          <t>&lt;[[DEVDeals] - [Budget Initial (Seq: 1)] - [Budget Initial - User Defined Field Values (Seq: 1)] Development Budget Details - CDA Tax Escrow Fee (All Bond Executions) - Both]&gt;</t>
        </r>
      </text>
    </comment>
    <comment ref="Z596" authorId="0" shapeId="0" xr:uid="{5BD7A6FE-E23A-4BED-B45A-D703A54DA3C8}">
      <text>
        <r>
          <rPr>
            <b/>
            <sz val="9"/>
            <color indexed="81"/>
            <rFont val="Tahoma"/>
            <family val="2"/>
          </rPr>
          <t>&lt;[[DEVDeals] - [Associated TC Deal (Seq: 1)] - [TC Property Current Stage (Seq: 1)] - [TC Property Current Stage - User Defined Field Values (Seq: 1)] Development Budget Details - CDA Tax Escrow Fee (All Bond Executions) - Both]&gt;</t>
        </r>
      </text>
    </comment>
    <comment ref="N597" authorId="0" shapeId="0" xr:uid="{CF6B5514-ACA6-490C-AFB4-DE3C08009FEF}">
      <text>
        <r>
          <rPr>
            <b/>
            <sz val="9"/>
            <color indexed="81"/>
            <rFont val="Tahoma"/>
            <family val="2"/>
          </rPr>
          <t>Tom Dang:
&lt;[[DEVDeals] - [Budget Initial (Seq: 1)] - [Budget Initial - User Defined Field Values (Seq: 1)] Development Budget Details - CDA Bond Financing Fee (Risk Sharing, LT GNMA, FTEL, FNMA MTEB) - Both]&gt;</t>
        </r>
      </text>
    </comment>
    <comment ref="R597" authorId="0" shapeId="0" xr:uid="{2878117E-36F4-4D8A-B813-D7F74B42DECA}">
      <text>
        <r>
          <rPr>
            <b/>
            <sz val="9"/>
            <color indexed="81"/>
            <rFont val="Tahoma"/>
            <family val="2"/>
          </rPr>
          <t>Tom Dang:
 &lt;[[DEVDeals] - [Associated TC Deal (Seq: 1)] - [TC Property Current Stage (Seq: 1)] - [Actual Property Costs (Seq: 1)] Acq Addl Cost 4 - Both]&gt;</t>
        </r>
      </text>
    </comment>
    <comment ref="S597" authorId="0" shapeId="0" xr:uid="{FA9AA747-B5F8-4F2F-B049-7171A336C97E}">
      <text>
        <r>
          <rPr>
            <b/>
            <sz val="9"/>
            <color indexed="81"/>
            <rFont val="Tahoma"/>
            <family val="2"/>
          </rPr>
          <t>&lt;[[DEVDeals] - [Associated TC Deal (Seq: 1)] - [TC Property Current Stage (Seq: 1)] - [Acquisition Property Costs (Seq: 1)] Acq Addl Cost 4 - Both]&gt;</t>
        </r>
      </text>
    </comment>
    <comment ref="T597" authorId="0" shapeId="0" xr:uid="{7741D038-4394-4D02-81B4-130465254611}">
      <text>
        <r>
          <rPr>
            <b/>
            <sz val="9"/>
            <color indexed="81"/>
            <rFont val="Tahoma"/>
            <family val="2"/>
          </rPr>
          <t>&lt;[[DEVDeals] - [Associated TC Deal (Seq: 1)] - [TC Property Current Stage (Seq: 1)] - [4% Construction Property Costs (Seq: 1)] Rehab Addl Cost 4 - Both]&gt;</t>
        </r>
      </text>
    </comment>
    <comment ref="U597" authorId="0" shapeId="0" xr:uid="{89A54BF0-16BE-4677-9522-F77A0CBF258F}">
      <text>
        <r>
          <rPr>
            <b/>
            <sz val="9"/>
            <color indexed="81"/>
            <rFont val="Tahoma"/>
            <family val="2"/>
          </rPr>
          <t>&lt;[[DEVDeals] - [Associated TC Deal (Seq: 1)] - [TC Property Current Stage (Seq: 1)] - [9% Construction Property Costs (Seq: 1)] Rehab Addl Cost 4 - Both]&gt;</t>
        </r>
      </text>
    </comment>
    <comment ref="V597" authorId="0" shapeId="0" xr:uid="{7AF69B4E-BEAD-4F61-8540-8557A6DBE1C4}">
      <text>
        <r>
          <rPr>
            <b/>
            <sz val="9"/>
            <color indexed="81"/>
            <rFont val="Tahoma"/>
            <family val="2"/>
          </rPr>
          <t>&lt;[[DEVDeals] - [Associated TC Deal (Seq: 1)] - [TC Property Current Stage (Seq: 1)] Additional Costs4 - Both]&gt;</t>
        </r>
      </text>
    </comment>
    <comment ref="Z597" authorId="0" shapeId="0" xr:uid="{B199AC5D-C7C4-4F44-999F-C736E27537AA}">
      <text>
        <r>
          <rPr>
            <b/>
            <sz val="9"/>
            <color indexed="81"/>
            <rFont val="Tahoma"/>
            <family val="2"/>
          </rPr>
          <t>&lt;[[DEVDeals] - [Associated TC Deal (Seq: 1)] - [TC Property Current Stage (Seq: 1)] - [TC Property Current Stage - User Defined Field Values (Seq: 1)] Development Budget Details - CDA Bond Financing Fee (Risk Sharing, LTGNMA, FTEL, FNMA MTEB) - Both]&gt;</t>
        </r>
      </text>
    </comment>
    <comment ref="N598" authorId="0" shapeId="0" xr:uid="{7DDC797C-93DC-47D6-85D9-0AFF8C3E0879}">
      <text>
        <r>
          <rPr>
            <b/>
            <sz val="9"/>
            <color indexed="81"/>
            <rFont val="Tahoma"/>
            <family val="2"/>
          </rPr>
          <t>Tom Dang:
&lt;[[DEVDeals] - [Budget Initial (Seq: 1)] - [Budget Initial - User Defined Field Values (Seq: 1)] Development Budget Details - CDA Bond Financing Fee (TX-TE GNMA) - Both]&gt;</t>
        </r>
      </text>
    </comment>
    <comment ref="Z598" authorId="0" shapeId="0" xr:uid="{0B8F509C-B732-46CB-9F3D-A8197F89DE8D}">
      <text>
        <r>
          <rPr>
            <b/>
            <sz val="9"/>
            <color indexed="81"/>
            <rFont val="Tahoma"/>
            <family val="2"/>
          </rPr>
          <t>&lt;[[DEVDeals] - [Associated TC Deal (Seq: 1)] - [TC Property Current Stage (Seq: 1)] - [TC Property Current Stage - User Defined Field Values (Seq: 1)] Development Budget Details - CDA Bond Financing Fee (TX-TE GNMA) - Both]&gt;</t>
        </r>
      </text>
    </comment>
    <comment ref="N599" authorId="0" shapeId="0" xr:uid="{91B1DDBE-53D2-4649-8596-AB90B5D96E4F}">
      <text>
        <r>
          <rPr>
            <b/>
            <sz val="9"/>
            <color indexed="81"/>
            <rFont val="Tahoma"/>
            <family val="2"/>
          </rPr>
          <t>Tom Dang:
&lt;[[DEVDeals] - [Budget Initial (Seq: 1)] - [Budget Initial - User Defined Field Values (Seq: 1)] Development Budget Details - Trustee Fee (TX-TE GNMA, FTEL, FNMA MTEB) - Both]&gt;</t>
        </r>
      </text>
    </comment>
    <comment ref="Z599" authorId="0" shapeId="0" xr:uid="{BB524F2F-A25F-4824-977E-4D9A8F5D0850}">
      <text>
        <r>
          <rPr>
            <b/>
            <sz val="9"/>
            <color indexed="81"/>
            <rFont val="Tahoma"/>
            <family val="2"/>
          </rPr>
          <t>&lt;[[DEVDeals] - [Associated TC Deal (Seq: 1)] - [TC Property Current Stage (Seq: 1)] - [TC Property Current Stage - User Defined Field Values (Seq: 1)] Development Budget Details - Trustee Fee (TX-TE GNMA, FTEL, FNMA MTEB) - Both]&gt;</t>
        </r>
      </text>
    </comment>
    <comment ref="N600" authorId="0" shapeId="0" xr:uid="{66CFEAAF-D315-4437-BD1D-DD9ACF38B9A6}">
      <text>
        <r>
          <rPr>
            <b/>
            <sz val="9"/>
            <color indexed="81"/>
            <rFont val="Tahoma"/>
            <family val="2"/>
          </rPr>
          <t>Tom Dang:
&lt;[[DEVDeals] - [Budget Initial (Seq: 1)] - [Budget Initial - User Defined Field Values (Seq: 1)] Development Budget Details - Rebate Analyst Fee (All Bond Executions) - Both]&gt;</t>
        </r>
      </text>
    </comment>
    <comment ref="Z600" authorId="0" shapeId="0" xr:uid="{8EE7A119-15EC-4299-9181-7ADEABFFD2A9}">
      <text>
        <r>
          <rPr>
            <b/>
            <sz val="9"/>
            <color indexed="81"/>
            <rFont val="Tahoma"/>
            <family val="2"/>
          </rPr>
          <t>&lt;[[DEVDeals] - [Associated TC Deal (Seq: 1)] - [TC Property Current Stage (Seq: 1)] - [TC Property Current Stage - User Defined Field Values (Seq: 1)] Development Budget Details - Rebate Analyst Fee (All Bond Executions) - Both]&gt;</t>
        </r>
      </text>
    </comment>
    <comment ref="N601" authorId="0" shapeId="0" xr:uid="{A446EDA8-1958-4682-9B96-6773F2059EA1}">
      <text>
        <r>
          <rPr>
            <b/>
            <sz val="9"/>
            <color indexed="81"/>
            <rFont val="Tahoma"/>
            <family val="2"/>
          </rPr>
          <t>Tom Dang:
&lt;[[DEVDeals] - [Budget Initial (Seq: 1)] - [Budget Initial - User Defined Field Values (Seq: 1)] Development Budget Details - MHF Short Term Bond Loan Insurance - Both]&gt;</t>
        </r>
      </text>
    </comment>
    <comment ref="N602" authorId="0" shapeId="0" xr:uid="{DF12F3A6-C4AE-493E-A5DB-09A0E6C05AB6}">
      <text>
        <r>
          <rPr>
            <b/>
            <sz val="9"/>
            <color indexed="81"/>
            <rFont val="Tahoma"/>
            <family val="2"/>
          </rPr>
          <t>Tom Dang:
&lt;[[DEVDeals] - [Budget Initial (Seq: 1)] - [Budget Initial - User Defined Field Values (Seq: 1)] Development Budget Details - Conversion to Perm Fee (FTEL, FNMA MTEB) - Both]&gt;</t>
        </r>
      </text>
    </comment>
    <comment ref="Z602" authorId="0" shapeId="0" xr:uid="{21B66C70-499D-43A5-8C72-2843AAAF4C3C}">
      <text>
        <r>
          <rPr>
            <b/>
            <sz val="9"/>
            <color indexed="81"/>
            <rFont val="Tahoma"/>
            <family val="2"/>
          </rPr>
          <t>&lt;[[DEVDeals] - [Associated TC Deal (Seq: 1)] - [TC Property Current Stage (Seq: 1)] - [TC Property Current Stage - User Defined Field Values (Seq: 1)] Development Budget Details - Conversion to Perm Fee (FTEL, FNMA MTEB) - Both]&gt;</t>
        </r>
      </text>
    </comment>
    <comment ref="N603" authorId="0" shapeId="0" xr:uid="{2785C813-6745-494D-AFFA-495DCA2492B9}">
      <text>
        <r>
          <rPr>
            <b/>
            <sz val="9"/>
            <color indexed="81"/>
            <rFont val="Tahoma"/>
            <family val="2"/>
          </rPr>
          <t>Tom Dang:
 &lt;[[DEVDeals] - [Budget Initial (Seq: 1)] - [Budget Initial - User Defined Field Values (Seq: 1)] Development Budget Details - Other Lenders' Origination Fees (non-syndication only) - Both]&gt;</t>
        </r>
      </text>
    </comment>
    <comment ref="R603" authorId="0" shapeId="0" xr:uid="{6D50AB3A-470C-4F05-9EB7-3DCD7D4DBC85}">
      <text>
        <r>
          <rPr>
            <b/>
            <sz val="9"/>
            <color indexed="81"/>
            <rFont val="Tahoma"/>
            <family val="2"/>
          </rPr>
          <t>Tom Dang:
 &lt;[[DEVDeals] - [Associated TC Deal (Seq: 1)] - [TC Property Current Stage (Seq: 1)] - [Actual Property Costs (Seq: 1)] Acq Addl Cost 5 - Both]&gt;</t>
        </r>
      </text>
    </comment>
    <comment ref="S603" authorId="0" shapeId="0" xr:uid="{055DD6CB-9062-4F1E-8E96-8AF93EBFEFF9}">
      <text>
        <r>
          <rPr>
            <b/>
            <sz val="9"/>
            <color indexed="81"/>
            <rFont val="Tahoma"/>
            <family val="2"/>
          </rPr>
          <t>&lt;[[DEVDeals] - [Associated TC Deal (Seq: 1)] - [TC Property Current Stage (Seq: 1)] - [Acquisition Property Costs (Seq: 1)] Acq Addl Cost 5 - Both]&gt;</t>
        </r>
      </text>
    </comment>
    <comment ref="T603" authorId="0" shapeId="0" xr:uid="{C4290E82-A971-4902-BAAC-B675583ED4BE}">
      <text>
        <r>
          <rPr>
            <b/>
            <sz val="9"/>
            <color indexed="81"/>
            <rFont val="Tahoma"/>
            <family val="2"/>
          </rPr>
          <t>&lt;[[DEVDeals] - [Associated TC Deal (Seq: 1)] - [TC Property Current Stage (Seq: 1)] - [4% Construction Property Costs (Seq: 1)] Rehab Addl Cost 5 - Both]&gt;</t>
        </r>
      </text>
    </comment>
    <comment ref="U603" authorId="0" shapeId="0" xr:uid="{8A4A89F5-F712-4E15-9342-2382EC574581}">
      <text>
        <r>
          <rPr>
            <b/>
            <sz val="9"/>
            <color indexed="81"/>
            <rFont val="Tahoma"/>
            <family val="2"/>
          </rPr>
          <t>&lt;[[DEVDeals] - [Associated TC Deal (Seq: 1)] - [TC Property Current Stage (Seq: 1)] - [9% Construction Property Costs (Seq: 1)] Rehab Addl Cost 5 - Both]&gt;</t>
        </r>
      </text>
    </comment>
    <comment ref="V603" authorId="0" shapeId="0" xr:uid="{C692C7BD-A99F-45BC-A76F-5EE864EDE492}">
      <text>
        <r>
          <rPr>
            <b/>
            <sz val="9"/>
            <color indexed="81"/>
            <rFont val="Tahoma"/>
            <family val="2"/>
          </rPr>
          <t>&lt;[[DEVDeals] - [Associated TC Deal (Seq: 1)] - [TC Property Current Stage (Seq: 1)] Additional Costs5 - Both]&gt;</t>
        </r>
      </text>
    </comment>
    <comment ref="Z603" authorId="0" shapeId="0" xr:uid="{83F4FBB6-10EC-43F4-BFA0-3DA5B415F342}">
      <text>
        <r>
          <rPr>
            <b/>
            <sz val="9"/>
            <color indexed="81"/>
            <rFont val="Tahoma"/>
            <family val="2"/>
          </rPr>
          <t>&lt;[[DEVDeals] - [Associated TC Deal (Seq: 1)] - [TC Property Current Stage (Seq: 1)] - [TC Property Current Stage - User Defined Field Values (Seq: 1)] Development Budget Details - Other Lenders' Origination Fees (non-syndication only) - Both]&gt;</t>
        </r>
      </text>
    </comment>
    <comment ref="N604" authorId="0" shapeId="0" xr:uid="{B6EBD19C-215C-4001-B920-9F90EF70C169}">
      <text>
        <r>
          <rPr>
            <b/>
            <sz val="9"/>
            <color indexed="81"/>
            <rFont val="Tahoma"/>
            <family val="2"/>
          </rPr>
          <t>&lt;[[DEVDeals] - [Budget Initial (Seq: 1)] - [Budget Initial - User Defined Field Values (Seq: 1)] Development Budget Details - Other Lenders' Legal Fees (non-syndication only) - Both]&gt;</t>
        </r>
      </text>
    </comment>
    <comment ref="Z604" authorId="0" shapeId="0" xr:uid="{80C9D64A-6605-4407-BC49-064011EFCBE6}">
      <text>
        <r>
          <rPr>
            <b/>
            <sz val="9"/>
            <color indexed="81"/>
            <rFont val="Tahoma"/>
            <family val="2"/>
          </rPr>
          <t>&lt;[[DEVDeals] - [Associated TC Deal (Seq: 1)] - [TC Property Current Stage (Seq: 1)] - [TC Property Current Stage - User Defined Field Values (Seq: 1)] Development Budget Details - Other Lenders' Legal Fees (non-syndication only) - Both]&gt;</t>
        </r>
      </text>
    </comment>
    <comment ref="N605" authorId="0" shapeId="0" xr:uid="{66E36D40-9EA5-404C-A848-F56E79A87C5A}">
      <text>
        <r>
          <rPr>
            <b/>
            <sz val="9"/>
            <color indexed="81"/>
            <rFont val="Tahoma"/>
            <family val="2"/>
          </rPr>
          <t>&lt;[[DEVDeals] - [Budget Initial (Seq: 1)] - [Budget Initial - User Defined Field Values (Seq: 1)] Development Budget Details - Other Lenders' Due Diligence Fees (non-syndication only) - Both]&gt;</t>
        </r>
      </text>
    </comment>
    <comment ref="Z605" authorId="0" shapeId="0" xr:uid="{6AE54374-0C9C-4267-988C-9A339DBD8CCD}">
      <text>
        <r>
          <rPr>
            <b/>
            <sz val="9"/>
            <color indexed="81"/>
            <rFont val="Tahoma"/>
            <family val="2"/>
          </rPr>
          <t>&lt;[[DEVDeals] - [Associated TC Deal (Seq: 1)] - [TC Property Current Stage (Seq: 1)] - [TC Property Current Stage - User Defined Field Values (Seq: 1)] Development Budget Details - Other Lender's Due Diligence Fees (non-syndication only) - Both]&gt;</t>
        </r>
      </text>
    </comment>
    <comment ref="J606" authorId="0" shapeId="0" xr:uid="{731F85C4-33A6-4F6C-AD56-4BE13E2EA2CC}">
      <text>
        <r>
          <rPr>
            <b/>
            <sz val="9"/>
            <color indexed="81"/>
            <rFont val="Tahoma"/>
            <family val="2"/>
          </rPr>
          <t>&lt;[[DEVDeals] - [Budget Initial (Seq: 1)] SC Other5 - Both]&gt;</t>
        </r>
      </text>
    </comment>
    <comment ref="N606" authorId="0" shapeId="0" xr:uid="{A04F0DDC-B556-4F31-A975-95A1374EA92B}">
      <text>
        <r>
          <rPr>
            <b/>
            <sz val="9"/>
            <color indexed="81"/>
            <rFont val="Tahoma"/>
            <family val="2"/>
          </rPr>
          <t>&lt;[[DEVDeals] - [Budget Initial (Seq: 1)] - [Budget Initial - User Defined Field Values (Seq: 1)] Development Budget Details - FHA Lender Legal - Both]&gt;</t>
        </r>
      </text>
    </comment>
    <comment ref="Z606" authorId="0" shapeId="0" xr:uid="{5D9378A3-9B64-4EDF-B560-93F80F758AB4}">
      <text>
        <r>
          <rPr>
            <b/>
            <sz val="9"/>
            <color indexed="81"/>
            <rFont val="Tahoma"/>
            <family val="2"/>
          </rPr>
          <t>&lt;[[DEVDeals] - [Associated TC Deal (Seq: 1)] - [TC Property Current Stage (Seq: 1)] - [TC Property Current Stage - User Defined Field Values (Seq: 1)] Development Budget Details - FHA Lender Legal - Both]&gt;</t>
        </r>
      </text>
    </comment>
    <comment ref="N607" authorId="0" shapeId="0" xr:uid="{9668D8A8-D49A-4E7F-AC03-326E2D998478}">
      <text>
        <r>
          <rPr>
            <b/>
            <sz val="9"/>
            <color indexed="81"/>
            <rFont val="Tahoma"/>
            <family val="2"/>
          </rPr>
          <t>&lt;[[DEVDeals] - [Budget Initial (Seq: 1)] - [Budget Initial - User Defined Field Values (Seq: 1)] Development Budget Details - FHA Lender Commitment Fee - Both]&gt;</t>
        </r>
      </text>
    </comment>
    <comment ref="Z607" authorId="0" shapeId="0" xr:uid="{8B2BF17A-01B8-435C-8D7C-18B87BBB73D7}">
      <text>
        <r>
          <rPr>
            <b/>
            <sz val="9"/>
            <color indexed="81"/>
            <rFont val="Tahoma"/>
            <family val="2"/>
          </rPr>
          <t>&lt;[[DEVDeals] - [Associated TC Deal (Seq: 1)] - [TC Property Current Stage (Seq: 1)] - [TC Property Current Stage - User Defined Field Values (Seq: 1)] Development Budget Details - FHA Lender Commitment Fee - Both]&gt;</t>
        </r>
      </text>
    </comment>
    <comment ref="N608" authorId="0" shapeId="0" xr:uid="{6E88326F-D512-4B08-AAEF-81FCB46C5ABA}">
      <text>
        <r>
          <rPr>
            <b/>
            <sz val="9"/>
            <color indexed="81"/>
            <rFont val="Tahoma"/>
            <family val="2"/>
          </rPr>
          <t>&lt;[[DEVDeals] - [Budget Initial (Seq: 1)] - [Budget Initial - User Defined Field Values (Seq: 1)] Development Budget Details - FHA Inspection Fee - Both]&gt;</t>
        </r>
      </text>
    </comment>
    <comment ref="Z608" authorId="0" shapeId="0" xr:uid="{8C3B48FC-2C60-4A5F-BC33-6247D9AF97ED}">
      <text>
        <r>
          <rPr>
            <b/>
            <sz val="9"/>
            <color indexed="81"/>
            <rFont val="Tahoma"/>
            <family val="2"/>
          </rPr>
          <t>&lt;[[DEVDeals] - [Associated TC Deal (Seq: 1)] - [TC Property Current Stage (Seq: 1)] - [TC Property Current Stage - User Defined Field Values (Seq: 1)] Development Budget Details - FHA Lender Inspection Fee - Both]&gt;</t>
        </r>
      </text>
    </comment>
    <comment ref="N609" authorId="0" shapeId="0" xr:uid="{0D3DF084-487B-44CC-B7ED-EAEA39308321}">
      <text>
        <r>
          <rPr>
            <b/>
            <sz val="9"/>
            <color indexed="81"/>
            <rFont val="Tahoma"/>
            <family val="2"/>
          </rPr>
          <t>&lt;[[DEVDeals] - [Budget Initial (Seq: 1)] - [Budget Initial - User Defined Field Values (Seq: 1)] Development Budget Details - FHA Lender Fee - Both]&gt;</t>
        </r>
      </text>
    </comment>
    <comment ref="Z609" authorId="0" shapeId="0" xr:uid="{55693349-5C04-43F1-AC0E-E2F4C5CCE784}">
      <text>
        <r>
          <rPr>
            <b/>
            <sz val="9"/>
            <color indexed="81"/>
            <rFont val="Tahoma"/>
            <family val="2"/>
          </rPr>
          <t>&lt;[[DEVDeals] - [Associated TC Deal (Seq: 1)] - [TC Property Current Stage (Seq: 1)] - [TC Property Current Stage - User Defined Field Values (Seq: 1)] Development Budget Details - FHA Lender Fee - Both]&gt;</t>
        </r>
      </text>
    </comment>
    <comment ref="N610" authorId="0" shapeId="0" xr:uid="{7EBB01BA-0396-4E3E-8C45-FE4EBC0CF2D2}">
      <text>
        <r>
          <rPr>
            <b/>
            <sz val="9"/>
            <color indexed="81"/>
            <rFont val="Tahoma"/>
            <family val="2"/>
          </rPr>
          <t>&lt;[[DEVDeals] - [Budget Initial (Seq: 1)] - [Budget Initial - User Defined Field Values (Seq: 1)] Development Budget Details - FHA Lender Due Diligence - Both]&gt;</t>
        </r>
      </text>
    </comment>
    <comment ref="Z610" authorId="0" shapeId="0" xr:uid="{7AF2AA3F-CA88-458E-9574-94D2BF27EC8D}">
      <text>
        <r>
          <rPr>
            <b/>
            <sz val="9"/>
            <color indexed="81"/>
            <rFont val="Tahoma"/>
            <family val="2"/>
          </rPr>
          <t>&lt;[[DEVDeals] - [Associated TC Deal (Seq: 1)] - [TC Property Current Stage (Seq: 1)] - [TC Property Current Stage - User Defined Field Values (Seq: 1)] Development Budget Details - FHA Lender Due Diligence - Both]&gt;</t>
        </r>
      </text>
    </comment>
    <comment ref="N611" authorId="0" shapeId="0" xr:uid="{F8774359-3168-4F6A-8A58-BACC53C9C850}">
      <text>
        <r>
          <rPr>
            <b/>
            <sz val="9"/>
            <color indexed="81"/>
            <rFont val="Tahoma"/>
            <family val="2"/>
          </rPr>
          <t>&lt;[[DEVDeals] - [Budget Initial (Seq: 1)] - [Budget Initial - User Defined Field Values (Seq: 1)] Development Budget Details - FHA  Lender Processing Fee - Both]&gt;</t>
        </r>
      </text>
    </comment>
    <comment ref="Z611" authorId="0" shapeId="0" xr:uid="{180C4B6E-5EF4-439C-84FF-A37B1A156C3F}">
      <text>
        <r>
          <rPr>
            <b/>
            <sz val="9"/>
            <color indexed="81"/>
            <rFont val="Tahoma"/>
            <family val="2"/>
          </rPr>
          <t>&lt;[[DEVDeals] - [Associated TC Deal (Seq: 1)] - [TC Property Current Stage (Seq: 1)] - [TC Property Current Stage - User Defined Field Values (Seq: 1)] Development Budget Details - FHA Lender Processing Fee - Both]&gt;</t>
        </r>
      </text>
    </comment>
    <comment ref="N612" authorId="0" shapeId="0" xr:uid="{3EE0FC88-50CF-4183-84D5-5ECFBEBCB6CD}">
      <text>
        <r>
          <rPr>
            <b/>
            <sz val="9"/>
            <color indexed="81"/>
            <rFont val="Tahoma"/>
            <family val="2"/>
          </rPr>
          <t>&lt;[[DEVDeals] - [Budget Initial (Seq: 1)] - [Budget Initial - User Defined Field Values (Seq: 1)] Development Budget Details - Financing Fees - Other 1 - Both]&gt;</t>
        </r>
      </text>
    </comment>
    <comment ref="Z612" authorId="0" shapeId="0" xr:uid="{09D79C07-587F-4F6B-BB91-9FC4B7A016F5}">
      <text>
        <r>
          <rPr>
            <b/>
            <sz val="9"/>
            <color indexed="81"/>
            <rFont val="Tahoma"/>
            <family val="2"/>
          </rPr>
          <t>&lt;[[DEVDeals] - [Associated TC Deal (Seq: 1)] - [TC Property Current Stage (Seq: 1)] - [TC Property Current Stage - User Defined Field Values (Seq: 1)] Development Budget Details - Financing Fees - Other 1 - Both]&gt;</t>
        </r>
      </text>
    </comment>
    <comment ref="N613" authorId="0" shapeId="0" xr:uid="{525F81AA-7346-4CD8-AAEC-D47DEBDB9D55}">
      <text>
        <r>
          <rPr>
            <b/>
            <sz val="9"/>
            <color indexed="81"/>
            <rFont val="Tahoma"/>
            <family val="2"/>
          </rPr>
          <t>&lt;[[DEVDeals] - [Budget Initial (Seq: 1)] - [Budget Initial - User Defined Field Values (Seq: 1)] Development Budget Details - Financing Fees - Other 2 - Both]&gt;</t>
        </r>
      </text>
    </comment>
    <comment ref="Z613" authorId="0" shapeId="0" xr:uid="{9AD0CD3A-020F-4144-A51F-3096352E45E1}">
      <text>
        <r>
          <rPr>
            <b/>
            <sz val="9"/>
            <color indexed="81"/>
            <rFont val="Tahoma"/>
            <family val="2"/>
          </rPr>
          <t>&lt;[[DEVDeals] - [Associated TC Deal (Seq: 1)] - [TC Property Current Stage (Seq: 1)] - [TC Property Current Stage - User Defined Field Values (Seq: 1)] Development Budget Details - Financing Fees - Other 2 - Both]&gt;</t>
        </r>
      </text>
    </comment>
    <comment ref="N614" authorId="0" shapeId="0" xr:uid="{949E5BDC-2579-43D4-AF0E-16B1A7E62585}">
      <text>
        <r>
          <rPr>
            <b/>
            <sz val="9"/>
            <color indexed="81"/>
            <rFont val="Tahoma"/>
            <family val="2"/>
          </rPr>
          <t>&lt;[[DEVDeals] - [Budget Initial (Seq: 1)] - [Budget Initial - User Defined Field Values (Seq: 1)] Development Budget Details - Financing Fees - Other 3 - Both]&gt;</t>
        </r>
      </text>
    </comment>
    <comment ref="Z614" authorId="0" shapeId="0" xr:uid="{DD689446-0E64-41D0-954E-9BE360161291}">
      <text>
        <r>
          <rPr>
            <b/>
            <sz val="9"/>
            <color indexed="81"/>
            <rFont val="Tahoma"/>
            <family val="2"/>
          </rPr>
          <t>&lt;[[DEVDeals] - [Associated TC Deal (Seq: 1)] - [TC Property Current Stage (Seq: 1)] - [TC Property Current Stage - User Defined Field Values (Seq: 1)] Development Budget Details - Financing Fees - Other 3 - Both]&gt;</t>
        </r>
      </text>
    </comment>
    <comment ref="N615" authorId="0" shapeId="0" xr:uid="{F7F792A6-4604-45F0-ACAD-59C3B3A29CC6}">
      <text>
        <r>
          <rPr>
            <b/>
            <sz val="9"/>
            <color indexed="81"/>
            <rFont val="Tahoma"/>
            <family val="2"/>
          </rPr>
          <t>&lt;[[DEVDeals] - [Budget Initial (Seq: 1)] - [Budget Initial - User Defined Field Values (Seq: 1)] Development Budget Details - Financing Fees - Other 4 - Both]&gt;</t>
        </r>
      </text>
    </comment>
    <comment ref="Z615" authorId="0" shapeId="0" xr:uid="{E86F175B-EBE5-4204-8C17-048FEBB0BF55}">
      <text>
        <r>
          <rPr>
            <b/>
            <sz val="9"/>
            <color indexed="81"/>
            <rFont val="Tahoma"/>
            <family val="2"/>
          </rPr>
          <t>&lt;[[DEVDeals] - [Associated TC Deal (Seq: 1)] - [TC Property Current Stage (Seq: 1)] - [TC Property Current Stage - User Defined Field Values (Seq: 1)] Development Budget Details - Financing Fees - Other 4 - Both]&gt;</t>
        </r>
      </text>
    </comment>
    <comment ref="J616" authorId="0" shapeId="0" xr:uid="{2C08B700-3AE6-4F08-AF02-05087A086B5F}">
      <text>
        <r>
          <rPr>
            <b/>
            <sz val="9"/>
            <color indexed="81"/>
            <rFont val="Tahoma"/>
            <family val="2"/>
          </rPr>
          <t>&lt;[[DEVDeals] - [Budget Initial (Seq: 1)] SC Other2 Comments - Both]&gt;</t>
        </r>
      </text>
    </comment>
    <comment ref="N616" authorId="0" shapeId="0" xr:uid="{FFB9574B-DF7B-44AD-A509-6789E389AD1D}">
      <text>
        <r>
          <rPr>
            <b/>
            <sz val="9"/>
            <color indexed="81"/>
            <rFont val="Tahoma"/>
            <family val="2"/>
          </rPr>
          <t>&lt;[[DEVDeals] - [Budget Initial (Seq: 1)] - [Budget Initial - User Defined Field Values (Seq: 1)] Development Budget Details - Financing Fees - Other 1 Describe - Both]&gt;</t>
        </r>
      </text>
    </comment>
    <comment ref="Z616" authorId="0" shapeId="0" xr:uid="{CB8FCE7C-97AD-4D3E-81AF-7680F7E8DAE2}">
      <text>
        <r>
          <rPr>
            <b/>
            <sz val="9"/>
            <color indexed="81"/>
            <rFont val="Tahoma"/>
            <family val="2"/>
          </rPr>
          <t>&lt;[[DEVDeals] - [Associated TC Deal (Seq: 1)] - [TC Property Current Stage (Seq: 1)] - [TC Property Current Stage - User Defined Field Values (Seq: 1)] Development Budget Details - Financing Fees - Other 1 Describe - Both]&gt;</t>
        </r>
      </text>
    </comment>
    <comment ref="J617" authorId="0" shapeId="0" xr:uid="{16987BC3-696B-45D2-A679-F7E6B28A5B89}">
      <text>
        <r>
          <rPr>
            <b/>
            <sz val="9"/>
            <color indexed="81"/>
            <rFont val="Tahoma"/>
            <family val="2"/>
          </rPr>
          <t>&lt;[[DEVDeals] - [Budget Initial (Seq: 1)] SC Other3 Comments - Both]&gt;</t>
        </r>
      </text>
    </comment>
    <comment ref="N617" authorId="0" shapeId="0" xr:uid="{22363658-2992-437F-B15F-D231F5093D27}">
      <text>
        <r>
          <rPr>
            <b/>
            <sz val="9"/>
            <color indexed="81"/>
            <rFont val="Tahoma"/>
            <family val="2"/>
          </rPr>
          <t>&lt;[[DEVDeals] - [Budget Initial (Seq: 1)] - [Budget Initial - User Defined Field Values (Seq: 1)] Development Budget Details - Financing Fees - Other 2 Describe - Both]&gt;</t>
        </r>
      </text>
    </comment>
    <comment ref="Z617" authorId="0" shapeId="0" xr:uid="{F561C238-897E-4F90-B065-AC1A05175D2D}">
      <text>
        <r>
          <rPr>
            <b/>
            <sz val="9"/>
            <color indexed="81"/>
            <rFont val="Tahoma"/>
            <family val="2"/>
          </rPr>
          <t>&lt;[[DEVDeals] - [Associated TC Deal (Seq: 1)] - [TC Property Current Stage (Seq: 1)] - [TC Property Current Stage - User Defined Field Values (Seq: 1)] Development Budget Details - Financing Fees - Other 2 Describe - Both]&gt;</t>
        </r>
      </text>
    </comment>
    <comment ref="J618" authorId="0" shapeId="0" xr:uid="{4BCC572F-7EDF-42EC-BD32-B74539F76343}">
      <text>
        <r>
          <rPr>
            <b/>
            <sz val="9"/>
            <color indexed="81"/>
            <rFont val="Tahoma"/>
            <family val="2"/>
          </rPr>
          <t>&lt;[[DEVDeals] - [Budget Initial (Seq: 1)] SC Other4 Comments - Both]&gt;</t>
        </r>
      </text>
    </comment>
    <comment ref="N618" authorId="0" shapeId="0" xr:uid="{6CAB4B3C-5059-4BD5-83DF-029BEB7FCCFD}">
      <text>
        <r>
          <rPr>
            <b/>
            <sz val="9"/>
            <color indexed="81"/>
            <rFont val="Tahoma"/>
            <family val="2"/>
          </rPr>
          <t>&lt;[[DEVDeals] - [Budget Initial (Seq: 1)] - [Budget Initial - User Defined Field Values (Seq: 1)] Development Budget Details - Financing Fees - Other 3 Describe - Both]&gt;</t>
        </r>
      </text>
    </comment>
    <comment ref="Z618" authorId="0" shapeId="0" xr:uid="{AED31B51-C7AF-46CD-8D9C-A57BD40C0731}">
      <text>
        <r>
          <rPr>
            <b/>
            <sz val="9"/>
            <color indexed="81"/>
            <rFont val="Tahoma"/>
            <family val="2"/>
          </rPr>
          <t>&lt;[[DEVDeals] - [Associated TC Deal (Seq: 1)] - [TC Property Current Stage (Seq: 1)] - [TC Property Current Stage - User Defined Field Values (Seq: 1)] Development Budget Details - Financing Fees - Other 3 Describe - Both]&gt;</t>
        </r>
      </text>
    </comment>
    <comment ref="J619" authorId="0" shapeId="0" xr:uid="{A3EA37C2-893C-4A2D-92BE-FDC99964AD2C}">
      <text>
        <r>
          <rPr>
            <b/>
            <sz val="9"/>
            <color indexed="81"/>
            <rFont val="Tahoma"/>
            <family val="2"/>
          </rPr>
          <t>&lt;[[DEVDeals] - [Budget Initial (Seq: 1)] SC Other5 Comments - Both]&gt;</t>
        </r>
      </text>
    </comment>
    <comment ref="N619" authorId="0" shapeId="0" xr:uid="{C7571872-DF68-4C0B-8C05-AD25D48198F0}">
      <text>
        <r>
          <rPr>
            <b/>
            <sz val="9"/>
            <color indexed="81"/>
            <rFont val="Tahoma"/>
            <family val="2"/>
          </rPr>
          <t>&lt;[[DEVDeals] - [Budget Initial (Seq: 1)] - [Budget Initial - User Defined Field Values (Seq: 1)] Development Budget Details - Financing Fees - Other 4 Describe - Both]&gt;</t>
        </r>
      </text>
    </comment>
    <comment ref="Z619" authorId="0" shapeId="0" xr:uid="{C475475E-F98F-4669-A24E-DAE4FFDDAD2A}">
      <text>
        <r>
          <rPr>
            <b/>
            <sz val="9"/>
            <color indexed="81"/>
            <rFont val="Tahoma"/>
            <family val="2"/>
          </rPr>
          <t>&lt;[[DEVDeals] - [Associated TC Deal (Seq: 1)] - [TC Property Current Stage (Seq: 1)] - [TC Property Current Stage - User Defined Field Values (Seq: 1)] Development Budget Details - Financing Fees - Other 4 Describe - Both]&gt;</t>
        </r>
      </text>
    </comment>
    <comment ref="J620" authorId="0" shapeId="0" xr:uid="{756565D5-591E-45F2-9C99-88D61A248DA0}">
      <text>
        <r>
          <rPr>
            <b/>
            <sz val="9"/>
            <color indexed="81"/>
            <rFont val="Tahoma"/>
            <family val="2"/>
          </rPr>
          <t>&lt;[[DEVDeals] - [Budget Initial (Seq: 1)] SC Acquisition - Both]&gt;</t>
        </r>
      </text>
    </comment>
    <comment ref="R620" authorId="0" shapeId="0" xr:uid="{5D8F88D4-0E9D-4396-ACEA-B597008CAA7D}">
      <text>
        <r>
          <rPr>
            <b/>
            <sz val="9"/>
            <color indexed="81"/>
            <rFont val="Tahoma"/>
            <family val="2"/>
          </rPr>
          <t>&lt;[[DEVDeals] - [Associated TC Deal (Seq: 1)] - [TC Property Current Stage (Seq: 1)] - [Actual Property Costs (Seq: 1)] Existing Improvements Cost - Both]&gt;</t>
        </r>
      </text>
    </comment>
    <comment ref="S620" authorId="0" shapeId="0" xr:uid="{BBEB06F5-802A-42D5-BD14-A9C57086FE5E}">
      <text>
        <r>
          <rPr>
            <b/>
            <sz val="9"/>
            <color indexed="81"/>
            <rFont val="Tahoma"/>
            <family val="2"/>
          </rPr>
          <t>&lt;[[DEVDeals] - [Associated TC Deal (Seq: 1)] - [TC Property Current Stage (Seq: 1)] - [Acquisition Property Costs (Seq: 1)] Existing Improvements Cost - Both]&gt;</t>
        </r>
      </text>
    </comment>
    <comment ref="J621" authorId="0" shapeId="0" xr:uid="{692DC4E1-9A1D-4DA1-9A6F-837C129FC731}">
      <text>
        <r>
          <rPr>
            <b/>
            <sz val="9"/>
            <color indexed="81"/>
            <rFont val="Tahoma"/>
            <family val="2"/>
          </rPr>
          <t>&lt;[[DEVDeals] - [Budget Initial (Seq: 1)] SC Land Acquisition - Both]&gt;</t>
        </r>
      </text>
    </comment>
    <comment ref="R621" authorId="0" shapeId="0" xr:uid="{E6EA37B9-E728-4880-AC28-34C147221CF9}">
      <text>
        <r>
          <rPr>
            <b/>
            <sz val="9"/>
            <color indexed="81"/>
            <rFont val="Tahoma"/>
            <family val="2"/>
          </rPr>
          <t>&lt;[[DEVDeals] - [Associated TC Deal (Seq: 1)] - [TC Property Current Stage (Seq: 1)] - [Actual Property Costs (Seq: 1)] Land Acq Cost - Both]&gt;</t>
        </r>
      </text>
    </comment>
    <comment ref="J622" authorId="0" shapeId="0" xr:uid="{F829440F-87B3-4F5E-9446-D5084E2CFD98}">
      <text>
        <r>
          <rPr>
            <b/>
            <sz val="9"/>
            <color indexed="81"/>
            <rFont val="Tahoma"/>
            <family val="2"/>
          </rPr>
          <t>&lt;[[DEVDeals] - [Budget Initial (Seq: 1)] SC Other6 - Both]&gt;</t>
        </r>
      </text>
    </comment>
    <comment ref="N622" authorId="0" shapeId="0" xr:uid="{8B86BBCF-3D0C-484C-8B8C-0F28454CF961}">
      <text>
        <r>
          <rPr>
            <b/>
            <sz val="9"/>
            <color indexed="81"/>
            <rFont val="Tahoma"/>
            <family val="2"/>
          </rPr>
          <t>&lt;[[DEVDeals] - [Budget Initial (Seq: 1)] - [Budget Initial - User Defined Field Values (Seq: 1)] Development Budget Details - Special Assessment - Both]&gt;</t>
        </r>
      </text>
    </comment>
    <comment ref="R622" authorId="0" shapeId="0" xr:uid="{297FE5FD-F8AD-42D6-9F8B-6419A3CD7E87}">
      <text>
        <r>
          <rPr>
            <b/>
            <sz val="9"/>
            <color indexed="81"/>
            <rFont val="Tahoma"/>
            <family val="2"/>
          </rPr>
          <t>&lt;[[DEVDeals] - [Associated TC Deal (Seq: 1)] - [TC Property Current Stage (Seq: 1)] - [Actual Property Costs (Seq: 1)] Acq Addl Cost 6 - Both]&gt;</t>
        </r>
      </text>
    </comment>
    <comment ref="S622" authorId="0" shapeId="0" xr:uid="{B68F07B6-EDC0-4943-94FA-3B9101712AC4}">
      <text>
        <r>
          <rPr>
            <b/>
            <sz val="9"/>
            <color indexed="81"/>
            <rFont val="Tahoma"/>
            <family val="2"/>
          </rPr>
          <t>&lt;[[DEVDeals] - [Associated TC Deal (Seq: 1)] - [TC Property Current Stage (Seq: 1)] - [Acquisition Property Costs (Seq: 1)] Acq Addl Cost 6 - Both]&gt;</t>
        </r>
      </text>
    </comment>
    <comment ref="V622" authorId="0" shapeId="0" xr:uid="{E9956CC8-2676-4EEC-B8C3-4A1EAA612C7E}">
      <text>
        <r>
          <rPr>
            <b/>
            <sz val="9"/>
            <color indexed="81"/>
            <rFont val="Tahoma"/>
            <family val="2"/>
          </rPr>
          <t>&lt;[[DEVDeals] - [Associated TC Deal (Seq: 1)] - [TC Property Current Stage (Seq: 1)] Additional Costs6 - Both]&gt;</t>
        </r>
      </text>
    </comment>
    <comment ref="Z622" authorId="0" shapeId="0" xr:uid="{AE95D7DC-D168-4593-97F7-A0767A63CEEC}">
      <text>
        <r>
          <rPr>
            <b/>
            <sz val="9"/>
            <color indexed="81"/>
            <rFont val="Tahoma"/>
            <family val="2"/>
          </rPr>
          <t>&lt;[[DEVDeals] - [Associated TC Deal (Seq: 1)] - [TC Property Current Stage (Seq: 1)] - [TC Property Current Stage - User Defined Field Values (Seq: 1)] Development Budget Details - Special Assessment - Both]&gt;</t>
        </r>
      </text>
    </comment>
    <comment ref="N623" authorId="0" shapeId="0" xr:uid="{A700D8E5-1B12-4EA6-A5E1-5C2713CD2756}">
      <text>
        <r>
          <rPr>
            <b/>
            <sz val="9"/>
            <color indexed="81"/>
            <rFont val="Tahoma"/>
            <family val="2"/>
          </rPr>
          <t>&lt;[[DEVDeals] - [Budget Initial (Seq: 1)] - [Budget Initial - User Defined Field Values (Seq: 1)] Development Budget Details - Carrying Charges - Both]&gt;</t>
        </r>
      </text>
    </comment>
    <comment ref="Z623" authorId="0" shapeId="0" xr:uid="{4477F0CA-EB69-4935-AAD5-02C802AC723B}">
      <text>
        <r>
          <rPr>
            <b/>
            <sz val="9"/>
            <color indexed="81"/>
            <rFont val="Tahoma"/>
            <family val="2"/>
          </rPr>
          <t>&lt;[[DEVDeals] - [Associated TC Deal (Seq: 1)] - [TC Property Current Stage (Seq: 1)] - [TC Property Current Stage - User Defined Field Values (Seq: 1)] Development Budget Details - Carrying Charges - Both]&gt;</t>
        </r>
      </text>
    </comment>
    <comment ref="J624" authorId="0" shapeId="0" xr:uid="{1E59C548-13C2-4E60-B106-394CD9B13940}">
      <text>
        <r>
          <rPr>
            <b/>
            <sz val="9"/>
            <color indexed="81"/>
            <rFont val="Tahoma"/>
            <family val="2"/>
          </rPr>
          <t>&lt;[[DEVDeals] - [Budget Initial (Seq: 1)] SC Tenant Relocation - Both]&gt;</t>
        </r>
      </text>
    </comment>
    <comment ref="R624" authorId="0" shapeId="0" xr:uid="{03DD1985-D9A9-4418-B62B-EF35A75F24BD}">
      <text>
        <r>
          <rPr>
            <b/>
            <sz val="9"/>
            <color indexed="81"/>
            <rFont val="Tahoma"/>
            <family val="2"/>
          </rPr>
          <t>&lt;[[DEVDeals] - [Associated TC Deal (Seq: 1)] - [TC Property Current Stage (Seq: 1)] - [Actual Property Costs (Seq: 1)] Acq Addl Cost 12 - Both]&gt;</t>
        </r>
      </text>
    </comment>
    <comment ref="S624" authorId="0" shapeId="0" xr:uid="{00CE34C9-C5B0-472E-B89E-65216C02845A}">
      <text>
        <r>
          <rPr>
            <b/>
            <sz val="9"/>
            <color indexed="81"/>
            <rFont val="Tahoma"/>
            <family val="2"/>
          </rPr>
          <t>&lt;[[DEVDeals] - [Associated TC Deal (Seq: 1)] - [TC Property Current Stage (Seq: 1)] - [Acquisition Property Costs (Seq: 1)] Acq Addl Cost 12 - Both]&gt;</t>
        </r>
      </text>
    </comment>
    <comment ref="V624" authorId="0" shapeId="0" xr:uid="{A2D142A8-5064-4101-81D6-119D877204F1}">
      <text>
        <r>
          <rPr>
            <b/>
            <sz val="9"/>
            <color indexed="81"/>
            <rFont val="Tahoma"/>
            <family val="2"/>
          </rPr>
          <t>&lt;[[DEVDeals] - [Associated TC Deal (Seq: 1)] - [TC Property Current Stage (Seq: 1)] Additional Costs12 - Both]&gt;</t>
        </r>
      </text>
    </comment>
    <comment ref="J625" authorId="0" shapeId="0" xr:uid="{05B5E527-526A-4B69-8B65-9E8C3D6129F8}">
      <text>
        <r>
          <rPr>
            <b/>
            <sz val="9"/>
            <color indexed="81"/>
            <rFont val="Tahoma"/>
            <family val="2"/>
          </rPr>
          <t>&lt;[[DEVDeals] - [Budget Initial (Seq: 1)] HC Off Site Improvements - Both]&gt;</t>
        </r>
      </text>
    </comment>
    <comment ref="R625" authorId="0" shapeId="0" xr:uid="{C3616FCD-433A-4D40-BC35-E73BFA827019}">
      <text>
        <r>
          <rPr>
            <b/>
            <sz val="9"/>
            <color indexed="81"/>
            <rFont val="Tahoma"/>
            <family val="2"/>
          </rPr>
          <t>&lt;[[DEVDeals] - [Associated TC Deal (Seq: 1)] - [TC Property Current Stage (Seq: 1)] - [Actual Property Costs (Seq: 1)] Off Site Improvements - Both]&gt;</t>
        </r>
      </text>
    </comment>
    <comment ref="S625" authorId="0" shapeId="0" xr:uid="{9509A77E-FC5F-4186-B1C0-354D622494A4}">
      <text>
        <r>
          <rPr>
            <b/>
            <sz val="9"/>
            <color indexed="81"/>
            <rFont val="Tahoma"/>
            <family val="2"/>
          </rPr>
          <t>&lt;[[DEVDeals] - [Associated TC Deal (Seq: 1)] - [TC Property Current Stage (Seq: 1)] - [Acquisition Property Costs (Seq: 1)] Off Site Improvements - Both]&gt;</t>
        </r>
      </text>
    </comment>
    <comment ref="N626" authorId="0" shapeId="0" xr:uid="{7A6A881A-8446-4C65-9E5D-71014000D855}">
      <text>
        <r>
          <rPr>
            <b/>
            <sz val="9"/>
            <color indexed="81"/>
            <rFont val="Tahoma"/>
            <family val="2"/>
          </rPr>
          <t>&lt;[[DEVDeals] - [Budget Initial (Seq: 1)] - [Budget Initial - User Defined Field Values (Seq: 1)] Development Budget Details - Acquisition - Other 1 - Both]&gt;</t>
        </r>
      </text>
    </comment>
    <comment ref="Z626" authorId="0" shapeId="0" xr:uid="{AB3B4D38-8A83-4FA7-8293-DD3A4D5176DD}">
      <text>
        <r>
          <rPr>
            <b/>
            <sz val="9"/>
            <color indexed="81"/>
            <rFont val="Tahoma"/>
            <family val="2"/>
          </rPr>
          <t>&lt;[[DEVDeals] - [Associated TC Deal (Seq: 1)] - [TC Property Current Stage (Seq: 1)] - [TC Property Current Stage - User Defined Field Values (Seq: 1)] Development Budget Details - Acquisition - Other 1 - Both]&gt;</t>
        </r>
      </text>
    </comment>
    <comment ref="N627" authorId="0" shapeId="0" xr:uid="{8F5A0D9A-0912-460A-BD6D-9193B85922D3}">
      <text>
        <r>
          <rPr>
            <b/>
            <sz val="9"/>
            <color indexed="81"/>
            <rFont val="Tahoma"/>
            <family val="2"/>
          </rPr>
          <t>&lt;[[DEVDeals] - [Budget Initial (Seq: 1)] - [Budget Initial - User Defined Field Values (Seq: 1)] Development Budget Details - Acquisition - Other 2 - Both]&gt;</t>
        </r>
      </text>
    </comment>
    <comment ref="Z627" authorId="0" shapeId="0" xr:uid="{BA56FAB3-A38A-4A11-B473-01A08487CF2E}">
      <text>
        <r>
          <rPr>
            <b/>
            <sz val="9"/>
            <color indexed="81"/>
            <rFont val="Tahoma"/>
            <family val="2"/>
          </rPr>
          <t>&lt;[[DEVDeals] - [Associated TC Deal (Seq: 1)] - [TC Property Current Stage (Seq: 1)] - [TC Property Current Stage - User Defined Field Values (Seq: 1)] Development Budget Details - Acquisition - Other 2 - Both]&gt;</t>
        </r>
      </text>
    </comment>
    <comment ref="J628" authorId="0" shapeId="0" xr:uid="{422ECFAC-ABAD-46AD-9B60-7E4807A38CDD}">
      <text>
        <r>
          <rPr>
            <b/>
            <sz val="9"/>
            <color indexed="81"/>
            <rFont val="Tahoma"/>
            <family val="2"/>
          </rPr>
          <t>&lt;[[DEVDeals] - [Budget Initial (Seq: 1)] SC Other6 Comments - Both]&gt;</t>
        </r>
      </text>
    </comment>
    <comment ref="N628" authorId="0" shapeId="0" xr:uid="{A44289DE-0244-4402-9E60-BC0EAD3F4DBC}">
      <text>
        <r>
          <rPr>
            <b/>
            <sz val="9"/>
            <color indexed="81"/>
            <rFont val="Tahoma"/>
            <family val="2"/>
          </rPr>
          <t>&lt;[[DEVDeals] - [Budget Initial (Seq: 1)] - [Budget Initial - User Defined Field Values (Seq: 1)] Development Budget Details - Acquisition - Other 1 Describe - Both]&gt;</t>
        </r>
      </text>
    </comment>
    <comment ref="Z628" authorId="0" shapeId="0" xr:uid="{8C0B8DC6-6AB1-4BBE-94C1-6BB7144ED7A8}">
      <text>
        <r>
          <rPr>
            <b/>
            <sz val="9"/>
            <color indexed="81"/>
            <rFont val="Tahoma"/>
            <family val="2"/>
          </rPr>
          <t>&lt;[[DEVDeals] - [Associated TC Deal (Seq: 1)] - [TC Property Current Stage (Seq: 1)] - [TC Property Current Stage - User Defined Field Values (Seq: 1)] Development Budget Details - Acquisition - Other 1 Describe - Both]&gt;</t>
        </r>
      </text>
    </comment>
    <comment ref="N629" authorId="0" shapeId="0" xr:uid="{C332F7F4-0FBD-427E-A5BC-A92BC54A5287}">
      <text>
        <r>
          <rPr>
            <b/>
            <sz val="9"/>
            <color indexed="81"/>
            <rFont val="Tahoma"/>
            <family val="2"/>
          </rPr>
          <t>&lt;[[DEVDeals] - [Budget Initial (Seq: 1)] - [Budget Initial - User Defined Field Values (Seq: 1)] Development Budget Details - Acquisition - Other 2 Describe - Both]&gt;</t>
        </r>
      </text>
    </comment>
    <comment ref="Z629" authorId="0" shapeId="0" xr:uid="{B0D71587-A23B-4569-BE3B-C674627C2E1D}">
      <text>
        <r>
          <rPr>
            <b/>
            <sz val="9"/>
            <color indexed="81"/>
            <rFont val="Tahoma"/>
            <family val="2"/>
          </rPr>
          <t>&lt;[[DEVDeals] - [Associated TC Deal (Seq: 1)] - [TC Property Current Stage (Seq: 1)] - [TC Property Current Stage - User Defined Field Values (Seq: 1)] Development Budget Details - Acquisition - Other 2 Describe - Both]&gt;</t>
        </r>
      </text>
    </comment>
    <comment ref="J630" authorId="0" shapeId="0" xr:uid="{9B454232-5421-4E47-9200-7B01CD64C1CE}">
      <text>
        <r>
          <rPr>
            <b/>
            <sz val="9"/>
            <color indexed="81"/>
            <rFont val="Tahoma"/>
            <family val="2"/>
          </rPr>
          <t>&lt;[[DEVDeals] - [Budget Initial (Seq: 1)] SC Other7 - Both]&gt;</t>
        </r>
      </text>
    </comment>
    <comment ref="N630" authorId="0" shapeId="0" xr:uid="{2111C409-62CF-46A9-AF47-93BEFF34B1F5}">
      <text>
        <r>
          <rPr>
            <b/>
            <sz val="9"/>
            <color indexed="81"/>
            <rFont val="Tahoma"/>
            <family val="2"/>
          </rPr>
          <t>&lt;[[DEVDeals] - [Budget Initial (Seq: 1)] - [Budget Initial - User Defined Field Values (Seq: 1)] Development Budget Details - Fee on Non-Acquisition Costs - Both]&gt;</t>
        </r>
      </text>
    </comment>
    <comment ref="R630" authorId="0" shapeId="0" xr:uid="{689B5339-CE34-4A88-AD8D-BCD3DB39CBB9}">
      <text>
        <r>
          <rPr>
            <b/>
            <sz val="9"/>
            <color indexed="81"/>
            <rFont val="Tahoma"/>
            <family val="2"/>
          </rPr>
          <t>&lt;[[DEVDeals] - [Associated TC Deal (Seq: 1)] - [TC Property Current Stage (Seq: 1)] - [Actual Property Costs (Seq: 1)] Developer Fees - Both]&gt;</t>
        </r>
      </text>
    </comment>
    <comment ref="S630" authorId="0" shapeId="0" xr:uid="{635A984A-721C-4CAD-84E8-D7E6F486DF04}">
      <text>
        <r>
          <rPr>
            <b/>
            <sz val="9"/>
            <color indexed="81"/>
            <rFont val="Tahoma"/>
            <family val="2"/>
          </rPr>
          <t>&lt;[[DEVDeals] - [Associated TC Deal (Seq: 1)] - [TC Property Current Stage (Seq: 1)] - [Acquisition Property Costs (Seq: 1)] Developer Fees - Both]&gt;</t>
        </r>
      </text>
    </comment>
    <comment ref="T630" authorId="0" shapeId="0" xr:uid="{ED4DCE18-6195-4B19-ABF9-A9783238D208}">
      <text>
        <r>
          <rPr>
            <b/>
            <sz val="9"/>
            <color indexed="81"/>
            <rFont val="Tahoma"/>
            <family val="2"/>
          </rPr>
          <t>&lt;[[DEVDeals] - [Associated TC Deal (Seq: 1)] - [TC Property Current Stage (Seq: 1)] - [4% Construction Property Costs (Seq: 1)] Developer Fees - Both]&gt;</t>
        </r>
      </text>
    </comment>
    <comment ref="U630" authorId="0" shapeId="0" xr:uid="{8F4C2F3F-694F-492C-AA17-3E4FE4FDA1C3}">
      <text>
        <r>
          <rPr>
            <b/>
            <sz val="9"/>
            <color indexed="81"/>
            <rFont val="Tahoma"/>
            <family val="2"/>
          </rPr>
          <t>&lt;[[DEVDeals] - [Associated TC Deal (Seq: 1)] - [TC Property Current Stage (Seq: 1)] - [9% Construction Property Costs (Seq: 1)] Developer Fees - Both]&gt;</t>
        </r>
      </text>
    </comment>
    <comment ref="Z630" authorId="0" shapeId="0" xr:uid="{9AB4DCAF-BB61-4AB8-BD4B-36228B9F6291}">
      <text>
        <r>
          <rPr>
            <b/>
            <sz val="9"/>
            <color indexed="81"/>
            <rFont val="Tahoma"/>
            <family val="2"/>
          </rPr>
          <t>&lt;[[DEVDeals] - [Associated TC Deal (Seq: 1)] - [TC Property Current Stage (Seq: 1)] - [TC Property Current Stage - User Defined Field Values (Seq: 1)] Development Budget Details - Fee on Non-Acquisition Costs - Both]&gt;</t>
        </r>
      </text>
    </comment>
    <comment ref="J631" authorId="0" shapeId="0" xr:uid="{3719FC7E-29B1-400B-93E2-358ADB9FF435}">
      <text>
        <r>
          <rPr>
            <b/>
            <sz val="9"/>
            <color indexed="81"/>
            <rFont val="Tahoma"/>
            <family val="2"/>
          </rPr>
          <t>&lt;[[DEVDeals] - [Budget Initial (Seq: 1)] SC Other7 Comments - Both]&gt;</t>
        </r>
      </text>
    </comment>
    <comment ref="N631" authorId="0" shapeId="0" xr:uid="{CB1BBC14-4262-4575-9074-3FC42D7F7A41}">
      <text>
        <r>
          <rPr>
            <b/>
            <sz val="9"/>
            <color indexed="81"/>
            <rFont val="Tahoma"/>
            <family val="2"/>
          </rPr>
          <t>&lt;[[DEVDeals] - [Budget Initial (Seq: 1)] - [Budget Initial - User Defined Field Values (Seq: 1)] Development Budget Details - Fee on Acquisition Costs - Both]&gt;</t>
        </r>
      </text>
    </comment>
    <comment ref="Z631" authorId="0" shapeId="0" xr:uid="{5C9E9D59-FA1C-46BB-93FA-5572C8170E03}">
      <text>
        <r>
          <rPr>
            <b/>
            <sz val="9"/>
            <color indexed="81"/>
            <rFont val="Tahoma"/>
            <family val="2"/>
          </rPr>
          <t>&lt;[[DEVDeals] - [Associated TC Deal (Seq: 1)] - [TC Property Current Stage (Seq: 1)] - [TC Property Current Stage - User Defined Field Values (Seq: 1)] Development Budget Details - Fee on Acquisition Costs - Both]&gt;</t>
        </r>
      </text>
    </comment>
    <comment ref="J632" authorId="0" shapeId="0" xr:uid="{94D0CC82-2C84-4A53-892E-9F4D8C576C12}">
      <text>
        <r>
          <rPr>
            <b/>
            <sz val="9"/>
            <color indexed="81"/>
            <rFont val="Tahoma"/>
            <family val="2"/>
          </rPr>
          <t>&lt;[[DEVDeals] - [Budget Initial (Seq: 1)] SC Other8 - Both]&gt;</t>
        </r>
      </text>
    </comment>
    <comment ref="N632" authorId="0" shapeId="0" xr:uid="{6C032171-FDD0-4A76-8602-6218A074ECAC}">
      <text>
        <r>
          <rPr>
            <b/>
            <sz val="9"/>
            <color indexed="81"/>
            <rFont val="Tahoma"/>
            <family val="2"/>
          </rPr>
          <t>&lt;[[DEVDeals] - [Budget Initial (Seq: 1)] - [Budget Initial - User Defined Field Values (Seq: 1)] Development Budget Details - Syndication Fee - Both]&gt;</t>
        </r>
      </text>
    </comment>
    <comment ref="R632" authorId="0" shapeId="0" xr:uid="{ADE2A6E0-8E0F-4907-909E-453455AD7C1F}">
      <text>
        <r>
          <rPr>
            <b/>
            <sz val="9"/>
            <color indexed="81"/>
            <rFont val="Tahoma"/>
            <family val="2"/>
          </rPr>
          <t>&lt;[[DEVDeals] - [Associated TC Deal (Seq: 1)] - [TC Property Current Stage (Seq: 1)] - [Actual Property Costs (Seq: 1)] Acq Addl Cost 8 - Both]&gt;</t>
        </r>
      </text>
    </comment>
    <comment ref="S632" authorId="0" shapeId="0" xr:uid="{9728C0E9-7576-4C7A-A788-22E4C93F7B85}">
      <text>
        <r>
          <rPr>
            <b/>
            <sz val="9"/>
            <color indexed="81"/>
            <rFont val="Tahoma"/>
            <family val="2"/>
          </rPr>
          <t>&lt;[[DEVDeals] - [Associated TC Deal (Seq: 1)] - [TC Property Current Stage (Seq: 1)] - [Acquisition Property Costs (Seq: 1)] Acq Addl Cost 8 - Both]&gt;</t>
        </r>
      </text>
    </comment>
    <comment ref="T632" authorId="0" shapeId="0" xr:uid="{B12E6AFB-75E3-43B1-89B2-58600FA901FA}">
      <text>
        <r>
          <rPr>
            <b/>
            <sz val="9"/>
            <color indexed="81"/>
            <rFont val="Tahoma"/>
            <family val="2"/>
          </rPr>
          <t>&lt;[[DEVDeals] - [Associated TC Deal (Seq: 1)] - [TC Property Current Stage (Seq: 1)] - [4% Construction Property Costs (Seq: 1)] Rehab Addl Cost 8 - Both]&gt;</t>
        </r>
      </text>
    </comment>
    <comment ref="U632" authorId="0" shapeId="0" xr:uid="{D5CEAEC0-BA97-4153-8FC3-0B5C104147EE}">
      <text>
        <r>
          <rPr>
            <b/>
            <sz val="9"/>
            <color indexed="81"/>
            <rFont val="Tahoma"/>
            <family val="2"/>
          </rPr>
          <t>&lt;[[DEVDeals] - [Associated TC Deal (Seq: 1)] - [TC Property Current Stage (Seq: 1)] - [9% Construction Property Costs (Seq: 1)] Rehab Addl Cost 8 - Both]&gt;</t>
        </r>
      </text>
    </comment>
    <comment ref="V632" authorId="0" shapeId="0" xr:uid="{6727438D-EA66-4FCB-AFA8-8AA3AFFC9C15}">
      <text>
        <r>
          <rPr>
            <b/>
            <sz val="9"/>
            <color indexed="81"/>
            <rFont val="Tahoma"/>
            <family val="2"/>
          </rPr>
          <t>&lt;[[DEVDeals] - [Associated TC Deal (Seq: 1)] - [TC Property Current Stage (Seq: 1)] Additional Costs8 - Both]&gt;</t>
        </r>
      </text>
    </comment>
    <comment ref="Z632" authorId="0" shapeId="0" xr:uid="{F318D0DC-2CB9-4948-9835-0A0D2C718B81}">
      <text>
        <r>
          <rPr>
            <b/>
            <sz val="9"/>
            <color indexed="81"/>
            <rFont val="Tahoma"/>
            <family val="2"/>
          </rPr>
          <t>&lt;[[DEVDeals] - [Associated TC Deal (Seq: 1)] - [TC Property Current Stage (Seq: 1)] - [TC Property Current Stage - User Defined Field Values (Seq: 1)] Development Budget Details - Syndication Fee - Both]&gt;</t>
        </r>
      </text>
    </comment>
    <comment ref="J633" authorId="0" shapeId="0" xr:uid="{6C517C67-BB76-4FCE-80F0-478C2107FF05}">
      <text>
        <r>
          <rPr>
            <b/>
            <sz val="9"/>
            <color indexed="81"/>
            <rFont val="Tahoma"/>
            <family val="2"/>
          </rPr>
          <t>&lt;[[DEVDeals] - [Budget Initial (Seq: 1)] SC Other8 Comments - Both]&gt;</t>
        </r>
      </text>
    </comment>
    <comment ref="N633" authorId="0" shapeId="0" xr:uid="{6C2A804A-7447-4571-B3FD-0D9FBA5BD771}">
      <text>
        <r>
          <rPr>
            <b/>
            <sz val="9"/>
            <color indexed="81"/>
            <rFont val="Tahoma"/>
            <family val="2"/>
          </rPr>
          <t>&lt;[[DEVDeals] - [Budget Initial (Seq: 1)] - [Budget Initial - User Defined Field Values (Seq: 1)] Development Budget Details - Legal (syndication only) - Both]&gt;</t>
        </r>
      </text>
    </comment>
    <comment ref="Z633" authorId="0" shapeId="0" xr:uid="{7BEF1517-3BB8-47D9-9FA6-7A55EE038328}">
      <text>
        <r>
          <rPr>
            <b/>
            <sz val="9"/>
            <color indexed="81"/>
            <rFont val="Tahoma"/>
            <family val="2"/>
          </rPr>
          <t>&lt;[[DEVDeals] - [Associated TC Deal (Seq: 1)] - [TC Property Current Stage (Seq: 1)] - [TC Property Current Stage - User Defined Field Values (Seq: 1)] Development Budget Details - Legal (syndication only) - Both]&gt;</t>
        </r>
      </text>
    </comment>
    <comment ref="J634" authorId="0" shapeId="0" xr:uid="{EE0C28F1-B32B-42C7-80DC-8FFC31A7B21D}">
      <text>
        <r>
          <rPr>
            <b/>
            <sz val="9"/>
            <color indexed="81"/>
            <rFont val="Tahoma"/>
            <family val="2"/>
          </rPr>
          <t>&lt;[[DEVDeals] - [Budget Initial (Seq: 1)] SC Other10 - Both]&gt;</t>
        </r>
      </text>
    </comment>
    <comment ref="N634" authorId="0" shapeId="0" xr:uid="{20060C32-BEC7-4FB2-A794-BB14B7989730}">
      <text>
        <r>
          <rPr>
            <b/>
            <sz val="9"/>
            <color indexed="81"/>
            <rFont val="Tahoma"/>
            <family val="2"/>
          </rPr>
          <t>&lt;[[DEVDeals] - [Budget Initial (Seq: 1)] - [Budget Initial - User Defined Field Values (Seq: 1)] Development Budget Details - Bridge Loan Fees - Both]&gt;</t>
        </r>
      </text>
    </comment>
    <comment ref="R634" authorId="0" shapeId="0" xr:uid="{C326FC29-52F8-45D4-B763-29C60A75B483}">
      <text>
        <r>
          <rPr>
            <b/>
            <sz val="9"/>
            <color indexed="81"/>
            <rFont val="Tahoma"/>
            <family val="2"/>
          </rPr>
          <t>&lt;[[DEVDeals] - [Associated TC Deal (Seq: 1)] - [TC Property Current Stage (Seq: 1)] - [Actual Property Costs (Seq: 1)] Acq Addl Cost 7 - Both]&gt;</t>
        </r>
      </text>
    </comment>
    <comment ref="S634" authorId="0" shapeId="0" xr:uid="{827C6481-8774-43DB-AB10-12948F47FB4C}">
      <text>
        <r>
          <rPr>
            <b/>
            <sz val="9"/>
            <color indexed="81"/>
            <rFont val="Tahoma"/>
            <family val="2"/>
          </rPr>
          <t>&lt;[[DEVDeals] - [Associated TC Deal (Seq: 1)] - [TC Property Current Stage (Seq: 1)] - [Acquisition Property Costs (Seq: 1)] Acq Addl Cost 7 - Both]&gt;</t>
        </r>
      </text>
    </comment>
    <comment ref="T634" authorId="0" shapeId="0" xr:uid="{8083511A-F6AB-4D2F-A0B0-EC4F94074A46}">
      <text>
        <r>
          <rPr>
            <b/>
            <sz val="9"/>
            <color indexed="81"/>
            <rFont val="Tahoma"/>
            <family val="2"/>
          </rPr>
          <t>&lt;[[DEVDeals] - [Associated TC Deal (Seq: 1)] - [TC Property Current Stage (Seq: 1)] - [4% Construction Property Costs (Seq: 1)] Rehab Addl Cost 7 - Both]&gt;</t>
        </r>
      </text>
    </comment>
    <comment ref="U634" authorId="0" shapeId="0" xr:uid="{5B13517C-0947-4D8B-89FD-98D82D2E6973}">
      <text>
        <r>
          <rPr>
            <b/>
            <sz val="9"/>
            <color indexed="81"/>
            <rFont val="Tahoma"/>
            <family val="2"/>
          </rPr>
          <t>&lt;[[DEVDeals] - [Associated TC Deal (Seq: 1)] - [TC Property Current Stage (Seq: 1)] - [9% Construction Property Costs (Seq: 1)] Rehab Addl Cost 7 - Both]&gt;</t>
        </r>
      </text>
    </comment>
    <comment ref="V634" authorId="0" shapeId="0" xr:uid="{5DAD72E2-8007-43F9-9898-E9E6E0FE3895}">
      <text>
        <r>
          <rPr>
            <b/>
            <sz val="9"/>
            <color indexed="81"/>
            <rFont val="Tahoma"/>
            <family val="2"/>
          </rPr>
          <t>&lt;[[DEVDeals] - [Associated TC Deal (Seq: 1)] - [TC Property Current Stage (Seq: 1)] Additional Costs7 - Both]&gt;</t>
        </r>
      </text>
    </comment>
    <comment ref="Z634" authorId="0" shapeId="0" xr:uid="{473FF37A-15B3-41CE-8DD8-17D547944385}">
      <text>
        <r>
          <rPr>
            <b/>
            <sz val="9"/>
            <color indexed="81"/>
            <rFont val="Tahoma"/>
            <family val="2"/>
          </rPr>
          <t>&lt;[[DEVDeals] - [Associated TC Deal (Seq: 1)] - [TC Property Current Stage (Seq: 1)] - [TC Property Current Stage - User Defined Field Values (Seq: 1)] Development Budget Details - Bridge Loan Fees - Both]&gt;</t>
        </r>
      </text>
    </comment>
    <comment ref="J635" authorId="0" shapeId="0" xr:uid="{D6850E61-BC19-4923-B436-735146CE1B66}">
      <text>
        <r>
          <rPr>
            <b/>
            <sz val="9"/>
            <color indexed="81"/>
            <rFont val="Tahoma"/>
            <family val="2"/>
          </rPr>
          <t>&lt;[[DEVDeals] - [Budget Initial (Seq: 1)] SC Other10 Comments - Both]&gt;</t>
        </r>
      </text>
    </comment>
    <comment ref="N635" authorId="0" shapeId="0" xr:uid="{246AE3B7-A929-49DD-AAA3-9902D0B02260}">
      <text>
        <r>
          <rPr>
            <b/>
            <sz val="9"/>
            <color indexed="81"/>
            <rFont val="Tahoma"/>
            <family val="2"/>
          </rPr>
          <t>&lt;[[DEVDeals] - [Budget Initial (Seq: 1)] - [Budget Initial - User Defined Field Values (Seq: 1)] Development Budget Details - Bridge Loan Interest - Both]&gt;</t>
        </r>
      </text>
    </comment>
    <comment ref="Z635" authorId="0" shapeId="0" xr:uid="{3177680A-A9A9-4B93-83B7-774AA8E5EAD5}">
      <text>
        <r>
          <rPr>
            <b/>
            <sz val="9"/>
            <color indexed="81"/>
            <rFont val="Tahoma"/>
            <family val="2"/>
          </rPr>
          <t>&lt;[[DEVDeals] - [Associated TC Deal (Seq: 1)] - [TC Property Current Stage (Seq: 1)] - [TC Property Current Stage - User Defined Field Values (Seq: 1)] Development Budget Details - Bridge Loan Interest - Both]&gt;</t>
        </r>
      </text>
    </comment>
    <comment ref="J636" authorId="0" shapeId="0" xr:uid="{1D0F830E-9ABF-485E-A912-B08086E9938A}">
      <text>
        <r>
          <rPr>
            <b/>
            <sz val="9"/>
            <color indexed="81"/>
            <rFont val="Tahoma"/>
            <family val="2"/>
          </rPr>
          <t>&lt;[[DEVDeals] - [Budget Initial (Seq: 1)] SC Org Costs - Both]&gt;</t>
        </r>
      </text>
    </comment>
    <comment ref="R636" authorId="0" shapeId="0" xr:uid="{FB2A8812-BF45-4260-AE53-C8150B112C06}">
      <text>
        <r>
          <rPr>
            <b/>
            <sz val="9"/>
            <color indexed="81"/>
            <rFont val="Tahoma"/>
            <family val="2"/>
          </rPr>
          <t>&lt;[[DEVDeals] - [Associated TC Deal (Seq: 1)] - [TC Property Current Stage (Seq: 1)] - [Actual Property Costs (Seq: 1)] Acq Addl Cost 13 - Both]&gt;</t>
        </r>
      </text>
    </comment>
    <comment ref="S636" authorId="0" shapeId="0" xr:uid="{D7C58646-5EF5-46F2-873F-BE6E55666DBE}">
      <text>
        <r>
          <rPr>
            <b/>
            <sz val="9"/>
            <color indexed="81"/>
            <rFont val="Tahoma"/>
            <family val="2"/>
          </rPr>
          <t>&lt;[[DEVDeals] - [Associated TC Deal (Seq: 1)] - [TC Property Current Stage (Seq: 1)] - [Acquisition Property Costs (Seq: 1)] Acq Addl Cost 13 - Both]&gt;</t>
        </r>
      </text>
    </comment>
    <comment ref="T636" authorId="0" shapeId="0" xr:uid="{11BA4316-8CF3-4C33-B0ED-60B369275347}">
      <text>
        <r>
          <rPr>
            <b/>
            <sz val="9"/>
            <color indexed="81"/>
            <rFont val="Tahoma"/>
            <family val="2"/>
          </rPr>
          <t>&lt;[[DEVDeals] - [Associated TC Deal (Seq: 1)] - [TC Property Current Stage (Seq: 1)] - [4% Construction Property Costs (Seq: 1)] Rehab Addl Cost 13 - Both]&gt;</t>
        </r>
      </text>
    </comment>
    <comment ref="U636" authorId="0" shapeId="0" xr:uid="{29987E1F-9127-422C-A1DA-1E0DAC639AF7}">
      <text>
        <r>
          <rPr>
            <b/>
            <sz val="9"/>
            <color indexed="81"/>
            <rFont val="Tahoma"/>
            <family val="2"/>
          </rPr>
          <t>&lt;[[DEVDeals] - [Associated TC Deal (Seq: 1)] - [TC Property Current Stage (Seq: 1)] - [9% Construction Property Costs (Seq: 1)] Rehab Addl Cost 13 - Both]&gt;</t>
        </r>
      </text>
    </comment>
    <comment ref="V636" authorId="0" shapeId="0" xr:uid="{1B042EE4-C349-472E-8A90-66C6D92CB80B}">
      <text>
        <r>
          <rPr>
            <b/>
            <sz val="9"/>
            <color indexed="81"/>
            <rFont val="Tahoma"/>
            <family val="2"/>
          </rPr>
          <t>&lt;[[DEVDeals] - [Associated TC Deal (Seq: 1)] - [TC Property Current Stage (Seq: 1)] Additional Costs13 - Both]&gt;</t>
        </r>
      </text>
    </comment>
    <comment ref="J637" authorId="0" shapeId="0" xr:uid="{1FDD480D-0391-4B92-86D3-EC4F220496E4}">
      <text>
        <r>
          <rPr>
            <b/>
            <sz val="9"/>
            <color indexed="81"/>
            <rFont val="Tahoma"/>
            <family val="2"/>
          </rPr>
          <t>&lt;[[DEVDeals] - [Budget Initial (Seq: 1)] SC Tax Credit Fee - Both]&gt;</t>
        </r>
      </text>
    </comment>
    <comment ref="N637" authorId="0" shapeId="0" xr:uid="{586FDC82-93B5-40A4-A7ED-534AAABCD86C}">
      <text>
        <r>
          <rPr>
            <b/>
            <sz val="9"/>
            <color indexed="81"/>
            <rFont val="Tahoma"/>
            <family val="2"/>
          </rPr>
          <t>&lt;[[DEVDeals] - [Budget Initial (Seq: 1)] - [Budget Initial - User Defined Field Values (Seq: 1)] Development Budget Details - Tax Credit Application Fee - Both]&gt;</t>
        </r>
      </text>
    </comment>
    <comment ref="R637" authorId="0" shapeId="0" xr:uid="{B489DA81-B296-4DA9-B59F-D9A0FEF09DCE}">
      <text>
        <r>
          <rPr>
            <b/>
            <sz val="9"/>
            <color indexed="81"/>
            <rFont val="Tahoma"/>
            <family val="2"/>
          </rPr>
          <t>&lt;[[DEVDeals] - [Associated TC Deal (Seq: 1)] - [TC Property Current Stage (Seq: 1)] - [Actual Property Costs (Seq: 1)] Tax Credit Fee - Both]&gt;</t>
        </r>
      </text>
    </comment>
    <comment ref="S637" authorId="0" shapeId="0" xr:uid="{514908EB-686C-4749-A7E4-3AE9EAC97BFC}">
      <text>
        <r>
          <rPr>
            <b/>
            <sz val="9"/>
            <color indexed="81"/>
            <rFont val="Tahoma"/>
            <family val="2"/>
          </rPr>
          <t>&lt;[[DEVDeals] - [Associated TC Deal (Seq: 1)] - [TC Property Current Stage (Seq: 1)] - [Acquisition Property Costs (Seq: 1)] Tax Credit Fee - Both]&gt;</t>
        </r>
      </text>
    </comment>
    <comment ref="T637" authorId="0" shapeId="0" xr:uid="{F6E2CD19-F392-4624-BEAD-6A72DA59E009}">
      <text>
        <r>
          <rPr>
            <b/>
            <sz val="9"/>
            <color indexed="81"/>
            <rFont val="Tahoma"/>
            <family val="2"/>
          </rPr>
          <t>&lt;[[DEVDeals] - [Associated TC Deal (Seq: 1)] - [TC Property Current Stage (Seq: 1)] - [4% Construction Property Costs (Seq: 1)] Tax Credit Fee - Both]&gt;</t>
        </r>
      </text>
    </comment>
    <comment ref="U637" authorId="0" shapeId="0" xr:uid="{216906B0-F267-4BB7-848D-372D54489C46}">
      <text>
        <r>
          <rPr>
            <b/>
            <sz val="9"/>
            <color indexed="81"/>
            <rFont val="Tahoma"/>
            <family val="2"/>
          </rPr>
          <t>&lt;[[DEVDeals] - [Associated TC Deal (Seq: 1)] - [TC Property Current Stage (Seq: 1)] - [9% Construction Property Costs (Seq: 1)] Tax Credit Fee - Both]&gt;</t>
        </r>
      </text>
    </comment>
    <comment ref="Z637" authorId="0" shapeId="0" xr:uid="{A2C0BEF9-DA18-442F-BCEB-34D33B88E8C2}">
      <text>
        <r>
          <rPr>
            <b/>
            <sz val="9"/>
            <color indexed="81"/>
            <rFont val="Tahoma"/>
            <family val="2"/>
          </rPr>
          <t>&lt;[[DEVDeals] - [Associated TC Deal (Seq: 1)] - [TC Property Current Stage (Seq: 1)] - [TC Property Current Stage - User Defined Field Values (Seq: 1)] Development Budget Details - Tax Credit Application Fee - Both]&gt;</t>
        </r>
      </text>
    </comment>
    <comment ref="N638" authorId="0" shapeId="0" xr:uid="{98288850-D009-470E-BD93-381F0299CD6F}">
      <text>
        <r>
          <rPr>
            <b/>
            <sz val="9"/>
            <color indexed="81"/>
            <rFont val="Tahoma"/>
            <family val="2"/>
          </rPr>
          <t>&lt;[[DEVDeals] - [Budget Initial (Seq: 1)] - [Budget Initial - User Defined Field Values (Seq: 1)] Development Budget Details - Tax Credit Allocation Fee - Both]&gt;</t>
        </r>
      </text>
    </comment>
    <comment ref="Z638" authorId="0" shapeId="0" xr:uid="{4BB2A637-3BBB-44E5-8E71-812425077A33}">
      <text>
        <r>
          <rPr>
            <b/>
            <sz val="9"/>
            <color indexed="81"/>
            <rFont val="Tahoma"/>
            <family val="2"/>
          </rPr>
          <t>&lt;[[DEVDeals] - [Associated TC Deal (Seq: 1)] - [TC Property Current Stage (Seq: 1)] - [TC Property Current Stage - User Defined Field Values (Seq: 1)] Development Budget Details - Tax Credit Allocation Fee - Both]&gt;</t>
        </r>
      </text>
    </comment>
    <comment ref="N639" authorId="0" shapeId="0" xr:uid="{EC31C4BB-69F0-480A-B89F-D64F73E372F8}">
      <text>
        <r>
          <rPr>
            <b/>
            <sz val="9"/>
            <color indexed="81"/>
            <rFont val="Tahoma"/>
            <family val="2"/>
          </rPr>
          <t>&lt;[[DEVDeals] - [Budget Initial (Seq: 1)] - [Budget Initial - User Defined Field Values (Seq: 1)] Development Budget Details - Tax Credit Reservation Fee - Both]&gt;</t>
        </r>
      </text>
    </comment>
    <comment ref="Z639" authorId="0" shapeId="0" xr:uid="{09B48BCA-A9B3-433C-9011-7D58EE9B8C10}">
      <text>
        <r>
          <rPr>
            <b/>
            <sz val="9"/>
            <color indexed="81"/>
            <rFont val="Tahoma"/>
            <family val="2"/>
          </rPr>
          <t>&lt;[[DEVDeals] - [Associated TC Deal (Seq: 1)] - [TC Property Current Stage (Seq: 1)] - [TC Property Current Stage - User Defined Field Values (Seq: 1)] Development Budget Details - Tax Credit Reservation Fee - Both]&gt;</t>
        </r>
      </text>
    </comment>
    <comment ref="J640" authorId="0" shapeId="0" xr:uid="{1833ACF0-FAB1-48B2-8AD3-425DCC05FD7D}">
      <text>
        <r>
          <rPr>
            <b/>
            <sz val="9"/>
            <color indexed="81"/>
            <rFont val="Tahoma"/>
            <family val="2"/>
          </rPr>
          <t>&lt;[[DEVDeals] - [Budget Initial (Seq: 1)] SC Accounting - Both]&gt;</t>
        </r>
      </text>
    </comment>
    <comment ref="R640" authorId="0" shapeId="0" xr:uid="{5355A824-69FB-4E1D-96E9-06207F892539}">
      <text>
        <r>
          <rPr>
            <b/>
            <sz val="9"/>
            <color indexed="81"/>
            <rFont val="Tahoma"/>
            <family val="2"/>
          </rPr>
          <t>&lt;[[DEVDeals] - [Associated TC Deal (Seq: 1)] - [TC Property Current Stage (Seq: 1)] - [Actual Property Costs (Seq: 1)] Acq Addl Cost 14 - Both]&gt;</t>
        </r>
      </text>
    </comment>
    <comment ref="S640" authorId="0" shapeId="0" xr:uid="{B487B20C-3405-422E-A907-160CDE3CB51D}">
      <text>
        <r>
          <rPr>
            <b/>
            <sz val="9"/>
            <color indexed="81"/>
            <rFont val="Tahoma"/>
            <family val="2"/>
          </rPr>
          <t>&lt;[[DEVDeals] - [Associated TC Deal (Seq: 1)] - [TC Property Current Stage (Seq: 1)] - [Acquisition Property Costs (Seq: 1)] Acq Addl Cost 14 - Both]&gt;</t>
        </r>
      </text>
    </comment>
    <comment ref="T640" authorId="0" shapeId="0" xr:uid="{84942737-13AC-469A-9834-BDF3C8FA2491}">
      <text>
        <r>
          <rPr>
            <b/>
            <sz val="9"/>
            <color indexed="81"/>
            <rFont val="Tahoma"/>
            <family val="2"/>
          </rPr>
          <t>&lt;[[DEVDeals] - [Associated TC Deal (Seq: 1)] - [TC Property Current Stage (Seq: 1)] - [4% Construction Property Costs (Seq: 1)] Rehab Addl Cost 14 - Both]&gt;</t>
        </r>
      </text>
    </comment>
    <comment ref="U640" authorId="0" shapeId="0" xr:uid="{CF757224-8678-45E8-ACAB-572F3B070CD7}">
      <text>
        <r>
          <rPr>
            <b/>
            <sz val="9"/>
            <color indexed="81"/>
            <rFont val="Tahoma"/>
            <family val="2"/>
          </rPr>
          <t>&lt;[[DEVDeals] - [Associated TC Deal (Seq: 1)] - [TC Property Current Stage (Seq: 1)] - [9% Construction Property Costs (Seq: 1)] Rehab Addl Cost 14 - Both]&gt;</t>
        </r>
      </text>
    </comment>
    <comment ref="V640" authorId="0" shapeId="0" xr:uid="{612ECE90-A6A8-4FCD-AF7D-EDF54316316E}">
      <text>
        <r>
          <rPr>
            <b/>
            <sz val="9"/>
            <color indexed="81"/>
            <rFont val="Tahoma"/>
            <family val="2"/>
          </rPr>
          <t>&lt;[[DEVDeals] - [Associated TC Deal (Seq: 1)] - [TC Property Current Stage (Seq: 1)] Additional Costs14 - Both]&gt;</t>
        </r>
      </text>
    </comment>
    <comment ref="N641" authorId="0" shapeId="0" xr:uid="{E439D4EC-B3D0-4683-8A07-82796C3C163D}">
      <text>
        <r>
          <rPr>
            <b/>
            <sz val="9"/>
            <color indexed="81"/>
            <rFont val="Tahoma"/>
            <family val="2"/>
          </rPr>
          <t>&lt;[[DEVDeals] - [Budget Initial (Seq: 1)] - [Budget Initial - User Defined Field Values (Seq: 1)] Development Budget Details - Syndication Related Costs - Other 1 - Both]&gt;</t>
        </r>
      </text>
    </comment>
    <comment ref="Z641" authorId="0" shapeId="0" xr:uid="{CBC31DCA-68A7-4C50-B9E6-7A4CFF0C9050}">
      <text>
        <r>
          <rPr>
            <b/>
            <sz val="9"/>
            <color indexed="81"/>
            <rFont val="Tahoma"/>
            <family val="2"/>
          </rPr>
          <t>&lt;[[DEVDeals] - [Associated TC Deal (Seq: 1)] - [TC Property Current Stage (Seq: 1)] - [TC Property Current Stage - User Defined Field Values (Seq: 1)] Development Budget Details - Syndication Related Costs - Other 1 - Both]&gt;</t>
        </r>
      </text>
    </comment>
    <comment ref="N642" authorId="0" shapeId="0" xr:uid="{C77238A7-5F2F-47E6-A40E-9A8662EA4B47}">
      <text>
        <r>
          <rPr>
            <b/>
            <sz val="9"/>
            <color indexed="81"/>
            <rFont val="Tahoma"/>
            <family val="2"/>
          </rPr>
          <t>&lt;[[DEVDeals] - [Budget Initial (Seq: 1)] - [Budget Initial - User Defined Field Values (Seq: 1)] Development Budget Details - Syndication Related Costs - Other 2 - Both]&gt;</t>
        </r>
      </text>
    </comment>
    <comment ref="Z642" authorId="0" shapeId="0" xr:uid="{6CA00315-FB78-42B8-BF98-687D1D91D7B4}">
      <text>
        <r>
          <rPr>
            <b/>
            <sz val="9"/>
            <color indexed="81"/>
            <rFont val="Tahoma"/>
            <family val="2"/>
          </rPr>
          <t>&lt;[[DEVDeals] - [Associated TC Deal (Seq: 1)] - [TC Property Current Stage (Seq: 1)] - [TC Property Current Stage - User Defined Field Values (Seq: 1)] Development Budget Details - Syndication Related Costs - Other 2 - Both]&gt;</t>
        </r>
      </text>
    </comment>
    <comment ref="N643" authorId="0" shapeId="0" xr:uid="{105855BE-4CE5-494A-AB76-292956AE09F9}">
      <text>
        <r>
          <rPr>
            <b/>
            <sz val="9"/>
            <color indexed="81"/>
            <rFont val="Tahoma"/>
            <family val="2"/>
          </rPr>
          <t>&lt;[[DEVDeals] - [Budget Initial (Seq: 1)] - [Budget Initial - User Defined Field Values (Seq: 1)] Development Budget Details - Syndication Related Costs - Other 1 Describe - Both]&gt;</t>
        </r>
      </text>
    </comment>
    <comment ref="Z643" authorId="0" shapeId="0" xr:uid="{33EE09D7-B420-4F1D-968F-C9AD8F9AE0B9}">
      <text>
        <r>
          <rPr>
            <b/>
            <sz val="9"/>
            <color indexed="81"/>
            <rFont val="Tahoma"/>
            <family val="2"/>
          </rPr>
          <t>&lt;[[DEVDeals] - [Associated TC Deal (Seq: 1)] - [TC Property Current Stage (Seq: 1)] - [TC Property Current Stage - User Defined Field Values (Seq: 1)] Development Budget Details - Syndication Related Costs - Other 1 Describe - Both]&gt;</t>
        </r>
      </text>
    </comment>
    <comment ref="N644" authorId="0" shapeId="0" xr:uid="{A81EC44B-7CEC-44DC-B953-19B478AA909C}">
      <text>
        <r>
          <rPr>
            <b/>
            <sz val="9"/>
            <color indexed="81"/>
            <rFont val="Tahoma"/>
            <family val="2"/>
          </rPr>
          <t>&lt;[[DEVDeals] - [Budget Initial (Seq: 1)] - [Budget Initial - User Defined Field Values (Seq: 1)] Development Budget Details - Syndication Related Costs - Other 2 Describe - Both]&gt;</t>
        </r>
      </text>
    </comment>
    <comment ref="Z644" authorId="0" shapeId="0" xr:uid="{11F3309A-6725-4ED6-8A64-A93DE4693B9D}">
      <text>
        <r>
          <rPr>
            <b/>
            <sz val="9"/>
            <color indexed="81"/>
            <rFont val="Tahoma"/>
            <family val="2"/>
          </rPr>
          <t>&lt;[[DEVDeals] - [Associated TC Deal (Seq: 1)] - [TC Property Current Stage (Seq: 1)] - [TC Property Current Stage - User Defined Field Values (Seq: 1)] Development Budget Details - Syndication Related Costs - Other 2 Describe - Both]&gt;</t>
        </r>
      </text>
    </comment>
    <comment ref="J645" authorId="0" shapeId="0" xr:uid="{EBB0E7F0-0C15-410B-8398-0EB08B367952}">
      <text>
        <r>
          <rPr>
            <b/>
            <sz val="9"/>
            <color indexed="81"/>
            <rFont val="Tahoma"/>
            <family val="2"/>
          </rPr>
          <t>&lt;[[DEVDeals] - [Budget Initial (Seq: 1)] SC Other9 - Both]&gt;</t>
        </r>
      </text>
    </comment>
    <comment ref="N645" authorId="0" shapeId="0" xr:uid="{7F5BBE42-0E30-430A-AA3B-EA7FCA7CF434}">
      <text>
        <r>
          <rPr>
            <b/>
            <sz val="9"/>
            <color indexed="81"/>
            <rFont val="Tahoma"/>
            <family val="2"/>
          </rPr>
          <t>&lt;[[DEVDeals] - [Budget Initial (Seq: 1)] - [Budget Initial - User Defined Field Values (Seq: 1)] Development Budget Details - Construction Guarantee - Both]&gt;</t>
        </r>
      </text>
    </comment>
    <comment ref="R645" authorId="0" shapeId="0" xr:uid="{4A32BDB8-B08B-448D-ABE5-64EA579A0214}">
      <text>
        <r>
          <rPr>
            <b/>
            <sz val="9"/>
            <color indexed="81"/>
            <rFont val="Tahoma"/>
            <family val="2"/>
          </rPr>
          <t>&lt;[[DEVDeals] - [Associated TC Deal (Seq: 1)] - [TC Property Current Stage (Seq: 1)] - [Actual Property Costs (Seq: 1)] Acq Addl Cost 9 - Both]&gt;</t>
        </r>
      </text>
    </comment>
    <comment ref="S645" authorId="0" shapeId="0" xr:uid="{C56B86F2-2379-4345-9FA5-D62F95D6BEEF}">
      <text>
        <r>
          <rPr>
            <b/>
            <sz val="9"/>
            <color indexed="81"/>
            <rFont val="Tahoma"/>
            <family val="2"/>
          </rPr>
          <t>&lt;[[DEVDeals] - [Associated TC Deal (Seq: 1)] - [TC Property Current Stage (Seq: 1)] - [Acquisition Property Costs (Seq: 1)] Acq Addl Cost 9 - Both]&gt;</t>
        </r>
      </text>
    </comment>
    <comment ref="T645" authorId="0" shapeId="0" xr:uid="{60FC6AF9-0BE4-4B44-8843-1B76F126D2A4}">
      <text>
        <r>
          <rPr>
            <b/>
            <sz val="9"/>
            <color indexed="81"/>
            <rFont val="Tahoma"/>
            <family val="2"/>
          </rPr>
          <t>&lt;[[DEVDeals] - [Associated TC Deal (Seq: 1)] - [TC Property Current Stage (Seq: 1)] - [4% Construction Property Costs (Seq: 1)] Rehab Addl Cost 9 - Both]&gt;</t>
        </r>
      </text>
    </comment>
    <comment ref="U645" authorId="0" shapeId="0" xr:uid="{BA71A2E7-58FD-4FD4-91B9-938F5327D180}">
      <text>
        <r>
          <rPr>
            <b/>
            <sz val="9"/>
            <color indexed="81"/>
            <rFont val="Tahoma"/>
            <family val="2"/>
          </rPr>
          <t>&lt;[[DEVDeals] - [Associated TC Deal (Seq: 1)] - [TC Property Current Stage (Seq: 1)] - [9% Construction Property Costs (Seq: 1)] Rehab Addl Cost 9 - Both]&gt;</t>
        </r>
      </text>
    </comment>
    <comment ref="V645" authorId="0" shapeId="0" xr:uid="{BCA5E112-FEEB-48E5-82D4-ACB51E328232}">
      <text>
        <r>
          <rPr>
            <b/>
            <sz val="9"/>
            <color indexed="81"/>
            <rFont val="Tahoma"/>
            <family val="2"/>
          </rPr>
          <t>&lt;[[DEVDeals] - [Associated TC Deal (Seq: 1)] - [TC Property Current Stage (Seq: 1)] Additional Costs9 - Both]&gt;</t>
        </r>
      </text>
    </comment>
    <comment ref="Z645" authorId="0" shapeId="0" xr:uid="{A9DE28F7-D44D-4D16-8C71-99A158A372E0}">
      <text>
        <r>
          <rPr>
            <b/>
            <sz val="9"/>
            <color indexed="81"/>
            <rFont val="Tahoma"/>
            <family val="2"/>
          </rPr>
          <t>&lt;[[DEVDeals] - [Associated TC Deal (Seq: 1)] - [TC Property Current Stage (Seq: 1)] - [TC Property Current Stage - User Defined Field Values (Seq: 1)] Development Budget Details - Construction Guarantee - Both]&gt;</t>
        </r>
      </text>
    </comment>
    <comment ref="J646" authorId="0" shapeId="0" xr:uid="{313FA6DF-3867-4E6F-87BD-0CE4D85A7FD2}">
      <text>
        <r>
          <rPr>
            <b/>
            <sz val="9"/>
            <color indexed="81"/>
            <rFont val="Tahoma"/>
            <family val="2"/>
          </rPr>
          <t>&lt;[[DEVDeals] - [Budget Initial (Seq: 1)] SC Reserves - Both]&gt;</t>
        </r>
      </text>
    </comment>
    <comment ref="N646" authorId="0" shapeId="0" xr:uid="{380D4B00-8DEB-41A0-A43E-364414777BF1}">
      <text>
        <r>
          <rPr>
            <b/>
            <sz val="9"/>
            <color indexed="81"/>
            <rFont val="Tahoma"/>
            <family val="2"/>
          </rPr>
          <t>&lt;[[DEVDeals] - [Budget Initial (Seq: 1)] - [Budget Initial - User Defined Field Values (Seq: 1)] Development Budget Details - Operating Reserve - Both]&gt;</t>
        </r>
      </text>
    </comment>
    <comment ref="R646" authorId="0" shapeId="0" xr:uid="{FCFC87AF-508C-4E03-AA07-A413B0A5398A}">
      <text>
        <r>
          <rPr>
            <b/>
            <sz val="9"/>
            <color indexed="81"/>
            <rFont val="Tahoma"/>
            <family val="2"/>
          </rPr>
          <t>&lt;[[DEVDeals] - [Associated TC Deal (Seq: 1)] - [TC Property Current Stage (Seq: 1)] - [Actual Property Costs (Seq: 1)] Oper Reserve - Both]&gt;</t>
        </r>
      </text>
    </comment>
    <comment ref="N647" authorId="0" shapeId="0" xr:uid="{58BE70C5-C18A-4409-AA25-311B90A9CA66}">
      <text>
        <r>
          <rPr>
            <b/>
            <sz val="9"/>
            <color indexed="81"/>
            <rFont val="Tahoma"/>
            <family val="2"/>
          </rPr>
          <t>&lt;[[DEVDeals] - [Budget Initial (Seq: 1)] - [Budget Initial - User Defined Field Values (Seq: 1)] Development Budget Details - Debt Service Reserve - Both]&gt;</t>
        </r>
      </text>
    </comment>
    <comment ref="Z647" authorId="0" shapeId="0" xr:uid="{38F865C5-0CFC-4504-AA8C-8E69821DF15C}">
      <text>
        <r>
          <rPr>
            <b/>
            <sz val="9"/>
            <color indexed="81"/>
            <rFont val="Tahoma"/>
            <family val="2"/>
          </rPr>
          <t>&lt;[[DEVDeals] - [Associated TC Deal (Seq: 1)] - [TC Property Current Stage (Seq: 1)] - [TC Property Current Stage - User Defined Field Values (Seq: 1)] Development Budget Details - Debt Service Reserve - Both]&gt;</t>
        </r>
      </text>
    </comment>
    <comment ref="N648" authorId="0" shapeId="0" xr:uid="{EC178D0F-7220-4717-A14C-41103097177E}">
      <text>
        <r>
          <rPr>
            <b/>
            <sz val="9"/>
            <color indexed="81"/>
            <rFont val="Tahoma"/>
            <family val="2"/>
          </rPr>
          <t>&lt;[[DEVDeals] - [Budget Initial (Seq: 1)] - [Budget Initial - User Defined Field Values (Seq: 1)] Development Budget Details - Rent-up Reserve - Both]&gt;</t>
        </r>
      </text>
    </comment>
    <comment ref="Z648" authorId="0" shapeId="0" xr:uid="{361FA320-B19D-45F8-A6A5-4331954BA6F6}">
      <text>
        <r>
          <rPr>
            <b/>
            <sz val="9"/>
            <color indexed="81"/>
            <rFont val="Tahoma"/>
            <family val="2"/>
          </rPr>
          <t>&lt;[[DEVDeals] - [Associated TC Deal (Seq: 1)] - [TC Property Current Stage (Seq: 1)] - [TC Property Current Stage - User Defined Field Values (Seq: 1)] Development Budget Details - Rent-up Reserve - Both]&gt;</t>
        </r>
      </text>
    </comment>
    <comment ref="N649" authorId="0" shapeId="0" xr:uid="{D8787599-FE09-434A-BCE2-BB06D096F299}">
      <text>
        <r>
          <rPr>
            <b/>
            <sz val="9"/>
            <color indexed="81"/>
            <rFont val="Tahoma"/>
            <family val="2"/>
          </rPr>
          <t>&lt;[[DEVDeals] - [Budget Initial (Seq: 1)] - [Budget Initial - User Defined Field Values (Seq: 1)] Development Budget Details - Supportive Services Reserve - Both]&gt;</t>
        </r>
      </text>
    </comment>
    <comment ref="Z649" authorId="0" shapeId="0" xr:uid="{9E592DE5-1640-4178-8E1D-CA3ED967F0AF}">
      <text>
        <r>
          <rPr>
            <b/>
            <sz val="9"/>
            <color indexed="81"/>
            <rFont val="Tahoma"/>
            <family val="2"/>
          </rPr>
          <t>&lt;[[DEVDeals] - [Associated TC Deal (Seq: 1)] - [TC Property Current Stage (Seq: 1)] - [TC Property Current Stage - User Defined Field Values (Seq: 1)] Development Budget Details - Supportive Services Reserve - Both]&gt;</t>
        </r>
      </text>
    </comment>
    <comment ref="N650" authorId="0" shapeId="0" xr:uid="{CD048E0E-9167-46AE-8E5D-5A7E9A81B1A2}">
      <text>
        <r>
          <rPr>
            <b/>
            <sz val="9"/>
            <color indexed="81"/>
            <rFont val="Tahoma"/>
            <family val="2"/>
          </rPr>
          <t>&lt;[[DEVDeals] - [Budget Initial (Seq: 1)] - [Budget Initial - User Defined Field Values (Seq: 1)] Development Budget Details - Reserve - Developer Fee Funded Supportive Services / Rent Subsidy / Sponsor Note Reserve - Both]&gt;</t>
        </r>
      </text>
    </comment>
    <comment ref="Z650" authorId="0" shapeId="0" xr:uid="{580EE221-7135-495B-9A13-B2ADB8B219CA}">
      <text>
        <r>
          <rPr>
            <b/>
            <sz val="9"/>
            <color indexed="81"/>
            <rFont val="Tahoma"/>
            <family val="2"/>
          </rPr>
          <t>[[DEVDeals] - [Associated TC Deal (Seq: 1)] - [TC Property Current Stage (Seq: 1)] - [TC Property Current Stage - User Defined Field Values (Seq: 1)] Development Budget Details - Developer Fee Funded Supportive Services / Rent Subsidy / Sponsor Note Rese  &lt;[[DEVDeals] - [Associated TC Deal (Seq: 1)] - [TC Property Current Stage (Seq: 1)] - [TC Property Current Stage - User Defined Field Values (Seq: 1)] Development Budget Details - Developer Fee Funded Supportive Services / Rent Subsidy / Sponsor Note Reserve - Both]&gt;</t>
        </r>
      </text>
    </comment>
    <comment ref="N651" authorId="0" shapeId="0" xr:uid="{D68F1E44-4A87-4E8C-AEA9-EDCDBB309CBE}">
      <text>
        <r>
          <rPr>
            <b/>
            <sz val="9"/>
            <color indexed="81"/>
            <rFont val="Tahoma"/>
            <family val="2"/>
          </rPr>
          <t>&lt;[[DEVDeals] - [Budget Initial (Seq: 1)] - [Budget Initial - User Defined Field Values (Seq: 1)] Development Budget Details - Transition Reserve / Operating Deficit Reserve - Both]&gt;</t>
        </r>
      </text>
    </comment>
    <comment ref="Z651" authorId="0" shapeId="0" xr:uid="{24159B19-3128-45A6-B6D5-D0B823A9018A}">
      <text>
        <r>
          <rPr>
            <b/>
            <sz val="9"/>
            <color indexed="81"/>
            <rFont val="Tahoma"/>
            <family val="2"/>
          </rPr>
          <t>&lt;[[DEVDeals] - [Associated TC Deal (Seq: 1)] - [TC Property Current Stage (Seq: 1)] - [TC Property Current Stage - User Defined Field Values (Seq: 1)] Development Budget Details - Transition Reserve / Operating Deficit Reserve - Both]&gt;</t>
        </r>
      </text>
    </comment>
    <comment ref="N652" authorId="0" shapeId="0" xr:uid="{73FB4CC4-59E4-4111-8FE3-FDB248BCF3A7}">
      <text>
        <r>
          <rPr>
            <b/>
            <sz val="9"/>
            <color indexed="81"/>
            <rFont val="Tahoma"/>
            <family val="2"/>
          </rPr>
          <t>&lt;[[DEVDeals] - [Budget Initial (Seq: 1)] - [Budget Initial - User Defined Field Values (Seq: 1)] Development Budget Details - Reserve - Other Reserve Total - Both]&gt;</t>
        </r>
      </text>
    </comment>
    <comment ref="Z652" authorId="0" shapeId="0" xr:uid="{4F6DFAC6-DF96-44E5-99A2-5504A32E3750}">
      <text>
        <r>
          <rPr>
            <b/>
            <sz val="9"/>
            <color indexed="81"/>
            <rFont val="Tahoma"/>
            <family val="2"/>
          </rPr>
          <t>&lt;[[DEVDeals] - [Associated TC Deal (Seq: 1)] - [TC Property Current Stage (Seq: 1)] - [TC Property Current Stage - User Defined Field Values (Seq: 1)] Development Budget Details - Reserve - Other Reserve - Both]&gt;</t>
        </r>
      </text>
    </comment>
    <comment ref="N653" authorId="0" shapeId="0" xr:uid="{9D8E77EA-02CD-4BCB-A8CB-4F02D0000B0C}">
      <text>
        <r>
          <rPr>
            <b/>
            <sz val="9"/>
            <color indexed="81"/>
            <rFont val="Tahoma"/>
            <family val="2"/>
          </rPr>
          <t>&lt;[[DEVDeals] - [Budget Initial (Seq: 1)] - [Budget Initial - User Defined Field Values (Seq: 1)] Development Budget Details - Reserve - Other 1 Total - Both]&gt;</t>
        </r>
      </text>
    </comment>
    <comment ref="Z653" authorId="0" shapeId="0" xr:uid="{E5E22666-2A23-4D31-9C8B-D49E151CE085}">
      <text>
        <r>
          <rPr>
            <b/>
            <sz val="9"/>
            <color indexed="81"/>
            <rFont val="Tahoma"/>
            <family val="2"/>
          </rPr>
          <t>&lt;[[DEVDeals] - [Associated TC Deal (Seq: 1)] - [TC Property Current Stage (Seq: 1)] - [TC Property Current Stage - User Defined Field Values (Seq: 1)] Development Budget Details - Reserve - Other 1 - Both]&gt;</t>
        </r>
      </text>
    </comment>
    <comment ref="J654" authorId="0" shapeId="0" xr:uid="{41161968-3CDB-4280-AF66-1A89F22108AB}">
      <text>
        <r>
          <rPr>
            <b/>
            <sz val="9"/>
            <color indexed="81"/>
            <rFont val="Tahoma"/>
            <family val="2"/>
          </rPr>
          <t>&lt;[[DEVDeals] - [Budget Initial (Seq: 1)] SC Other9 Comments - Both]&gt;</t>
        </r>
      </text>
    </comment>
    <comment ref="N654" authorId="0" shapeId="0" xr:uid="{20F6DB64-D6A2-439F-B1BF-8354BFEF1029}">
      <text>
        <r>
          <rPr>
            <b/>
            <sz val="9"/>
            <color indexed="81"/>
            <rFont val="Tahoma"/>
            <family val="2"/>
          </rPr>
          <t>&lt;[[DEVDeals] - [Budget Initial (Seq: 1)] - [Budget Initial - User Defined Field Values (Seq: 1)] Development Budget Details - Reserve - Other Reserve Describe - Both]&gt;</t>
        </r>
      </text>
    </comment>
    <comment ref="Z654" authorId="0" shapeId="0" xr:uid="{E4F37374-664F-49EB-A026-BCE46D34A467}">
      <text>
        <r>
          <rPr>
            <b/>
            <sz val="9"/>
            <color indexed="81"/>
            <rFont val="Tahoma"/>
            <family val="2"/>
          </rPr>
          <t>&lt;[[DEVDeals] - [Associated TC Deal (Seq: 1)] - [TC Property Current Stage (Seq: 1)] - [TC Property Current Stage - User Defined Field Values (Seq: 1)] Development Budget Details - Reserve - Other Reserve Describe - Both]&gt;</t>
        </r>
      </text>
    </comment>
    <comment ref="N655" authorId="0" shapeId="0" xr:uid="{60E04097-724F-46D9-B53B-79C00BE43287}">
      <text>
        <r>
          <rPr>
            <b/>
            <sz val="9"/>
            <color indexed="81"/>
            <rFont val="Tahoma"/>
            <family val="2"/>
          </rPr>
          <t>&lt;[[DEVDeals] - [Budget Initial (Seq: 1)] - [Budget Initial - User Defined Field Values (Seq: 1)] Development Budget Details - Reserve - Other 1 Describe - Both]&gt;</t>
        </r>
      </text>
    </comment>
    <comment ref="Z655" authorId="0" shapeId="0" xr:uid="{B945A2DC-5985-4C95-8F1B-DB0E2F1F7BC1}">
      <text>
        <r>
          <rPr>
            <b/>
            <sz val="9"/>
            <color indexed="81"/>
            <rFont val="Tahoma"/>
            <family val="2"/>
          </rPr>
          <t>&lt;[[DEVDeals] - [Associated TC Deal (Seq: 1)] - [TC Property Current Stage (Seq: 1)] - [TC Property Current Stage - User Defined Field Values (Seq: 1)] Development Budget Details - Reserve - Other 1 Describe - Both]&gt;</t>
        </r>
      </text>
    </comment>
    <comment ref="N656" authorId="0" shapeId="0" xr:uid="{03827AEB-BC9B-4504-B7D8-EB9EE6FA94BA}">
      <text>
        <r>
          <rPr>
            <b/>
            <sz val="9"/>
            <color indexed="81"/>
            <rFont val="Tahoma"/>
            <family val="2"/>
          </rPr>
          <t>&lt;[[DEVDeals] - [Budget Initial (Seq: 1)] - [Budget Initial - User Defined Field Values (Seq: 1)] Development Budget Details - Fees on Non-acquisition Costs - Costs Over $10 Million - Both]&gt;</t>
        </r>
      </text>
    </comment>
    <comment ref="N657" authorId="0" shapeId="0" xr:uid="{6F341A34-0060-4D48-A11B-E0FDA4404F00}">
      <text>
        <r>
          <rPr>
            <b/>
            <sz val="9"/>
            <color indexed="81"/>
            <rFont val="Tahoma"/>
            <family val="2"/>
          </rPr>
          <t>&lt;[[DEVDeals] - [Budget Initial (Seq: 1)] - [Budget Initial - User Defined Field Values (Seq: 1)] Development Budget Details - Fees on Non-acquisition Costs - Costs $10 Million or less - Both]&gt;</t>
        </r>
      </text>
    </comment>
    <comment ref="N658" authorId="0" shapeId="0" xr:uid="{70A53C8C-2051-47CE-899E-29519E4D2F88}">
      <text>
        <r>
          <rPr>
            <b/>
            <sz val="9"/>
            <color indexed="81"/>
            <rFont val="Tahoma"/>
            <family val="2"/>
          </rPr>
          <t>&lt;[[DEVDeals] - [Budget Initial (Seq: 1)] - [Budget Initial - User Defined Field Values (Seq: 1)] Development Budget Details - Fees on Acquisition Costs - Costs Over $10 Million - Both]&gt;</t>
        </r>
      </text>
    </comment>
    <comment ref="N659" authorId="0" shapeId="0" xr:uid="{761C0AA0-EB01-438B-896B-61026E0F44C9}">
      <text>
        <r>
          <rPr>
            <b/>
            <sz val="9"/>
            <color indexed="81"/>
            <rFont val="Tahoma"/>
            <family val="2"/>
          </rPr>
          <t>&lt;[[DEVDeals] - [Budget Initial (Seq: 1)] - [Budget Initial - User Defined Field Values (Seq: 1)] Development Budget Details - Fees on Acquisition Costs - Costs $10 Million or less - Both]&gt;</t>
        </r>
      </text>
    </comment>
    <comment ref="M664" authorId="0" shapeId="0" xr:uid="{7A075560-3717-4323-BB6B-97C613CAF6A6}">
      <text>
        <r>
          <rPr>
            <b/>
            <sz val="9"/>
            <color indexed="81"/>
            <rFont val="Tahoma"/>
            <family val="2"/>
          </rPr>
          <t>&lt;[[DEVDeals] - [Associated TC Deal (Seq: 1)] - [TC Property Current Stage (Seq: 1)] Bldg Alloc Type - Both]&gt;</t>
        </r>
      </text>
    </comment>
    <comment ref="I667" authorId="0" shapeId="0" xr:uid="{995CEE37-E601-4627-BD7F-A3F7893FF436}">
      <text>
        <r>
          <rPr>
            <b/>
            <sz val="9"/>
            <color indexed="81"/>
            <rFont val="Tahoma"/>
            <family val="2"/>
          </rPr>
          <t>&lt;[[DEVDeals] - [Associated TC Deal (Seq: 1)] - [TC Property Current Stage (Seq: 1)] - [TC Property Current Stage - User Defined Field Values (Seq: 1)] Tax Credit Information - Ten Year Rule Exemption - Both]&gt;</t>
        </r>
      </text>
    </comment>
    <comment ref="I668" authorId="0" shapeId="0" xr:uid="{A4916DCA-7005-4E17-BF14-833760372300}">
      <text>
        <r>
          <rPr>
            <b/>
            <sz val="9"/>
            <color indexed="81"/>
            <rFont val="Tahoma"/>
            <family val="2"/>
          </rPr>
          <t>&lt;[[DEVDeals] - [Associated TC Deal (Seq: 1)] - [TC Property Current Stage (Seq: 1)] - [TC Property Current Stage - User Defined Field Values (Seq: 1)] Tax Credit Information - Total rehabilitation related costs - Both]&gt;</t>
        </r>
      </text>
    </comment>
    <comment ref="M669" authorId="0" shapeId="0" xr:uid="{473FACDC-42F5-4F4F-9D46-1E7E7BF99F0E}">
      <text>
        <r>
          <rPr>
            <b/>
            <sz val="9"/>
            <color indexed="81"/>
            <rFont val="Tahoma"/>
            <family val="2"/>
          </rPr>
          <t>&lt;[[DEVDeals] - [Associated TC Deal (Seq: 1)] - [TC Property Current Stage (Seq: 1)] - [TC Property Current Stage - User Defined Field Values (Seq: 1)] Tax Credit Information - Total rehabilitation related costs test - Both]&gt;</t>
        </r>
      </text>
    </comment>
    <comment ref="M676" authorId="0" shapeId="0" xr:uid="{F1A0AB6B-8DA5-40CE-A702-73927E80F78F}">
      <text>
        <r>
          <rPr>
            <b/>
            <sz val="9"/>
            <color indexed="81"/>
            <rFont val="Tahoma"/>
            <family val="2"/>
          </rPr>
          <t>&lt;[[DEVDeals] - [Associated TC Deal (Seq: 1)] - [TC Property Current Stage (Seq: 1)] - [TC Property Current Stage - User Defined Field Values (Seq: 1)] Tax Credit Information - Rent Floor Election - Both]&gt;</t>
        </r>
      </text>
    </comment>
    <comment ref="M681" authorId="0" shapeId="0" xr:uid="{45D380EE-7E49-4A84-8B4C-1D5A1CCFB879}">
      <text>
        <r>
          <rPr>
            <b/>
            <sz val="9"/>
            <color indexed="81"/>
            <rFont val="Tahoma"/>
            <family val="2"/>
          </rPr>
          <t>&lt;[[DEVDeals] - [Associated TC Deal (Seq: 1)] - [TC Property Current Stage (Seq: 1)] - [TC Property Current Stage - User Defined Field Values (Seq: 1)] Syndication Information - Type of Offering - Both]&gt;</t>
        </r>
      </text>
    </comment>
    <comment ref="M683" authorId="0" shapeId="0" xr:uid="{81329988-A6ED-4140-8439-6803DB0B2CBB}">
      <text>
        <r>
          <rPr>
            <b/>
            <sz val="9"/>
            <color indexed="81"/>
            <rFont val="Tahoma"/>
            <family val="2"/>
          </rPr>
          <t>&lt;[[DEVDeals] - [Associated TC Deal (Seq: 1)] - [TC Property Current Stage (Seq: 1)] - [TC Property Current Stage - User Defined Field Values (Seq: 1)] Syndication Information - Type of Investors - Both]&gt;</t>
        </r>
      </text>
    </comment>
    <comment ref="I686" authorId="0" shapeId="0" xr:uid="{4C2BAB5B-1E2F-454C-A033-70BA9AD22604}">
      <text>
        <r>
          <rPr>
            <b/>
            <sz val="9"/>
            <color indexed="81"/>
            <rFont val="Tahoma"/>
            <family val="2"/>
          </rPr>
          <t>&lt;[[DEVDeals] - [Associated TC Deal (Seq: 1)] - [TC Property Current Stage (Seq: 1)] - [TC Property Current Stage - User Defined Field Values (Seq: 1)] Syndication Information - Percent Paid 1 - Both]&gt;</t>
        </r>
      </text>
    </comment>
    <comment ref="I687" authorId="0" shapeId="0" xr:uid="{25792721-07E0-4025-8C9A-C5BF19515057}">
      <text>
        <r>
          <rPr>
            <b/>
            <sz val="9"/>
            <color indexed="81"/>
            <rFont val="Tahoma"/>
            <family val="2"/>
          </rPr>
          <t>&lt;[[DEVDeals] - [Associated TC Deal (Seq: 1)] - [TC Property Current Stage (Seq: 1)] - [TC Property Current Stage - User Defined Field Values (Seq: 1)] Syndication Information - Percent Paid 2 - Both]&gt;</t>
        </r>
      </text>
    </comment>
    <comment ref="I688" authorId="0" shapeId="0" xr:uid="{C2563878-A855-4C61-A817-63ABD0773CDD}">
      <text>
        <r>
          <rPr>
            <b/>
            <sz val="9"/>
            <color indexed="81"/>
            <rFont val="Tahoma"/>
            <family val="2"/>
          </rPr>
          <t>&lt;[[DEVDeals] - [Associated TC Deal (Seq: 1)] - [TC Property Current Stage (Seq: 1)] - [TC Property Current Stage - User Defined Field Values (Seq: 1)] Syndication Information - Percent Paid 3 - Both]&gt;</t>
        </r>
      </text>
    </comment>
    <comment ref="I689" authorId="0" shapeId="0" xr:uid="{23B9CC95-0EC2-40E4-99BE-FFF33229E699}">
      <text>
        <r>
          <rPr>
            <b/>
            <sz val="9"/>
            <color indexed="81"/>
            <rFont val="Tahoma"/>
            <family val="2"/>
          </rPr>
          <t>&lt;[[DEVDeals] - [Associated TC Deal (Seq: 1)] - [TC Property Current Stage (Seq: 1)] - [TC Property Current Stage - User Defined Field Values (Seq: 1)] Syndication Information - Percent Paid 4 - Both]&gt;</t>
        </r>
      </text>
    </comment>
    <comment ref="I690" authorId="0" shapeId="0" xr:uid="{3F19C09A-F2D3-4EA2-B12E-F180FEA1C1EB}">
      <text>
        <r>
          <rPr>
            <b/>
            <sz val="9"/>
            <color indexed="81"/>
            <rFont val="Tahoma"/>
            <family val="2"/>
          </rPr>
          <t>&lt;[[DEVDeals] - [Associated TC Deal (Seq: 1)] - [TC Property Current Stage (Seq: 1)] - [TC Property Current Stage - User Defined Field Values (Seq: 1)] Syndication Information - Percent Paid 5 - Both]&gt;</t>
        </r>
      </text>
    </comment>
    <comment ref="I691" authorId="0" shapeId="0" xr:uid="{C2CEDDB7-5265-49AA-9266-DE94EFA6C8E2}">
      <text>
        <r>
          <rPr>
            <b/>
            <sz val="9"/>
            <color indexed="81"/>
            <rFont val="Tahoma"/>
            <family val="2"/>
          </rPr>
          <t>&lt;[[DEVDeals] - [Associated TC Deal (Seq: 1)] - [TC Property Current Stage (Seq: 1)] - [TC Property Current Stage - User Defined Field Values (Seq: 1)] Syndication Information - Percent Paid 6 - Both]&gt;</t>
        </r>
      </text>
    </comment>
    <comment ref="I692" authorId="0" shapeId="0" xr:uid="{520E1421-DF26-4CCF-B86C-FBF14439D44A}">
      <text>
        <r>
          <rPr>
            <b/>
            <sz val="9"/>
            <color indexed="81"/>
            <rFont val="Tahoma"/>
            <family val="2"/>
          </rPr>
          <t>&lt;[[DEVDeals] - [Associated TC Deal (Seq: 1)] - [TC Property Current Stage (Seq: 1)] - [TC Property Current Stage - User Defined Field Values (Seq: 1)] Syndication Information - Percent Paid 7 - Both]&gt;</t>
        </r>
      </text>
    </comment>
    <comment ref="I693" authorId="0" shapeId="0" xr:uid="{55FB01C9-4D95-4285-AFA1-3F4E2E86AD2B}">
      <text>
        <r>
          <rPr>
            <b/>
            <sz val="9"/>
            <color indexed="81"/>
            <rFont val="Tahoma"/>
            <family val="2"/>
          </rPr>
          <t>&lt;[[DEVDeals] - [Associated TC Deal (Seq: 1)] - [TC Property Current Stage (Seq: 1)] - [TC Property Current Stage - User Defined Field Values (Seq: 1)] Syndication Information - Percent Paid 8 - Both]&gt;</t>
        </r>
      </text>
    </comment>
    <comment ref="I694" authorId="0" shapeId="0" xr:uid="{0D64CDD3-EFF4-4263-9E92-D1B8FCEAED82}">
      <text>
        <r>
          <rPr>
            <b/>
            <sz val="9"/>
            <color indexed="81"/>
            <rFont val="Tahoma"/>
            <family val="2"/>
          </rPr>
          <t>&lt;[[DEVDeals] - [Associated TC Deal (Seq: 1)] - [TC Property Current Stage (Seq: 1)] - [TC Property Current Stage - User Defined Field Values (Seq: 1)] Syndication Information - Percent Paid 9 - Both]&gt;</t>
        </r>
      </text>
    </comment>
    <comment ref="I695" authorId="0" shapeId="0" xr:uid="{700077B8-E263-475A-B810-6B558739D9D7}">
      <text>
        <r>
          <rPr>
            <b/>
            <sz val="9"/>
            <color indexed="81"/>
            <rFont val="Tahoma"/>
            <family val="2"/>
          </rPr>
          <t>&lt;[[DEVDeals] - [Associated TC Deal (Seq: 1)] - [TC Property Current Stage (Seq: 1)] - [TC Property Current Stage - User Defined Field Values (Seq: 1)] Syndication Information - Percent Paid 10 - Both]&gt;</t>
        </r>
      </text>
    </comment>
    <comment ref="I696" authorId="0" shapeId="0" xr:uid="{DA7F2E79-093F-4375-B29C-D593F7E14115}">
      <text>
        <r>
          <rPr>
            <b/>
            <sz val="9"/>
            <color indexed="81"/>
            <rFont val="Tahoma"/>
            <family val="2"/>
          </rPr>
          <t>&lt;[[DEVDeals] - [Associated TC Deal (Seq: 1)] - [TC Property Current Stage (Seq: 1)] - [TC Property Current Stage - User Defined Field Values (Seq: 1)] Syndication Information - Amount Paid 1 - Both]&gt;</t>
        </r>
      </text>
    </comment>
    <comment ref="I697" authorId="0" shapeId="0" xr:uid="{839DA437-5006-4A52-8056-ED71C4FB1F28}">
      <text>
        <r>
          <rPr>
            <b/>
            <sz val="9"/>
            <color indexed="81"/>
            <rFont val="Tahoma"/>
            <family val="2"/>
          </rPr>
          <t>&lt;[[DEVDeals] - [Associated TC Deal (Seq: 1)] - [TC Property Current Stage (Seq: 1)] - [TC Property Current Stage - User Defined Field Values (Seq: 1)] Syndication Information - Amount Paid 2 - Both]&gt;</t>
        </r>
      </text>
    </comment>
    <comment ref="I698" authorId="0" shapeId="0" xr:uid="{9EBBF83B-BB6B-415A-B6CF-418007E7427E}">
      <text>
        <r>
          <rPr>
            <b/>
            <sz val="9"/>
            <color indexed="81"/>
            <rFont val="Tahoma"/>
            <family val="2"/>
          </rPr>
          <t>&lt;[[DEVDeals] - [Associated TC Deal (Seq: 1)] - [TC Property Current Stage (Seq: 1)] - [TC Property Current Stage - User Defined Field Values (Seq: 1)] Syndication Information - Amount Paid 3 - Both]&gt;</t>
        </r>
      </text>
    </comment>
    <comment ref="I699" authorId="0" shapeId="0" xr:uid="{20F26F76-4D68-47F6-BE64-DCB073602D42}">
      <text>
        <r>
          <rPr>
            <b/>
            <sz val="9"/>
            <color indexed="81"/>
            <rFont val="Tahoma"/>
            <family val="2"/>
          </rPr>
          <t>&lt;[[DEVDeals] - [Associated TC Deal (Seq: 1)] - [TC Property Current Stage (Seq: 1)] - [TC Property Current Stage - User Defined Field Values (Seq: 1)] Syndication Information - Amount Paid 4 - Both]&gt;</t>
        </r>
      </text>
    </comment>
    <comment ref="I700" authorId="0" shapeId="0" xr:uid="{80694D98-647F-4775-A21D-F7C106632830}">
      <text>
        <r>
          <rPr>
            <b/>
            <sz val="9"/>
            <color indexed="81"/>
            <rFont val="Tahoma"/>
            <family val="2"/>
          </rPr>
          <t>&lt;[[DEVDeals] - [Associated TC Deal (Seq: 1)] - [TC Property Current Stage (Seq: 1)] - [TC Property Current Stage - User Defined Field Values (Seq: 1)] Syndication Information - Amount Paid 5 - Both]&gt;</t>
        </r>
      </text>
    </comment>
    <comment ref="I701" authorId="0" shapeId="0" xr:uid="{0337AB93-EDB2-4F31-9CDF-F949F91D56A4}">
      <text>
        <r>
          <rPr>
            <b/>
            <sz val="9"/>
            <color indexed="81"/>
            <rFont val="Tahoma"/>
            <family val="2"/>
          </rPr>
          <t>&lt;[[DEVDeals] - [Associated TC Deal (Seq: 1)] - [TC Property Current Stage (Seq: 1)] - [TC Property Current Stage - User Defined Field Values (Seq: 1)] Syndication Information - Amount Paid 6 - Both]&gt;</t>
        </r>
      </text>
    </comment>
    <comment ref="I702" authorId="0" shapeId="0" xr:uid="{D3D40466-FF14-4F15-87BD-1437B4BABDC5}">
      <text>
        <r>
          <rPr>
            <b/>
            <sz val="9"/>
            <color indexed="81"/>
            <rFont val="Tahoma"/>
            <family val="2"/>
          </rPr>
          <t>&lt;[[DEVDeals] - [Associated TC Deal (Seq: 1)] - [TC Property Current Stage (Seq: 1)] - [TC Property Current Stage - User Defined Field Values (Seq: 1)] Syndication Information - Amount Paid 7 - Both]&gt;</t>
        </r>
      </text>
    </comment>
    <comment ref="I703" authorId="0" shapeId="0" xr:uid="{FFC81D1E-569A-4920-930F-B7B11B841D6D}">
      <text>
        <r>
          <rPr>
            <b/>
            <sz val="9"/>
            <color indexed="81"/>
            <rFont val="Tahoma"/>
            <family val="2"/>
          </rPr>
          <t>&lt;[[DEVDeals] - [Associated TC Deal (Seq: 1)] - [TC Property Current Stage (Seq: 1)] - [TC Property Current Stage - User Defined Field Values (Seq: 1)] Syndication Information - Amount Paid 8 - Both]&gt;</t>
        </r>
      </text>
    </comment>
    <comment ref="I704" authorId="0" shapeId="0" xr:uid="{D26AC7CF-9461-4B79-B591-83CFD6FA9D72}">
      <text>
        <r>
          <rPr>
            <b/>
            <sz val="9"/>
            <color indexed="81"/>
            <rFont val="Tahoma"/>
            <family val="2"/>
          </rPr>
          <t>&lt;[[DEVDeals] - [Associated TC Deal (Seq: 1)] - [TC Property Current Stage (Seq: 1)] - [TC Property Current Stage - User Defined Field Values (Seq: 1)] Syndication Information - Amount Paid 9 - Both]&gt;</t>
        </r>
      </text>
    </comment>
    <comment ref="I705" authorId="0" shapeId="0" xr:uid="{575C38C8-D785-42FA-B310-301AC87E61FE}">
      <text>
        <r>
          <rPr>
            <b/>
            <sz val="9"/>
            <color indexed="81"/>
            <rFont val="Tahoma"/>
            <family val="2"/>
          </rPr>
          <t>&lt;[[DEVDeals] - [Associated TC Deal (Seq: 1)] - [TC Property Current Stage (Seq: 1)] - [TC Property Current Stage - User Defined Field Values (Seq: 1)] Syndication Information - Amount Paid 10 - Both]&gt;</t>
        </r>
      </text>
    </comment>
    <comment ref="I706" authorId="0" shapeId="0" xr:uid="{D727C9E2-E277-4A7A-B1E5-DFAA8F6B057F}">
      <text>
        <r>
          <rPr>
            <b/>
            <sz val="9"/>
            <color indexed="81"/>
            <rFont val="Tahoma"/>
            <family val="2"/>
          </rPr>
          <t>&lt;[[DEVDeals] - [Associated TC Deal (Seq: 1)] - [TC Property Current Stage (Seq: 1)] - [TC Property Current Stage - User Defined Field Values (Seq: 1)] Syndication Information - Date Paid 1 - Both]&gt;</t>
        </r>
      </text>
    </comment>
    <comment ref="I707" authorId="0" shapeId="0" xr:uid="{DAA2F06E-4476-45FC-8E15-DEFA2EDF37D0}">
      <text>
        <r>
          <rPr>
            <b/>
            <sz val="9"/>
            <color indexed="81"/>
            <rFont val="Tahoma"/>
            <family val="2"/>
          </rPr>
          <t>&lt;[[DEVDeals] - [Associated TC Deal (Seq: 1)] - [TC Property Current Stage (Seq: 1)] - [TC Property Current Stage - User Defined Field Values (Seq: 1)] Syndication Information - Date Paid 2 - Both]&gt;</t>
        </r>
      </text>
    </comment>
    <comment ref="I708" authorId="0" shapeId="0" xr:uid="{60952645-7CDA-4A85-AD0B-604619071769}">
      <text>
        <r>
          <rPr>
            <b/>
            <sz val="9"/>
            <color indexed="81"/>
            <rFont val="Tahoma"/>
            <family val="2"/>
          </rPr>
          <t>&lt;[[DEVDeals] - [Associated TC Deal (Seq: 1)] - [TC Property Current Stage (Seq: 1)] - [TC Property Current Stage - User Defined Field Values (Seq: 1)] Syndication Information - Date Paid 3 - Both]&gt;</t>
        </r>
      </text>
    </comment>
    <comment ref="I709" authorId="0" shapeId="0" xr:uid="{1436FF90-277E-472F-8BB7-CACDD1674557}">
      <text>
        <r>
          <rPr>
            <b/>
            <sz val="9"/>
            <color indexed="81"/>
            <rFont val="Tahoma"/>
            <family val="2"/>
          </rPr>
          <t>&lt;[[DEVDeals] - [Associated TC Deal (Seq: 1)] - [TC Property Current Stage (Seq: 1)] - [TC Property Current Stage - User Defined Field Values (Seq: 1)] Syndication Information - Date Paid 4 - Both]&gt;</t>
        </r>
      </text>
    </comment>
    <comment ref="I710" authorId="0" shapeId="0" xr:uid="{DB8087E0-88DC-4A97-8715-289974D8C050}">
      <text>
        <r>
          <rPr>
            <b/>
            <sz val="9"/>
            <color indexed="81"/>
            <rFont val="Tahoma"/>
            <family val="2"/>
          </rPr>
          <t>&lt;[[DEVDeals] - [Associated TC Deal (Seq: 1)] - [TC Property Current Stage (Seq: 1)] - [TC Property Current Stage - User Defined Field Values (Seq: 1)] Syndication Information - Date Paid 5 - Both]&gt;</t>
        </r>
      </text>
    </comment>
    <comment ref="I711" authorId="0" shapeId="0" xr:uid="{06DCC29D-3288-4C60-9A1A-D0105C96F0DD}">
      <text>
        <r>
          <rPr>
            <b/>
            <sz val="9"/>
            <color indexed="81"/>
            <rFont val="Tahoma"/>
            <family val="2"/>
          </rPr>
          <t>&lt;[[DEVDeals] - [Associated TC Deal (Seq: 1)] - [TC Property Current Stage (Seq: 1)] - [TC Property Current Stage - User Defined Field Values (Seq: 1)] Syndication Information - Date Paid 6 - Both]&gt;</t>
        </r>
      </text>
    </comment>
    <comment ref="I712" authorId="0" shapeId="0" xr:uid="{FF0957C4-062C-472E-83DC-094F54E45CFA}">
      <text>
        <r>
          <rPr>
            <b/>
            <sz val="9"/>
            <color indexed="81"/>
            <rFont val="Tahoma"/>
            <family val="2"/>
          </rPr>
          <t>&lt;[[DEVDeals] - [Associated TC Deal (Seq: 1)] - [TC Property Current Stage (Seq: 1)] - [TC Property Current Stage - User Defined Field Values (Seq: 1)] Syndication Information - Date Paid 7 - Both]&gt;</t>
        </r>
      </text>
    </comment>
    <comment ref="I713" authorId="0" shapeId="0" xr:uid="{3A703E84-94B1-47B6-AEBF-82FA4118D505}">
      <text>
        <r>
          <rPr>
            <b/>
            <sz val="9"/>
            <color indexed="81"/>
            <rFont val="Tahoma"/>
            <family val="2"/>
          </rPr>
          <t>&lt;[[DEVDeals] - [Associated TC Deal (Seq: 1)] - [TC Property Current Stage (Seq: 1)] - [TC Property Current Stage - User Defined Field Values (Seq: 1)] Syndication Information - Date Paid 8 - Both]&gt;</t>
        </r>
      </text>
    </comment>
    <comment ref="I714" authorId="0" shapeId="0" xr:uid="{EA061F30-11FE-40B1-92BD-82A1B1EA24AF}">
      <text>
        <r>
          <rPr>
            <b/>
            <sz val="9"/>
            <color indexed="81"/>
            <rFont val="Tahoma"/>
            <family val="2"/>
          </rPr>
          <t>&lt;[[DEVDeals] - [Associated TC Deal (Seq: 1)] - [TC Property Current Stage (Seq: 1)] - [TC Property Current Stage - User Defined Field Values (Seq: 1)] Syndication Information - Date Paid 9 - Both]&gt;</t>
        </r>
      </text>
    </comment>
    <comment ref="I715" authorId="0" shapeId="0" xr:uid="{DEBD6855-FB84-4E82-B1F8-A7B870275AB3}">
      <text>
        <r>
          <rPr>
            <b/>
            <sz val="9"/>
            <color indexed="81"/>
            <rFont val="Tahoma"/>
            <family val="2"/>
          </rPr>
          <t>&lt;[[DEVDeals] - [Associated TC Deal (Seq: 1)] - [TC Property Current Stage (Seq: 1)] - [TC Property Current Stage - User Defined Field Values (Seq: 1)] Syndication Information - Date Paid 10 - Both]&gt;</t>
        </r>
      </text>
    </comment>
    <comment ref="I716" authorId="0" shapeId="0" xr:uid="{4C04FB7E-E251-4C8A-BE32-5CB93E3A6CD0}">
      <text>
        <r>
          <rPr>
            <b/>
            <sz val="9"/>
            <color indexed="81"/>
            <rFont val="Tahoma"/>
            <family val="2"/>
          </rPr>
          <t>&lt;[[DEVDeals] - [Associated TC Deal (Seq: 1)] - [TC Property Current Stage (Seq: 1)] - [TC Property Current Stage - User Defined Field Values (Seq: 1)] Tax Credit Information - Census tract or DDA # - Both]&gt;</t>
        </r>
      </text>
    </comment>
    <comment ref="I717" authorId="0" shapeId="0" xr:uid="{8883A501-9603-49F2-BFDC-4EB3503ABF9A}">
      <text>
        <r>
          <rPr>
            <b/>
            <sz val="9"/>
            <color indexed="81"/>
            <rFont val="Tahoma"/>
            <family val="2"/>
          </rPr>
          <t>&lt;[[DEVDeals] - [Associated TC Deal (Seq: 1)] - [TC Property Current Stage (Seq: 1)] - [TC Property Current Stage - User Defined Field Values (Seq: 1)] Tax Credit Information - QCT or DDA Boost % - Both]&gt;</t>
        </r>
      </text>
    </comment>
    <comment ref="I718" authorId="0" shapeId="0" xr:uid="{36AF6777-7B81-48B3-90DF-A644B254EE9C}">
      <text>
        <r>
          <rPr>
            <b/>
            <sz val="9"/>
            <color indexed="81"/>
            <rFont val="Tahoma"/>
            <family val="2"/>
          </rPr>
          <t>&lt;[[DEVDeals] - [Associated TC Deal (Seq: 1)] - [TC Property Current Stage (Seq: 1)] - [TC Property Current Stage - User Defined Field Values (Seq: 1)] Tax Credit Information - Rural Housing and Community Development Service Amount - Both]&gt;</t>
        </r>
      </text>
    </comment>
    <comment ref="I719" authorId="0" shapeId="0" xr:uid="{80D614F8-0CED-48FA-BDD5-7E209E1B0FC1}">
      <text>
        <r>
          <rPr>
            <b/>
            <sz val="9"/>
            <color indexed="81"/>
            <rFont val="Tahoma"/>
            <family val="2"/>
          </rPr>
          <t>&lt;[[DEVDeals] - [Associated TC Deal (Seq: 1)] - [TC Property Current Stage (Seq: 1)] - [TC Property Current Stage - User Defined Field Values (Seq: 1)] Tax Credit Information - Community Development Block Grant Amount - Both]&gt;</t>
        </r>
      </text>
    </comment>
    <comment ref="I720" authorId="0" shapeId="0" xr:uid="{883A865A-798E-4E49-886D-1B8D30D3E1CA}">
      <text>
        <r>
          <rPr>
            <b/>
            <sz val="9"/>
            <color indexed="81"/>
            <rFont val="Tahoma"/>
            <family val="2"/>
          </rPr>
          <t>&lt;[[DEVDeals] - [Associated TC Deal (Seq: 1)] - [TC Property Current Stage (Seq: 1)] - [TC Property Current Stage - User Defined Field Values (Seq: 1)] Tax Credit Information - Rental Rehabilitation Program Amount - Both]&gt;</t>
        </r>
      </text>
    </comment>
    <comment ref="I721" authorId="0" shapeId="0" xr:uid="{E5B3688C-8BF3-43E3-A0E7-B45353E82933}">
      <text>
        <r>
          <rPr>
            <b/>
            <sz val="9"/>
            <color indexed="81"/>
            <rFont val="Tahoma"/>
            <family val="2"/>
          </rPr>
          <t>&lt;[[DEVDeals] - [Associated TC Deal (Seq: 1)] - [TC Property Current Stage (Seq: 1)] - [TC Property Current Stage - User Defined Field Values (Seq: 1)] Tax Credit Information - Urban Development Assistance Grant Amount - Both]&gt;</t>
        </r>
      </text>
    </comment>
    <comment ref="I722" authorId="0" shapeId="0" xr:uid="{2A3ABCD1-B82F-4F54-8EFD-B37560ABAEFB}">
      <text>
        <r>
          <rPr>
            <b/>
            <sz val="9"/>
            <color indexed="81"/>
            <rFont val="Tahoma"/>
            <family val="2"/>
          </rPr>
          <t>&lt;[[DEVDeals] - [Associated TC Deal (Seq: 1)] - [TC Property Current Stage (Seq: 1)] - [TC Property Current Stage - User Defined Field Values (Seq: 1)] Tax Credit Information - Housing Development Assistance Grant Amount - Both]&gt;</t>
        </r>
      </text>
    </comment>
    <comment ref="I723" authorId="0" shapeId="0" xr:uid="{96CCA995-5FD3-4F5F-BDB6-5C89303664AC}">
      <text>
        <r>
          <rPr>
            <b/>
            <sz val="9"/>
            <color indexed="81"/>
            <rFont val="Tahoma"/>
            <family val="2"/>
          </rPr>
          <t>&lt;[[DEVDeals] - [Associated TC Deal (Seq: 1)] - [TC Property Current Stage (Seq: 1)] - [TC Property Current Stage - User Defined Field Values (Seq: 1)] Tax Credit Information - HOME Investment Program Amount - Both]&gt;</t>
        </r>
      </text>
    </comment>
    <comment ref="I724" authorId="0" shapeId="0" xr:uid="{4085B940-633E-449C-85A5-F71E47F9B242}">
      <text>
        <r>
          <rPr>
            <b/>
            <sz val="9"/>
            <color indexed="81"/>
            <rFont val="Tahoma"/>
            <family val="2"/>
          </rPr>
          <t>&lt;[[DEVDeals] - [Associated TC Deal (Seq: 1)] - [TC Property Current Stage (Seq: 1)] - [TC Property Current Stage - User Defined Field Values (Seq: 1)] Tax Credit Information - Other Amount - Both]&gt;</t>
        </r>
      </text>
    </comment>
    <comment ref="I725" authorId="0" shapeId="0" xr:uid="{F3B6D22A-D27A-471E-8101-A67439AF897A}">
      <text>
        <r>
          <rPr>
            <b/>
            <sz val="9"/>
            <color indexed="81"/>
            <rFont val="Tahoma"/>
            <family val="2"/>
          </rPr>
          <t>&lt;[[DEVDeals] - [Associated TC Deal (Seq: 1)] - [TC Property Current Stage (Seq: 1)] - [TC Property Current Stage - User Defined Field Values (Seq: 1)] Tax Credit Information - Other Amount Describe - Both]&gt;</t>
        </r>
      </text>
    </comment>
    <comment ref="I726" authorId="0" shapeId="0" xr:uid="{72D1C647-EDBA-4506-8976-BFCF29E96905}">
      <text>
        <r>
          <rPr>
            <b/>
            <sz val="9"/>
            <color indexed="81"/>
            <rFont val="Tahoma"/>
            <family val="2"/>
          </rPr>
          <t>&lt;[[DEVDeals] - [Associated TC Deal (Seq: 1)] - [TC Property Current Stage (Seq: 1)] - [TC Property Current Stage - User Defined Field Values (Seq: 1)] Tax Credit Information - Rural Housing and Community Development Service - Basis Deduction - Both]&gt;</t>
        </r>
      </text>
    </comment>
    <comment ref="I727" authorId="0" shapeId="0" xr:uid="{D2F1D7C3-CB2A-45DB-AA65-56AF40D5E002}">
      <text>
        <r>
          <rPr>
            <b/>
            <sz val="9"/>
            <color indexed="81"/>
            <rFont val="Tahoma"/>
            <family val="2"/>
          </rPr>
          <t>&lt;[[DEVDeals] - [Associated TC Deal (Seq: 1)] - [TC Property Current Stage (Seq: 1)] - [TC Property Current Stage - User Defined Field Values (Seq: 1)] Tax Credit Information - Community Development Block Grant - Basis Deduction - Both]&gt;</t>
        </r>
      </text>
    </comment>
    <comment ref="I728" authorId="0" shapeId="0" xr:uid="{4B97B18A-B126-4210-BB28-0DFE1E6CE4E0}">
      <text>
        <r>
          <rPr>
            <b/>
            <sz val="9"/>
            <color indexed="81"/>
            <rFont val="Tahoma"/>
            <family val="2"/>
          </rPr>
          <t>&lt;[[DEVDeals] - [Associated TC Deal (Seq: 1)] - [TC Property Current Stage (Seq: 1)] - [TC Property Current Stage - User Defined Field Values (Seq: 1)] Tax Credit Information - Rental Rehabilitation Program - Basis Deduction - Both]&gt;</t>
        </r>
      </text>
    </comment>
    <comment ref="I729" authorId="0" shapeId="0" xr:uid="{C9A5DD7A-F9EA-4767-9CA7-E57A7894956D}">
      <text>
        <r>
          <rPr>
            <b/>
            <sz val="9"/>
            <color indexed="81"/>
            <rFont val="Tahoma"/>
            <family val="2"/>
          </rPr>
          <t>&lt;[[DEVDeals] - [Associated TC Deal (Seq: 1)] - [TC Property Current Stage (Seq: 1)] - [TC Property Current Stage - User Defined Field Values (Seq: 1)] Tax Credit Information - Urban Development Assistance Grant - Basis Deduction - Both]&gt;</t>
        </r>
      </text>
    </comment>
    <comment ref="I730" authorId="0" shapeId="0" xr:uid="{B8BE31EE-D9DB-42C8-AF97-13D3E6F23B3D}">
      <text>
        <r>
          <rPr>
            <b/>
            <sz val="9"/>
            <color indexed="81"/>
            <rFont val="Tahoma"/>
            <family val="2"/>
          </rPr>
          <t>&lt;[[DEVDeals] - [Associated TC Deal (Seq: 1)] - [TC Property Current Stage (Seq: 1)] - [TC Property Current Stage - User Defined Field Values (Seq: 1)] Tax Credit Information - Housing Development Assistance Grant - Basis Deduction - Both]&gt;</t>
        </r>
      </text>
    </comment>
    <comment ref="I731" authorId="0" shapeId="0" xr:uid="{AAF94EC3-DAAD-4F8A-A267-DEC1F2B41493}">
      <text>
        <r>
          <rPr>
            <b/>
            <sz val="9"/>
            <color indexed="81"/>
            <rFont val="Tahoma"/>
            <family val="2"/>
          </rPr>
          <t>&lt;[[DEVDeals] - [Associated TC Deal (Seq: 1)] - [TC Property Current Stage (Seq: 1)] - [TC Property Current Stage - User Defined Field Values (Seq: 1)] Tax Credit Information - HOME Investment Program - Basis Deduction - Both]&gt;</t>
        </r>
      </text>
    </comment>
    <comment ref="I732" authorId="0" shapeId="0" xr:uid="{1E9E2C6A-ED58-455A-A1D2-3B61A8EC47F0}">
      <text>
        <r>
          <rPr>
            <b/>
            <sz val="9"/>
            <color indexed="81"/>
            <rFont val="Tahoma"/>
            <family val="2"/>
          </rPr>
          <t>&lt;[[DEVDeals] - [Associated TC Deal (Seq: 1)] - [TC Property Current Stage (Seq: 1)] - [TC Property Current Stage - User Defined Field Values (Seq: 1)] Tax Credit Information - Other - Basis Deduction - Both]&gt;</t>
        </r>
      </text>
    </comment>
    <comment ref="I733" authorId="0" shapeId="0" xr:uid="{F46975B0-2F64-43C4-8E71-4207461E5FA5}">
      <text>
        <r>
          <rPr>
            <b/>
            <sz val="9"/>
            <color indexed="81"/>
            <rFont val="Tahoma"/>
            <family val="2"/>
          </rPr>
          <t>&lt;[[DEVDeals] - [Associated TC Deal (Seq: 1)] - [TC Property Current Stage (Seq: 1)] - [TC Property Current Stage - User Defined Field Values (Seq: 1)] Tax Credit Information - Historic Credits - Federal - Both]&gt;</t>
        </r>
      </text>
    </comment>
    <comment ref="I734" authorId="0" shapeId="0" xr:uid="{B984235D-AFB0-4BA0-9821-5776D159D984}">
      <text>
        <r>
          <rPr>
            <b/>
            <sz val="9"/>
            <color indexed="81"/>
            <rFont val="Tahoma"/>
            <family val="2"/>
          </rPr>
          <t>&lt;[[DEVDeals] - [Associated TC Deal (Seq: 1)] - [TC Property Current Stage (Seq: 1)] - [TC Property Current Stage - User Defined Field Values (Seq: 1)] Tax Credit Information - Historic Credits - State - Both]&gt;</t>
        </r>
      </text>
    </comment>
    <comment ref="I735" authorId="0" shapeId="0" xr:uid="{9099C726-EFAB-46C0-8357-0AC53B7787EE}">
      <text>
        <r>
          <rPr>
            <b/>
            <sz val="9"/>
            <color indexed="81"/>
            <rFont val="Tahoma"/>
            <family val="2"/>
          </rPr>
          <t>&lt;[[DEVDeals] - [Associated TC Deal (Seq: 1)] - [TC Property Current Stage (Seq: 1)] - [TC Property Current Stage - User Defined Field Values (Seq: 1)] Tax Credit Information - Raise Ratio - Federal - Both]&gt;</t>
        </r>
      </text>
    </comment>
    <comment ref="I736" authorId="0" shapeId="0" xr:uid="{7DE527D1-DF9C-44E1-ACE5-48917EBAAF3A}">
      <text>
        <r>
          <rPr>
            <b/>
            <sz val="9"/>
            <color indexed="81"/>
            <rFont val="Tahoma"/>
            <family val="2"/>
          </rPr>
          <t>&lt;[[DEVDeals] - [Associated TC Deal (Seq: 1)] - [TC Property Current Stage (Seq: 1)] - [TC Property Current Stage - User Defined Field Values (Seq: 1)] Tax Credit Information - Raise Ratio - State - Both]&gt;</t>
        </r>
      </text>
    </comment>
    <comment ref="I741" authorId="0" shapeId="0" xr:uid="{9AEEE35A-3BED-485D-ADAA-E3645757B68F}">
      <text>
        <r>
          <rPr>
            <b/>
            <sz val="9"/>
            <color indexed="81"/>
            <rFont val="Tahoma"/>
            <family val="2"/>
          </rPr>
          <t>&lt;[[DEVDeals] - [DEV User Defined Fields (Seq: 1)] Deal Information - Low Income Units - Both]&gt;</t>
        </r>
      </text>
    </comment>
    <comment ref="I742" authorId="0" shapeId="0" xr:uid="{A4A7DEB3-E97C-4D91-8402-30E2F5515720}">
      <text>
        <r>
          <rPr>
            <b/>
            <sz val="9"/>
            <color indexed="81"/>
            <rFont val="Tahoma"/>
            <family val="2"/>
          </rPr>
          <t>&lt;[[DEVDeals] - [DEV User Defined Fields (Seq: 1)] Deal Information - Market Rate Units - Both]&gt;</t>
        </r>
      </text>
    </comment>
    <comment ref="I743" authorId="0" shapeId="0" xr:uid="{C849B80A-D89C-40A0-8C70-FF600570AFCE}">
      <text>
        <r>
          <rPr>
            <b/>
            <sz val="9"/>
            <color indexed="81"/>
            <rFont val="Tahoma"/>
            <family val="2"/>
          </rPr>
          <t>&lt;[[DEVDeals] - [DEV User Defined Fields (Seq: 1)] Deal Information - Nonresidential - Both]&gt;</t>
        </r>
      </text>
    </comment>
    <comment ref="I744" authorId="0" shapeId="0" xr:uid="{4AD566B7-3B39-4A2F-BC2D-6A9279973BDE}">
      <text>
        <r>
          <rPr>
            <b/>
            <sz val="9"/>
            <color indexed="81"/>
            <rFont val="Tahoma"/>
            <family val="2"/>
          </rPr>
          <t>&lt;[[DEVDeals] - [DEV User Defined Fields (Seq: 1)] Deal Information - Commercial Income - Both]&gt;</t>
        </r>
      </text>
    </comment>
    <comment ref="I745" authorId="0" shapeId="0" xr:uid="{7BD9000E-F12E-4867-8DC6-6142DBC62BB6}">
      <text>
        <r>
          <rPr>
            <b/>
            <sz val="9"/>
            <color indexed="81"/>
            <rFont val="Tahoma"/>
            <family val="2"/>
          </rPr>
          <t>&lt;[[DEVDeals] - [DEV User Defined Fields (Seq: 1)] Deal Information - Administrative Expenses - Both]&gt;</t>
        </r>
      </text>
    </comment>
    <comment ref="I746" authorId="0" shapeId="0" xr:uid="{C2A2FA53-868F-49DC-B2DC-9D9E8FB29EDA}">
      <text>
        <r>
          <rPr>
            <b/>
            <sz val="9"/>
            <color indexed="81"/>
            <rFont val="Tahoma"/>
            <family val="2"/>
          </rPr>
          <t>&lt;[[DEVDeals] - [DEV User Defined Fields (Seq: 1)] Deal Information - Utilities Expenses - Both]&gt;</t>
        </r>
      </text>
    </comment>
    <comment ref="I747" authorId="0" shapeId="0" xr:uid="{569D86AE-B626-43A2-A624-E48858DC3885}">
      <text>
        <r>
          <rPr>
            <b/>
            <sz val="9"/>
            <color indexed="81"/>
            <rFont val="Tahoma"/>
            <family val="2"/>
          </rPr>
          <t>&lt;[[DEVDeals] - [DEV User Defined Fields (Seq: 1)] Deal Information - Operating and Maintenance Expenses - Both]&gt;</t>
        </r>
      </text>
    </comment>
    <comment ref="I748" authorId="0" shapeId="0" xr:uid="{1BB2C37D-7BC8-458C-A90A-D130540E6BE8}">
      <text>
        <r>
          <rPr>
            <b/>
            <sz val="9"/>
            <color indexed="81"/>
            <rFont val="Tahoma"/>
            <family val="2"/>
          </rPr>
          <t>&lt;[[DEVDeals] - [DEV User Defined Fields (Seq: 1)] Deal Information - Real Estate Taxes Expenses - Both]&gt;</t>
        </r>
      </text>
    </comment>
    <comment ref="I749" authorId="0" shapeId="0" xr:uid="{B75DCEA1-8DFD-4F51-BF62-60020B4B6E61}">
      <text>
        <r>
          <rPr>
            <b/>
            <sz val="9"/>
            <color indexed="81"/>
            <rFont val="Tahoma"/>
            <family val="2"/>
          </rPr>
          <t>&lt;[[DEVDeals] - [DEV User Defined Fields (Seq: 1)] Deal Information - Payment in Lieu of Real Estate Taxes Expenses - Both]&gt;</t>
        </r>
      </text>
    </comment>
    <comment ref="I750" authorId="0" shapeId="0" xr:uid="{C0065CD9-B9F3-45B5-8179-9AA9EB201166}">
      <text>
        <r>
          <rPr>
            <b/>
            <sz val="9"/>
            <color indexed="81"/>
            <rFont val="Tahoma"/>
            <family val="2"/>
          </rPr>
          <t>&lt;[[DEVDeals] - [DEV User Defined Fields (Seq: 1)] Deal Information - Other Taxes, Insurance, and Benefits Expenses - Both]&gt;</t>
        </r>
      </text>
    </comment>
    <comment ref="I751" authorId="0" shapeId="0" xr:uid="{549BA765-B44B-4D70-961A-D18AC98ABA39}">
      <text>
        <r>
          <rPr>
            <b/>
            <sz val="9"/>
            <color indexed="81"/>
            <rFont val="Tahoma"/>
            <family val="2"/>
          </rPr>
          <t>&lt;[[DEVDeals] - [DEV User Defined Fields (Seq: 1)] Deal Information - Reserve for Replacement Expenses - Both]&gt;</t>
        </r>
      </text>
    </comment>
    <comment ref="I756" authorId="0" shapeId="0" xr:uid="{6753677E-36FF-4D9F-BB41-638E81FBD736}">
      <text>
        <r>
          <rPr>
            <b/>
            <sz val="9"/>
            <color indexed="81"/>
            <rFont val="Tahoma"/>
            <family val="2"/>
          </rPr>
          <t>&lt;[[DEVDeals] - [DEV User Defined Fields (Seq: 1)] Deal Information - Deferred Developer Fee - Both]&gt;</t>
        </r>
      </text>
    </comment>
    <comment ref="I757" authorId="0" shapeId="0" xr:uid="{4A6DD4B8-3EEA-48D4-A44E-DE648D64B481}">
      <text>
        <r>
          <rPr>
            <b/>
            <sz val="9"/>
            <color indexed="81"/>
            <rFont val="Tahoma"/>
            <family val="2"/>
          </rPr>
          <t>&lt;[[DEVDeals] - [DEV User Defined Fields (Seq: 1)] Deal Information - DHCD Loans - Both]&gt;</t>
        </r>
      </text>
    </comment>
    <comment ref="I758" authorId="0" shapeId="0" xr:uid="{DCA1DA92-C9DC-4253-BB9A-2BD5807E3390}">
      <text>
        <r>
          <rPr>
            <b/>
            <sz val="9"/>
            <color indexed="81"/>
            <rFont val="Tahoma"/>
            <family val="2"/>
          </rPr>
          <t>&lt;[[DEVDeals] - [DEV User Defined Fields (Seq: 1)] Deal Information - Local Gov't - Both]&gt;</t>
        </r>
      </text>
    </comment>
    <comment ref="I759" authorId="0" shapeId="0" xr:uid="{5DD40F63-7D08-4F72-8F40-DA2DC8AA4CA5}">
      <text>
        <r>
          <rPr>
            <b/>
            <sz val="9"/>
            <color indexed="81"/>
            <rFont val="Tahoma"/>
            <family val="2"/>
          </rPr>
          <t>&lt;[[DEVDeals] - [DEV User Defined Fields (Seq: 1)] Deal Information - Remaining Cash Flow - Both]&gt;</t>
        </r>
      </text>
    </comment>
    <comment ref="I760" authorId="0" shapeId="0" xr:uid="{1BE21E6F-B9BB-45D6-ACDB-39BAC83656E8}">
      <text>
        <r>
          <rPr>
            <b/>
            <sz val="9"/>
            <color indexed="81"/>
            <rFont val="Tahoma"/>
            <family val="2"/>
          </rPr>
          <t>&lt;[[DEVDeals] - [DEV User Defined Fields (Seq: 1)] Deal Information - Deferred Developer Fee Year 16+ - Both]&gt;</t>
        </r>
      </text>
    </comment>
    <comment ref="I761" authorId="0" shapeId="0" xr:uid="{11FC6D9A-3849-4343-9E87-F68FB53B036F}">
      <text>
        <r>
          <rPr>
            <b/>
            <sz val="9"/>
            <color indexed="81"/>
            <rFont val="Tahoma"/>
            <family val="2"/>
          </rPr>
          <t>&lt;[[DEVDeals] - [DEV User Defined Fields (Seq: 1)] Deal Information - DHCD Loans Year 16+ - Both]&gt;</t>
        </r>
      </text>
    </comment>
    <comment ref="I762" authorId="0" shapeId="0" xr:uid="{E5692C1C-E43A-4D10-96B5-5783CAAF27F4}">
      <text>
        <r>
          <rPr>
            <b/>
            <sz val="9"/>
            <color indexed="81"/>
            <rFont val="Tahoma"/>
            <family val="2"/>
          </rPr>
          <t>&lt;[[DEVDeals] - [DEV User Defined Fields (Seq: 1)] Deal Information - Local Gov't Year 16+ - Both]&gt;</t>
        </r>
      </text>
    </comment>
    <comment ref="I763" authorId="0" shapeId="0" xr:uid="{3C1F2F6F-DEA3-48B8-BCA6-D69CCE2DC555}">
      <text>
        <r>
          <rPr>
            <b/>
            <sz val="9"/>
            <color indexed="81"/>
            <rFont val="Tahoma"/>
            <family val="2"/>
          </rPr>
          <t>&lt;[[DEVDeals] - [DEV User Defined Fields (Seq: 1)] Deal Information - Remaining Cash Flow Year 16+ - Both]&gt;</t>
        </r>
      </text>
    </comment>
    <comment ref="I768" authorId="0" shapeId="0" xr:uid="{776CDDB2-E715-4CBA-A05E-41633A374C92}">
      <text>
        <r>
          <rPr>
            <b/>
            <sz val="9"/>
            <color indexed="81"/>
            <rFont val="Tahoma"/>
            <family val="2"/>
          </rPr>
          <t>&lt;[[DEVDeals] - [DEV User Defined Fields (Seq: 1)] Current Financing Information - Lien Position 1 - Both]&gt;</t>
        </r>
      </text>
    </comment>
    <comment ref="I769" authorId="0" shapeId="0" xr:uid="{9C1C747D-ECAB-466B-81AD-0BFD3A9A592E}">
      <text>
        <r>
          <rPr>
            <b/>
            <sz val="9"/>
            <color indexed="81"/>
            <rFont val="Tahoma"/>
            <family val="2"/>
          </rPr>
          <t>&lt;[[DEVDeals] - [DEV User Defined Fields (Seq: 1)] Current Financing Information - Lien Position 2 - Both]&gt;</t>
        </r>
      </text>
    </comment>
    <comment ref="I770" authorId="0" shapeId="0" xr:uid="{55337EF2-4DCD-4A93-9297-089EF93CF2FB}">
      <text>
        <r>
          <rPr>
            <b/>
            <sz val="9"/>
            <color indexed="81"/>
            <rFont val="Tahoma"/>
            <family val="2"/>
          </rPr>
          <t>&lt;[[DEVDeals] - [DEV User Defined Fields (Seq: 1)] Current Financing Information - Lien Position 3 - Both]&gt;</t>
        </r>
      </text>
    </comment>
    <comment ref="I771" authorId="0" shapeId="0" xr:uid="{2EE7CE77-B394-42E2-923B-FC6B7042A9AF}">
      <text>
        <r>
          <rPr>
            <b/>
            <sz val="9"/>
            <color indexed="81"/>
            <rFont val="Tahoma"/>
            <family val="2"/>
          </rPr>
          <t>&lt;[[DEVDeals] - [DEV User Defined Fields (Seq: 1)] Current Financing Information - Lien Position 4 - Both]&gt;</t>
        </r>
      </text>
    </comment>
    <comment ref="I772" authorId="0" shapeId="0" xr:uid="{5100915E-2494-4770-A45E-170D86EBFF2F}">
      <text>
        <r>
          <rPr>
            <b/>
            <sz val="9"/>
            <color indexed="81"/>
            <rFont val="Tahoma"/>
            <family val="2"/>
          </rPr>
          <t>&lt;[[DEVDeals] - [DEV User Defined Fields (Seq: 1)] Current Financing Information - Lien Position 5 - Both]&gt;</t>
        </r>
      </text>
    </comment>
    <comment ref="I773" authorId="0" shapeId="0" xr:uid="{2E10100E-86C8-43FD-A0A8-44CBD38C5870}">
      <text>
        <r>
          <rPr>
            <b/>
            <sz val="9"/>
            <color indexed="81"/>
            <rFont val="Tahoma"/>
            <family val="2"/>
          </rPr>
          <t>&lt;[[DEVDeals] - [DEV User Defined Fields (Seq: 1)] Current Financing Information - Lien Position 6 - Both]&gt;</t>
        </r>
      </text>
    </comment>
    <comment ref="I774" authorId="0" shapeId="0" xr:uid="{9D0C993C-0BA1-4C81-B8F1-E8F11BC5AD68}">
      <text>
        <r>
          <rPr>
            <b/>
            <sz val="9"/>
            <color indexed="81"/>
            <rFont val="Tahoma"/>
            <family val="2"/>
          </rPr>
          <t>&lt;[[DEVDeals] - [DEV User Defined Fields (Seq: 1)] Current Financing Information - Lien Position 7 - Both]&gt;</t>
        </r>
      </text>
    </comment>
    <comment ref="I775" authorId="0" shapeId="0" xr:uid="{668E02DF-8AE1-430C-B765-5BBF0BFCCC14}">
      <text>
        <r>
          <rPr>
            <b/>
            <sz val="9"/>
            <color indexed="81"/>
            <rFont val="Tahoma"/>
            <family val="2"/>
          </rPr>
          <t>&lt;[[DEVDeals] - [DEV User Defined Fields (Seq: 1)] Current Financing Information - Lien Position 8 - Both]&gt;</t>
        </r>
      </text>
    </comment>
    <comment ref="I776" authorId="0" shapeId="0" xr:uid="{E39051B1-EAE5-463A-ABEB-DAFCF8C7566C}">
      <text>
        <r>
          <rPr>
            <b/>
            <sz val="9"/>
            <color indexed="81"/>
            <rFont val="Tahoma"/>
            <family val="2"/>
          </rPr>
          <t>&lt;[[DEVDeals] - [DEV User Defined Fields (Seq: 1)] Current Financing Information - Mortgage 1 - Both]&gt;</t>
        </r>
      </text>
    </comment>
    <comment ref="I777" authorId="0" shapeId="0" xr:uid="{81B6D99E-3EFF-4974-922C-631391BF9C67}">
      <text>
        <r>
          <rPr>
            <b/>
            <sz val="9"/>
            <color indexed="81"/>
            <rFont val="Tahoma"/>
            <family val="2"/>
          </rPr>
          <t>&lt;[[DEVDeals] - [DEV User Defined Fields (Seq: 1)] Current Financing Information - Mortgage 2 - Both]&gt;</t>
        </r>
      </text>
    </comment>
    <comment ref="I778" authorId="0" shapeId="0" xr:uid="{ABB7BFD7-DA50-4662-907E-F83C8F14A498}">
      <text>
        <r>
          <rPr>
            <b/>
            <sz val="9"/>
            <color indexed="81"/>
            <rFont val="Tahoma"/>
            <family val="2"/>
          </rPr>
          <t>&lt;[[DEVDeals] - [DEV User Defined Fields (Seq: 1)] Current Financing Information - Mortgage 3 - Both]&gt;</t>
        </r>
      </text>
    </comment>
    <comment ref="I779" authorId="0" shapeId="0" xr:uid="{0689092C-EDD2-4369-95C1-5B13FF3D1E3E}">
      <text>
        <r>
          <rPr>
            <b/>
            <sz val="9"/>
            <color indexed="81"/>
            <rFont val="Tahoma"/>
            <family val="2"/>
          </rPr>
          <t>&lt;[[DEVDeals] - [DEV User Defined Fields (Seq: 1)] Current Financing Information - Mortgage 4 - Both]&gt;</t>
        </r>
      </text>
    </comment>
    <comment ref="I780" authorId="0" shapeId="0" xr:uid="{3C8BC163-7E7E-4979-9D6F-24E3D237F9B9}">
      <text>
        <r>
          <rPr>
            <b/>
            <sz val="9"/>
            <color indexed="81"/>
            <rFont val="Tahoma"/>
            <family val="2"/>
          </rPr>
          <t>&lt;[[DEVDeals] - [DEV User Defined Fields (Seq: 1)] Current Financing Information - Mortgage 5 - Both]&gt;</t>
        </r>
      </text>
    </comment>
    <comment ref="I781" authorId="0" shapeId="0" xr:uid="{4819899E-C028-4567-93D7-C4786E6200FA}">
      <text>
        <r>
          <rPr>
            <b/>
            <sz val="9"/>
            <color indexed="81"/>
            <rFont val="Tahoma"/>
            <family val="2"/>
          </rPr>
          <t>&lt;[[DEVDeals] - [DEV User Defined Fields (Seq: 1)] Current Financing Information - Mortgage 6 - Both]&gt;</t>
        </r>
      </text>
    </comment>
    <comment ref="I782" authorId="0" shapeId="0" xr:uid="{7F69E782-33C2-44FD-AD18-5F8C03114094}">
      <text>
        <r>
          <rPr>
            <b/>
            <sz val="9"/>
            <color indexed="81"/>
            <rFont val="Tahoma"/>
            <family val="2"/>
          </rPr>
          <t>&lt;[[DEVDeals] - [DEV User Defined Fields (Seq: 1)] Current Financing Information - Mortgage 7 - Both]&gt;</t>
        </r>
      </text>
    </comment>
    <comment ref="I783" authorId="0" shapeId="0" xr:uid="{B9379428-1DB5-44A0-8555-51E41AECA61B}">
      <text>
        <r>
          <rPr>
            <b/>
            <sz val="9"/>
            <color indexed="81"/>
            <rFont val="Tahoma"/>
            <family val="2"/>
          </rPr>
          <t>&lt;[[DEVDeals] - [DEV User Defined Fields (Seq: 1)] Current Financing Information - Mortgage 8 - Both]&gt;</t>
        </r>
      </text>
    </comment>
    <comment ref="I784" authorId="0" shapeId="0" xr:uid="{7A8855F4-EAB4-41C0-97A7-A2263AFFB79A}">
      <text>
        <r>
          <rPr>
            <b/>
            <sz val="9"/>
            <color indexed="81"/>
            <rFont val="Tahoma"/>
            <family val="2"/>
          </rPr>
          <t>&lt;[[DEVDeals] - [DEV User Defined Fields (Seq: 1)] Current Financing Information - Loan Product 1 - Both]&gt;</t>
        </r>
      </text>
    </comment>
    <comment ref="I785" authorId="0" shapeId="0" xr:uid="{33087ECC-9424-4AC9-A8FE-50B4EF58677D}">
      <text>
        <r>
          <rPr>
            <b/>
            <sz val="9"/>
            <color indexed="81"/>
            <rFont val="Tahoma"/>
            <family val="2"/>
          </rPr>
          <t>&lt;[[DEVDeals] - [DEV User Defined Fields (Seq: 1)] Current Financing Information - Loan Product 2 - Both]&gt;</t>
        </r>
      </text>
    </comment>
    <comment ref="I786" authorId="0" shapeId="0" xr:uid="{B490E680-074B-4D12-BEF5-214A63328ACE}">
      <text>
        <r>
          <rPr>
            <b/>
            <sz val="9"/>
            <color indexed="81"/>
            <rFont val="Tahoma"/>
            <family val="2"/>
          </rPr>
          <t>&lt;[[DEVDeals] - [DEV User Defined Fields (Seq: 1)] Current Financing Information - Loan Product 3 - Both]&gt;</t>
        </r>
      </text>
    </comment>
    <comment ref="I787" authorId="0" shapeId="0" xr:uid="{EA3A1EF5-7481-4669-9E9B-A808C3847D8B}">
      <text>
        <r>
          <rPr>
            <b/>
            <sz val="9"/>
            <color indexed="81"/>
            <rFont val="Tahoma"/>
            <family val="2"/>
          </rPr>
          <t>&lt;[[DEVDeals] - [DEV User Defined Fields (Seq: 1)] Current Financing Information - Loan Product 4 - Both]&gt;</t>
        </r>
      </text>
    </comment>
    <comment ref="I788" authorId="0" shapeId="0" xr:uid="{C430E6F5-555A-4847-BC82-BFFDB020E85E}">
      <text>
        <r>
          <rPr>
            <b/>
            <sz val="9"/>
            <color indexed="81"/>
            <rFont val="Tahoma"/>
            <family val="2"/>
          </rPr>
          <t>&lt;[[DEVDeals] - [DEV User Defined Fields (Seq: 1)] Current Financing Information - Loan Product 5 - Both]&gt;</t>
        </r>
      </text>
    </comment>
    <comment ref="I789" authorId="0" shapeId="0" xr:uid="{C932B81E-1BDD-40FF-A833-30E668CEEC0F}">
      <text>
        <r>
          <rPr>
            <b/>
            <sz val="9"/>
            <color indexed="81"/>
            <rFont val="Tahoma"/>
            <family val="2"/>
          </rPr>
          <t>&lt;[[DEVDeals] - [DEV User Defined Fields (Seq: 1)] Current Financing Information - Loan Product 6 - Both]&gt;</t>
        </r>
      </text>
    </comment>
    <comment ref="I790" authorId="0" shapeId="0" xr:uid="{09BCCCD3-A41D-45CE-A678-D1FBE4611919}">
      <text>
        <r>
          <rPr>
            <b/>
            <sz val="9"/>
            <color indexed="81"/>
            <rFont val="Tahoma"/>
            <family val="2"/>
          </rPr>
          <t>&lt;[[DEVDeals] - [DEV User Defined Fields (Seq: 1)] Current Financing Information - Loan Product 7 - Both]&gt;</t>
        </r>
      </text>
    </comment>
    <comment ref="I791" authorId="0" shapeId="0" xr:uid="{1FA1B450-20DF-4492-BCD8-CB1BDF808EF3}">
      <text>
        <r>
          <rPr>
            <b/>
            <sz val="9"/>
            <color indexed="81"/>
            <rFont val="Tahoma"/>
            <family val="2"/>
          </rPr>
          <t>&lt;[[DEVDeals] - [DEV User Defined Fields (Seq: 1)] Current Financing Information - Loan Product 8 - Both]&gt;</t>
        </r>
      </text>
    </comment>
    <comment ref="I792" authorId="0" shapeId="0" xr:uid="{DDF5E868-CADF-4B8A-BF3A-4B8E1C1BDC66}">
      <text>
        <r>
          <rPr>
            <b/>
            <sz val="9"/>
            <color indexed="81"/>
            <rFont val="Tahoma"/>
            <family val="2"/>
          </rPr>
          <t>&lt;[[DEVDeals] - [DEV User Defined Fields (Seq: 1)] Current Financing Information - Approximate Balance 1 - Both]&gt;</t>
        </r>
      </text>
    </comment>
    <comment ref="I793" authorId="0" shapeId="0" xr:uid="{B9951782-2E2B-4E0D-916B-85293322FF97}">
      <text>
        <r>
          <rPr>
            <b/>
            <sz val="9"/>
            <color indexed="81"/>
            <rFont val="Tahoma"/>
            <family val="2"/>
          </rPr>
          <t>&lt;[[DEVDeals] - [DEV User Defined Fields (Seq: 1)] Current Financing Information - Approximate Balance 2 - Both]&gt;</t>
        </r>
      </text>
    </comment>
    <comment ref="I794" authorId="0" shapeId="0" xr:uid="{CD7F415A-9D9F-44AB-AA40-114A8B610939}">
      <text>
        <r>
          <rPr>
            <b/>
            <sz val="9"/>
            <color indexed="81"/>
            <rFont val="Tahoma"/>
            <family val="2"/>
          </rPr>
          <t>&lt;[[DEVDeals] - [DEV User Defined Fields (Seq: 1)] Current Financing Information - Approximate Balance 3 - Both]&gt;</t>
        </r>
      </text>
    </comment>
    <comment ref="I795" authorId="0" shapeId="0" xr:uid="{A15B0F3B-B4A8-49A5-A7F9-36A5E0EAD381}">
      <text>
        <r>
          <rPr>
            <b/>
            <sz val="9"/>
            <color indexed="81"/>
            <rFont val="Tahoma"/>
            <family val="2"/>
          </rPr>
          <t>&lt;[[DEVDeals] - [DEV User Defined Fields (Seq: 1)] Current Financing Information - Approximate Balance 4 - Both]&gt;</t>
        </r>
      </text>
    </comment>
    <comment ref="I796" authorId="0" shapeId="0" xr:uid="{F68D2C4E-5B4D-43EF-AC6F-F30E2D5ED96A}">
      <text>
        <r>
          <rPr>
            <b/>
            <sz val="9"/>
            <color indexed="81"/>
            <rFont val="Tahoma"/>
            <family val="2"/>
          </rPr>
          <t>&lt;[[DEVDeals] - [DEV User Defined Fields (Seq: 1)] Current Financing Information - Approximate Balance 5 - Both]&gt;</t>
        </r>
      </text>
    </comment>
    <comment ref="I797" authorId="0" shapeId="0" xr:uid="{F4BA4218-D8B3-4064-BAEF-91D61633A6BD}">
      <text>
        <r>
          <rPr>
            <b/>
            <sz val="9"/>
            <color indexed="81"/>
            <rFont val="Tahoma"/>
            <family val="2"/>
          </rPr>
          <t>&lt;[[DEVDeals] - [DEV User Defined Fields (Seq: 1)] Current Financing Information - Approximate Balance 6 - Both]&gt;</t>
        </r>
      </text>
    </comment>
    <comment ref="I798" authorId="0" shapeId="0" xr:uid="{5C6D577A-6110-4B73-AC71-86598C5E3057}">
      <text>
        <r>
          <rPr>
            <b/>
            <sz val="9"/>
            <color indexed="81"/>
            <rFont val="Tahoma"/>
            <family val="2"/>
          </rPr>
          <t>&lt;[[DEVDeals] - [DEV User Defined Fields (Seq: 1)] Current Financing Information - Approximate Balance 7 - Both]&gt;</t>
        </r>
      </text>
    </comment>
    <comment ref="I799" authorId="0" shapeId="0" xr:uid="{2B9542DE-8BD1-4AC5-9B5F-51AA963D2709}">
      <text>
        <r>
          <rPr>
            <b/>
            <sz val="9"/>
            <color indexed="81"/>
            <rFont val="Tahoma"/>
            <family val="2"/>
          </rPr>
          <t>&lt;[[DEVDeals] - [DEV User Defined Fields (Seq: 1)] Current Financing Information - Approximate Balance 8 - Both]&gt;</t>
        </r>
      </text>
    </comment>
    <comment ref="I800" authorId="0" shapeId="0" xr:uid="{B43C1525-4C69-4F5D-9766-799162482952}">
      <text>
        <r>
          <rPr>
            <b/>
            <sz val="9"/>
            <color indexed="81"/>
            <rFont val="Tahoma"/>
            <family val="2"/>
          </rPr>
          <t>&lt;[[DEVDeals] - [DEV User Defined Fields (Seq: 1)] Current Financing Information - Loan Number 1 - Both]&gt;</t>
        </r>
      </text>
    </comment>
    <comment ref="I801" authorId="0" shapeId="0" xr:uid="{2F553A69-D274-4A38-8ECB-C05A577DAC05}">
      <text>
        <r>
          <rPr>
            <b/>
            <sz val="9"/>
            <color indexed="81"/>
            <rFont val="Tahoma"/>
            <family val="2"/>
          </rPr>
          <t>&lt;[[DEVDeals] - [DEV User Defined Fields (Seq: 1)] Current Financing Information - Loan Number 2 - Both]&gt;</t>
        </r>
      </text>
    </comment>
    <comment ref="I802" authorId="0" shapeId="0" xr:uid="{0B4C5469-19C7-46C7-901D-2BF0EAE4BEDC}">
      <text>
        <r>
          <rPr>
            <b/>
            <sz val="9"/>
            <color indexed="81"/>
            <rFont val="Tahoma"/>
            <family val="2"/>
          </rPr>
          <t>&lt;[[DEVDeals] - [DEV User Defined Fields (Seq: 1)] Current Financing Information - Loan Number 3 - Both]&gt;</t>
        </r>
      </text>
    </comment>
    <comment ref="I803" authorId="0" shapeId="0" xr:uid="{4B80EBAC-8802-4CD7-8CD4-54CD3E4B4F12}">
      <text>
        <r>
          <rPr>
            <b/>
            <sz val="9"/>
            <color indexed="81"/>
            <rFont val="Tahoma"/>
            <family val="2"/>
          </rPr>
          <t>&lt;[[DEVDeals] - [DEV User Defined Fields (Seq: 1)] Current Financing Information - Loan Number 4 - Both]&gt;</t>
        </r>
      </text>
    </comment>
    <comment ref="I804" authorId="0" shapeId="0" xr:uid="{814458CB-2DBB-4A80-9E79-0F7E776BF259}">
      <text>
        <r>
          <rPr>
            <b/>
            <sz val="9"/>
            <color indexed="81"/>
            <rFont val="Tahoma"/>
            <family val="2"/>
          </rPr>
          <t>&lt;[[DEVDeals] - [DEV User Defined Fields (Seq: 1)] Current Financing Information - Loan Number 5 - Both]&gt;</t>
        </r>
      </text>
    </comment>
    <comment ref="I805" authorId="0" shapeId="0" xr:uid="{60C4FBA0-5848-48A7-AA56-0DA43806434D}">
      <text>
        <r>
          <rPr>
            <b/>
            <sz val="9"/>
            <color indexed="81"/>
            <rFont val="Tahoma"/>
            <family val="2"/>
          </rPr>
          <t>&lt;[[DEVDeals] - [DEV User Defined Fields (Seq: 1)] Current Financing Information - Loan Number 6 - Both]&gt;</t>
        </r>
      </text>
    </comment>
    <comment ref="I806" authorId="0" shapeId="0" xr:uid="{2A7993C6-AB16-41A8-86CA-FB4570549FA8}">
      <text>
        <r>
          <rPr>
            <b/>
            <sz val="9"/>
            <color indexed="81"/>
            <rFont val="Tahoma"/>
            <family val="2"/>
          </rPr>
          <t>&lt;[[DEVDeals] - [DEV User Defined Fields (Seq: 1)] Current Financing Information - Loan Number 7 - Both]&gt;</t>
        </r>
      </text>
    </comment>
    <comment ref="I807" authorId="0" shapeId="0" xr:uid="{9EB53066-6A1A-4A4C-BD99-71D6FCA82130}">
      <text>
        <r>
          <rPr>
            <b/>
            <sz val="9"/>
            <color indexed="81"/>
            <rFont val="Tahoma"/>
            <family val="2"/>
          </rPr>
          <t>&lt;[[DEVDeals] - [DEV User Defined Fields (Seq: 1)] Current Financing Information - Loan Number 8 - Both]&gt;</t>
        </r>
      </text>
    </comment>
    <comment ref="I808" authorId="0" shapeId="0" xr:uid="{3B9F0905-7082-48C8-A3CA-0196A9148107}">
      <text>
        <r>
          <rPr>
            <b/>
            <sz val="9"/>
            <color indexed="81"/>
            <rFont val="Tahoma"/>
            <family val="2"/>
          </rPr>
          <t>&lt;[[DEVDeals] - [DEV User Defined Fields (Seq: 1)] Current Financing Information - Credit Enhancement 1 - Both]&gt;</t>
        </r>
      </text>
    </comment>
    <comment ref="I809" authorId="0" shapeId="0" xr:uid="{820D33E7-FB0C-4C78-B206-26792B07BC53}">
      <text>
        <r>
          <rPr>
            <b/>
            <sz val="9"/>
            <color indexed="81"/>
            <rFont val="Tahoma"/>
            <family val="2"/>
          </rPr>
          <t>&lt;[[DEVDeals] - [DEV User Defined Fields (Seq: 1)] Current Financing Information - Credit Enhancement 2 - Both]&gt;</t>
        </r>
      </text>
    </comment>
    <comment ref="I810" authorId="0" shapeId="0" xr:uid="{27BB80B8-1B46-4260-9A82-84F37B579E83}">
      <text>
        <r>
          <rPr>
            <b/>
            <sz val="9"/>
            <color indexed="81"/>
            <rFont val="Tahoma"/>
            <family val="2"/>
          </rPr>
          <t>&lt;[[DEVDeals] - [DEV User Defined Fields (Seq: 1)] Current Financing Information - Credit Enhancement 3 - Both]&gt;</t>
        </r>
      </text>
    </comment>
    <comment ref="I811" authorId="0" shapeId="0" xr:uid="{6EE38DE9-65A0-47E4-8EDB-DD86E4759913}">
      <text>
        <r>
          <rPr>
            <b/>
            <sz val="9"/>
            <color indexed="81"/>
            <rFont val="Tahoma"/>
            <family val="2"/>
          </rPr>
          <t>&lt;[[DEVDeals] - [DEV User Defined Fields (Seq: 1)] Current Financing Information - Credit Enhancement 4 - Both]&gt;</t>
        </r>
      </text>
    </comment>
    <comment ref="I812" authorId="0" shapeId="0" xr:uid="{24F4949B-31A4-4940-9EDA-CD943688E437}">
      <text>
        <r>
          <rPr>
            <b/>
            <sz val="9"/>
            <color indexed="81"/>
            <rFont val="Tahoma"/>
            <family val="2"/>
          </rPr>
          <t>&lt;[[DEVDeals] - [DEV User Defined Fields (Seq: 1)] Current Financing Information - Credit Enhancement 5 - Both]&gt;</t>
        </r>
      </text>
    </comment>
    <comment ref="I813" authorId="0" shapeId="0" xr:uid="{6A55908B-D45E-41AC-AABE-B23B6261733E}">
      <text>
        <r>
          <rPr>
            <b/>
            <sz val="9"/>
            <color indexed="81"/>
            <rFont val="Tahoma"/>
            <family val="2"/>
          </rPr>
          <t>&lt;[[DEVDeals] - [DEV User Defined Fields (Seq: 1)] Current Financing Information - Credit Enhancement 6 - Both]&gt;</t>
        </r>
      </text>
    </comment>
    <comment ref="I814" authorId="0" shapeId="0" xr:uid="{9369896C-2F71-4590-92A7-B1A73480A504}">
      <text>
        <r>
          <rPr>
            <b/>
            <sz val="9"/>
            <color indexed="81"/>
            <rFont val="Tahoma"/>
            <family val="2"/>
          </rPr>
          <t>&lt;[[DEVDeals] - [DEV User Defined Fields (Seq: 1)] Current Financing Information - Credit Enhancement 7 - Both]&gt;</t>
        </r>
      </text>
    </comment>
    <comment ref="I815" authorId="0" shapeId="0" xr:uid="{3A201186-C2CF-4F63-93DD-9292AEBCB4BB}">
      <text>
        <r>
          <rPr>
            <b/>
            <sz val="9"/>
            <color indexed="81"/>
            <rFont val="Tahoma"/>
            <family val="2"/>
          </rPr>
          <t>&lt;[[DEVDeals] - [DEV User Defined Fields (Seq: 1)] Current Financing Information - Credit Enhancement 8 - Both]&gt;</t>
        </r>
      </text>
    </comment>
    <comment ref="E892" authorId="0" shapeId="0" xr:uid="{47C34D04-27B1-46DC-B17E-3B48B6F0BE45}">
      <text>
        <r>
          <rPr>
            <b/>
            <sz val="9"/>
            <color indexed="81"/>
            <rFont val="Tahoma"/>
            <family val="2"/>
          </rPr>
          <t>&lt;[[DEVDeals] - [Primary Portfolio Property (Seq: 1)] - [Forecast Financials (Seq: 1)] - [Forecast Financial Line Items (Seq: 1)] Period End Date - Send]&gt;</t>
        </r>
      </text>
    </comment>
    <comment ref="F892" authorId="0" shapeId="0" xr:uid="{F83217AA-B871-4BA6-8E96-52F2545AF92D}">
      <text>
        <r>
          <rPr>
            <b/>
            <sz val="9"/>
            <color indexed="81"/>
            <rFont val="Tahoma"/>
            <family val="2"/>
          </rPr>
          <t>&lt;[[DEVDeals] - [Primary Portfolio Property (Seq: 1)] - [Forecast Financials (Seq: 2)] - [Forecast Financial Line Items (Seq: 1)] Period End Date - Send]&gt;</t>
        </r>
      </text>
    </comment>
    <comment ref="G892" authorId="0" shapeId="0" xr:uid="{19B38C6C-0C95-4457-B1FA-F63EA55A3E4B}">
      <text>
        <r>
          <rPr>
            <b/>
            <sz val="9"/>
            <color indexed="81"/>
            <rFont val="Tahoma"/>
            <family val="2"/>
          </rPr>
          <t>&lt;[[DEVDeals] - [Primary Portfolio Property (Seq: 1)] - [Forecast Financials (Seq: 3)] - [Forecast Financial Line Items (Seq: 1)] Period End Date - Send]&gt;</t>
        </r>
      </text>
    </comment>
    <comment ref="H892" authorId="0" shapeId="0" xr:uid="{F845B0AD-C9ED-4D7C-BA0E-A049902224F6}">
      <text>
        <r>
          <rPr>
            <b/>
            <sz val="9"/>
            <color indexed="81"/>
            <rFont val="Tahoma"/>
            <family val="2"/>
          </rPr>
          <t>&lt;[[DEVDeals] - [Primary Portfolio Property (Seq: 1)] - [Forecast Financials (Seq: 4)] - [Forecast Financial Line Items (Seq: 1)] Period End Date - Send]&gt;</t>
        </r>
      </text>
    </comment>
    <comment ref="I892" authorId="0" shapeId="0" xr:uid="{E2DD2462-2507-46E1-9BB6-93F1480290A6}">
      <text>
        <r>
          <rPr>
            <b/>
            <sz val="9"/>
            <color indexed="81"/>
            <rFont val="Tahoma"/>
            <family val="2"/>
          </rPr>
          <t>&lt;[[DEVDeals] - [Primary Portfolio Property (Seq: 1)] - [Forecast Financials (Seq: 5)] - [Forecast Financial Line Items (Seq: 1)] Period End Date - Send]&gt;</t>
        </r>
      </text>
    </comment>
    <comment ref="J892" authorId="0" shapeId="0" xr:uid="{EE30C928-87A4-4EEB-A14F-E7BD0728E035}">
      <text>
        <r>
          <rPr>
            <b/>
            <sz val="9"/>
            <color indexed="81"/>
            <rFont val="Tahoma"/>
            <family val="2"/>
          </rPr>
          <t>&lt;[[DEVDeals] - [Primary Portfolio Property (Seq: 1)] - [Forecast Financials (Seq: 6)] - [Forecast Financial Line Items (Seq: 1)] Period End Date - Send]&gt;</t>
        </r>
      </text>
    </comment>
    <comment ref="K892" authorId="0" shapeId="0" xr:uid="{C30EF4E3-FDE8-40FE-BF82-1FA1FD4A7464}">
      <text>
        <r>
          <rPr>
            <b/>
            <sz val="9"/>
            <color indexed="81"/>
            <rFont val="Tahoma"/>
            <family val="2"/>
          </rPr>
          <t>&lt;[[DEVDeals] - [Primary Portfolio Property (Seq: 1)] - [Forecast Financials (Seq: 7)] - [Forecast Financial Line Items (Seq: 1)] Period End Date - Send]&gt;</t>
        </r>
      </text>
    </comment>
    <comment ref="L892" authorId="0" shapeId="0" xr:uid="{0732A156-4803-4E73-9520-E9458776000F}">
      <text>
        <r>
          <rPr>
            <b/>
            <sz val="9"/>
            <color indexed="81"/>
            <rFont val="Tahoma"/>
            <family val="2"/>
          </rPr>
          <t>&lt;[[DEVDeals] - [Primary Portfolio Property (Seq: 1)] - [Forecast Financials (Seq: 8)] - [Forecast Financial Line Items (Seq: 1)] Period End Date - Send]&gt;</t>
        </r>
      </text>
    </comment>
    <comment ref="M892" authorId="0" shapeId="0" xr:uid="{B55F4E7F-108B-4B27-B190-035CD0861E17}">
      <text>
        <r>
          <rPr>
            <b/>
            <sz val="9"/>
            <color indexed="81"/>
            <rFont val="Tahoma"/>
            <family val="2"/>
          </rPr>
          <t>&lt;[[DEVDeals] - [Primary Portfolio Property (Seq: 1)] - [Forecast Financials (Seq: 9)] - [Forecast Financial Line Items (Seq: 1)] Period End Date - Send]&gt;</t>
        </r>
      </text>
    </comment>
    <comment ref="N892" authorId="0" shapeId="0" xr:uid="{6D140A3E-D399-4466-8D54-1032A807E1B3}">
      <text>
        <r>
          <rPr>
            <b/>
            <sz val="9"/>
            <color indexed="81"/>
            <rFont val="Tahoma"/>
            <family val="2"/>
          </rPr>
          <t>&lt;[[DEVDeals] - [Primary Portfolio Property (Seq: 1)] - [Forecast Financials (Seq: 10)] - [Forecast Financial Line Items (Seq: 1)] Period End Date - Send]&gt;</t>
        </r>
      </text>
    </comment>
    <comment ref="O892" authorId="0" shapeId="0" xr:uid="{B96A5972-9CE9-47A9-A996-F98983BD05BF}">
      <text>
        <r>
          <rPr>
            <b/>
            <sz val="9"/>
            <color indexed="81"/>
            <rFont val="Tahoma"/>
            <family val="2"/>
          </rPr>
          <t>&lt;[[DEVDeals] - [Primary Portfolio Property (Seq: 1)] - [Forecast Financials (Seq: 11)] - [Forecast Financial Line Items (Seq: 1)] Period End Date - Send]&gt;</t>
        </r>
      </text>
    </comment>
    <comment ref="P892" authorId="0" shapeId="0" xr:uid="{10BA8D2D-A158-4DBE-8F43-A6B48B308FE4}">
      <text>
        <r>
          <rPr>
            <b/>
            <sz val="9"/>
            <color indexed="81"/>
            <rFont val="Tahoma"/>
            <family val="2"/>
          </rPr>
          <t>&lt;[[DEVDeals] - [Primary Portfolio Property (Seq: 1)] - [Forecast Financials (Seq: 12)] - [Forecast Financial Line Items (Seq: 1)] Period End Date - Send]&gt;</t>
        </r>
      </text>
    </comment>
    <comment ref="Q892" authorId="0" shapeId="0" xr:uid="{F8B8EFBD-6A5A-4B9B-A1D4-D5E16B8019DD}">
      <text>
        <r>
          <rPr>
            <b/>
            <sz val="9"/>
            <color indexed="81"/>
            <rFont val="Tahoma"/>
            <family val="2"/>
          </rPr>
          <t>&lt;[[DEVDeals] - [Primary Portfolio Property (Seq: 1)] - [Forecast Financials (Seq: 13)] - [Forecast Financial Line Items (Seq: 1)] Period End Date - Send]&gt;</t>
        </r>
      </text>
    </comment>
    <comment ref="R892" authorId="0" shapeId="0" xr:uid="{028B1D5F-352A-449B-85B9-330D7D3629CF}">
      <text>
        <r>
          <rPr>
            <b/>
            <sz val="9"/>
            <color indexed="81"/>
            <rFont val="Tahoma"/>
            <family val="2"/>
          </rPr>
          <t>&lt;[[DEVDeals] - [Primary Portfolio Property (Seq: 1)] - [Forecast Financials (Seq: 14)] - [Forecast Financial Line Items (Seq: 1)] Period End Date - Send]&gt;</t>
        </r>
      </text>
    </comment>
    <comment ref="S892" authorId="0" shapeId="0" xr:uid="{37EA5255-D5AC-4715-9092-3D6A0AA212D6}">
      <text>
        <r>
          <rPr>
            <b/>
            <sz val="9"/>
            <color indexed="81"/>
            <rFont val="Tahoma"/>
            <family val="2"/>
          </rPr>
          <t>&lt;[[DEVDeals] - [Primary Portfolio Property (Seq: 1)] - [Forecast Financials (Seq: 15)] - [Forecast Financial Line Items (Seq: 1)] Period End Date - Send]&gt;</t>
        </r>
      </text>
    </comment>
    <comment ref="T892" authorId="0" shapeId="0" xr:uid="{2277C342-14B9-49E1-8830-D1171BB830AA}">
      <text>
        <r>
          <rPr>
            <b/>
            <sz val="9"/>
            <color indexed="81"/>
            <rFont val="Tahoma"/>
            <family val="2"/>
          </rPr>
          <t>&lt;[[DEVDeals] - [Primary Portfolio Property (Seq: 1)] - [Forecast Financials (Seq: 16)] - [Forecast Financial Line Items (Seq: 1)] Period End Date - Send]&gt;</t>
        </r>
      </text>
    </comment>
    <comment ref="U892" authorId="0" shapeId="0" xr:uid="{D288C323-22F7-43A3-9A55-5CA390907044}">
      <text>
        <r>
          <rPr>
            <b/>
            <sz val="9"/>
            <color indexed="81"/>
            <rFont val="Tahoma"/>
            <family val="2"/>
          </rPr>
          <t>&lt;[[DEVDeals] - [Primary Portfolio Property (Seq: 1)] - [Forecast Financials (Seq: 17)] - [Forecast Financial Line Items (Seq: 1)] Period End Date - Send]&gt;</t>
        </r>
      </text>
    </comment>
    <comment ref="V892" authorId="0" shapeId="0" xr:uid="{BC9E5728-0800-47FF-9019-DD912374E526}">
      <text>
        <r>
          <rPr>
            <b/>
            <sz val="9"/>
            <color indexed="81"/>
            <rFont val="Tahoma"/>
            <family val="2"/>
          </rPr>
          <t>&lt;[[DEVDeals] - [Primary Portfolio Property (Seq: 1)] - [Forecast Financials (Seq: 18)] - [Forecast Financial Line Items (Seq: 1)] Period End Date - Send]&gt;</t>
        </r>
      </text>
    </comment>
    <comment ref="W892" authorId="0" shapeId="0" xr:uid="{3191A998-DAAC-48AB-B93A-535B1B24BADA}">
      <text>
        <r>
          <rPr>
            <b/>
            <sz val="9"/>
            <color indexed="81"/>
            <rFont val="Tahoma"/>
            <family val="2"/>
          </rPr>
          <t>&lt;[[DEVDeals] - [Primary Portfolio Property (Seq: 1)] - [Forecast Financials (Seq: 19)] - [Forecast Financial Line Items (Seq: 1)] Period End Date - Send]&gt;</t>
        </r>
      </text>
    </comment>
    <comment ref="X892" authorId="0" shapeId="0" xr:uid="{BC2DA1C2-D367-410E-BC1D-BE0DA2A030FC}">
      <text>
        <r>
          <rPr>
            <b/>
            <sz val="9"/>
            <color indexed="81"/>
            <rFont val="Tahoma"/>
            <family val="2"/>
          </rPr>
          <t>&lt;[[DEVDeals] - [Primary Portfolio Property (Seq: 1)] - [Forecast Financials (Seq: 20)] - [Forecast Financial Line Items (Seq: 1)] Period End Date - Send]&gt;</t>
        </r>
      </text>
    </comment>
    <comment ref="E893" authorId="0" shapeId="0" xr:uid="{B3E4F9FE-19A6-48B8-8CCA-8D18E17F917B}">
      <text>
        <r>
          <rPr>
            <b/>
            <sz val="9"/>
            <color indexed="81"/>
            <rFont val="Tahoma"/>
            <family val="2"/>
          </rPr>
          <t>&lt;[[DEVDeals] - [Primary Portfolio Property (Seq: 1)] - [Forecast Financials (Seq: 1)] - [Forecast Financial Line Items (Seq: 1)] Financial Type - Send]&gt;</t>
        </r>
      </text>
    </comment>
    <comment ref="F893" authorId="0" shapeId="0" xr:uid="{C40CE209-DE47-4196-B1CC-4D394BFA7669}">
      <text>
        <r>
          <rPr>
            <b/>
            <sz val="9"/>
            <color indexed="81"/>
            <rFont val="Tahoma"/>
            <family val="2"/>
          </rPr>
          <t>&lt;[[DEVDeals] - [Primary Portfolio Property (Seq: 1)] - [Forecast Financials (Seq: 2)] - [Forecast Financial Line Items (Seq: 1)] Financial Type - Send]&gt;</t>
        </r>
      </text>
    </comment>
    <comment ref="G893" authorId="0" shapeId="0" xr:uid="{B758CDEE-E853-4E8F-B8C7-29DD705AFDD3}">
      <text>
        <r>
          <rPr>
            <b/>
            <sz val="9"/>
            <color indexed="81"/>
            <rFont val="Tahoma"/>
            <family val="2"/>
          </rPr>
          <t>&lt;[[DEVDeals] - [Primary Portfolio Property (Seq: 1)] - [Forecast Financials (Seq: 3)] - [Forecast Financial Line Items (Seq: 1)] Financial Type - Send]&gt;</t>
        </r>
      </text>
    </comment>
    <comment ref="H893" authorId="0" shapeId="0" xr:uid="{EEBD82EB-0EE3-44DE-A623-A2FF800C1ECA}">
      <text>
        <r>
          <rPr>
            <b/>
            <sz val="9"/>
            <color indexed="81"/>
            <rFont val="Tahoma"/>
            <family val="2"/>
          </rPr>
          <t>&lt;[[DEVDeals] - [Primary Portfolio Property (Seq: 1)] - [Forecast Financials (Seq: 4)] - [Forecast Financial Line Items (Seq: 1)] Financial Type - Send]&gt;</t>
        </r>
      </text>
    </comment>
    <comment ref="I893" authorId="0" shapeId="0" xr:uid="{7318CE4A-3343-4942-8BC8-3224B7A6AEBD}">
      <text>
        <r>
          <rPr>
            <b/>
            <sz val="9"/>
            <color indexed="81"/>
            <rFont val="Tahoma"/>
            <family val="2"/>
          </rPr>
          <t>&lt;[[DEVDeals] - [Primary Portfolio Property (Seq: 1)] - [Forecast Financials (Seq: 5)] - [Forecast Financial Line Items (Seq: 1)] Financial Type - Send]&gt;</t>
        </r>
      </text>
    </comment>
    <comment ref="J893" authorId="0" shapeId="0" xr:uid="{A4D2C2CC-3C64-4208-88E1-E8258FE07063}">
      <text>
        <r>
          <rPr>
            <b/>
            <sz val="9"/>
            <color indexed="81"/>
            <rFont val="Tahoma"/>
            <family val="2"/>
          </rPr>
          <t>&lt;[[DEVDeals] - [Primary Portfolio Property (Seq: 1)] - [Forecast Financials (Seq: 6)] - [Forecast Financial Line Items (Seq: 1)] Financial Type - Send]&gt;</t>
        </r>
      </text>
    </comment>
    <comment ref="K893" authorId="0" shapeId="0" xr:uid="{32AA5232-FADB-4C48-AF68-D5E4ED317A54}">
      <text>
        <r>
          <rPr>
            <b/>
            <sz val="9"/>
            <color indexed="81"/>
            <rFont val="Tahoma"/>
            <family val="2"/>
          </rPr>
          <t>&lt;[[DEVDeals] - [Primary Portfolio Property (Seq: 1)] - [Forecast Financials (Seq: 7)] - [Forecast Financial Line Items (Seq: 1)] Financial Type - Send]&gt;</t>
        </r>
      </text>
    </comment>
    <comment ref="L893" authorId="0" shapeId="0" xr:uid="{52EE7555-C438-4EDF-B700-97A305EEF524}">
      <text>
        <r>
          <rPr>
            <b/>
            <sz val="9"/>
            <color indexed="81"/>
            <rFont val="Tahoma"/>
            <family val="2"/>
          </rPr>
          <t>&lt;[[DEVDeals] - [Primary Portfolio Property (Seq: 1)] - [Forecast Financials (Seq: 8)] - [Forecast Financial Line Items (Seq: 1)] Financial Type - Send]&gt;</t>
        </r>
      </text>
    </comment>
    <comment ref="M893" authorId="0" shapeId="0" xr:uid="{8528B8A5-0812-40C0-91AF-861D9A35584D}">
      <text>
        <r>
          <rPr>
            <b/>
            <sz val="9"/>
            <color indexed="81"/>
            <rFont val="Tahoma"/>
            <family val="2"/>
          </rPr>
          <t>&lt;[[DEVDeals] - [Primary Portfolio Property (Seq: 1)] - [Forecast Financials (Seq: 9)] - [Forecast Financial Line Items (Seq: 1)] Financial Type - Send]&gt;</t>
        </r>
      </text>
    </comment>
    <comment ref="N893" authorId="0" shapeId="0" xr:uid="{86BC9EE4-1BB6-4993-A131-3FB2F624AFAA}">
      <text>
        <r>
          <rPr>
            <b/>
            <sz val="9"/>
            <color indexed="81"/>
            <rFont val="Tahoma"/>
            <family val="2"/>
          </rPr>
          <t>&lt;[[DEVDeals] - [Primary Portfolio Property (Seq: 1)] - [Forecast Financials (Seq: 10)] - [Forecast Financial Line Items (Seq: 1)] Financial Type - Send]&gt;</t>
        </r>
      </text>
    </comment>
    <comment ref="O893" authorId="0" shapeId="0" xr:uid="{10F49F8B-5911-4763-8D1D-12399C297360}">
      <text>
        <r>
          <rPr>
            <b/>
            <sz val="9"/>
            <color indexed="81"/>
            <rFont val="Tahoma"/>
            <family val="2"/>
          </rPr>
          <t>&lt;[[DEVDeals] - [Primary Portfolio Property (Seq: 1)] - [Forecast Financials (Seq: 11)] - [Forecast Financial Line Items (Seq: 1)] Financial Type - Send]&gt;</t>
        </r>
      </text>
    </comment>
    <comment ref="P893" authorId="0" shapeId="0" xr:uid="{0EA43E4F-1DF3-4A28-ACF5-DB376B64B1C7}">
      <text>
        <r>
          <rPr>
            <b/>
            <sz val="9"/>
            <color indexed="81"/>
            <rFont val="Tahoma"/>
            <family val="2"/>
          </rPr>
          <t>&lt;[[DEVDeals] - [Primary Portfolio Property (Seq: 1)] - [Forecast Financials (Seq: 12)] - [Forecast Financial Line Items (Seq: 1)] Financial Type - Send]&gt;</t>
        </r>
      </text>
    </comment>
    <comment ref="Q893" authorId="0" shapeId="0" xr:uid="{47383747-364C-4268-AB4F-7F9533E3B118}">
      <text>
        <r>
          <rPr>
            <b/>
            <sz val="9"/>
            <color indexed="81"/>
            <rFont val="Tahoma"/>
            <family val="2"/>
          </rPr>
          <t>&lt;[[DEVDeals] - [Primary Portfolio Property (Seq: 1)] - [Forecast Financials (Seq: 13)] - [Forecast Financial Line Items (Seq: 1)] Financial Type - Send]&gt;</t>
        </r>
      </text>
    </comment>
    <comment ref="R893" authorId="0" shapeId="0" xr:uid="{A3451464-991E-4B81-ADD4-3B1C4145441C}">
      <text>
        <r>
          <rPr>
            <b/>
            <sz val="9"/>
            <color indexed="81"/>
            <rFont val="Tahoma"/>
            <family val="2"/>
          </rPr>
          <t>&lt;[[DEVDeals] - [Primary Portfolio Property (Seq: 1)] - [Forecast Financials (Seq: 14)] - [Forecast Financial Line Items (Seq: 1)] Financial Type - Send]&gt;</t>
        </r>
      </text>
    </comment>
    <comment ref="S893" authorId="0" shapeId="0" xr:uid="{25350043-E61B-47D6-BE9F-6AC7488CDF14}">
      <text>
        <r>
          <rPr>
            <b/>
            <sz val="9"/>
            <color indexed="81"/>
            <rFont val="Tahoma"/>
            <family val="2"/>
          </rPr>
          <t>&lt;[[DEVDeals] - [Primary Portfolio Property (Seq: 1)] - [Forecast Financials (Seq: 15)] - [Forecast Financial Line Items (Seq: 1)] Financial Type - Send]&gt;</t>
        </r>
      </text>
    </comment>
    <comment ref="T893" authorId="0" shapeId="0" xr:uid="{8B240447-6CC3-41B4-9DE6-9882C37ADC80}">
      <text>
        <r>
          <rPr>
            <b/>
            <sz val="9"/>
            <color indexed="81"/>
            <rFont val="Tahoma"/>
            <family val="2"/>
          </rPr>
          <t>&lt;[[DEVDeals] - [Primary Portfolio Property (Seq: 1)] - [Forecast Financials (Seq: 16)] - [Forecast Financial Line Items (Seq: 1)] Financial Type - Send]&gt;</t>
        </r>
      </text>
    </comment>
    <comment ref="U893" authorId="0" shapeId="0" xr:uid="{E07699EB-B52E-43BF-9AD9-9D29E8705177}">
      <text>
        <r>
          <rPr>
            <b/>
            <sz val="9"/>
            <color indexed="81"/>
            <rFont val="Tahoma"/>
            <family val="2"/>
          </rPr>
          <t>&lt;[[DEVDeals] - [Primary Portfolio Property (Seq: 1)] - [Forecast Financials (Seq: 17)] - [Forecast Financial Line Items (Seq: 1)] Financial Type - Send]&gt;</t>
        </r>
      </text>
    </comment>
    <comment ref="V893" authorId="0" shapeId="0" xr:uid="{AB1287E9-C37F-46A9-8098-2DF71DBE8F1A}">
      <text>
        <r>
          <rPr>
            <b/>
            <sz val="9"/>
            <color indexed="81"/>
            <rFont val="Tahoma"/>
            <family val="2"/>
          </rPr>
          <t>&lt;[[DEVDeals] - [Primary Portfolio Property (Seq: 1)] - [Forecast Financials (Seq: 18)] - [Forecast Financial Line Items (Seq: 1)] Financial Type - Send]&gt;</t>
        </r>
      </text>
    </comment>
    <comment ref="W893" authorId="0" shapeId="0" xr:uid="{E6D53C8C-D807-49CA-B7AD-8AEAA5485494}">
      <text>
        <r>
          <rPr>
            <b/>
            <sz val="9"/>
            <color indexed="81"/>
            <rFont val="Tahoma"/>
            <family val="2"/>
          </rPr>
          <t>&lt;[[DEVDeals] - [Primary Portfolio Property (Seq: 1)] - [Forecast Financials (Seq: 19)] - [Forecast Financial Line Items (Seq: 1)] Financial Type - Send]&gt;</t>
        </r>
      </text>
    </comment>
    <comment ref="X893" authorId="0" shapeId="0" xr:uid="{85E13655-B163-4E5A-AB82-1A9E9279781E}">
      <text>
        <r>
          <rPr>
            <b/>
            <sz val="9"/>
            <color indexed="81"/>
            <rFont val="Tahoma"/>
            <family val="2"/>
          </rPr>
          <t>&lt;[[DEVDeals] - [Primary Portfolio Property (Seq: 1)] - [Forecast Financials (Seq: 20)] - [Forecast Financial Line Items (Seq: 1)] Financial Type - Send]&gt;</t>
        </r>
      </text>
    </comment>
    <comment ref="E894" authorId="0" shapeId="0" xr:uid="{63B64F61-5662-4BEF-B26F-298A45CD87E2}">
      <text>
        <r>
          <rPr>
            <b/>
            <sz val="9"/>
            <color indexed="81"/>
            <rFont val="Tahoma"/>
            <family val="2"/>
          </rPr>
          <t>&lt;[[DEVDeals] - [Primary Portfolio Property (Seq: 1)] - [Forecast Financials (Seq: 1)] - [Forecast Financial Line Items (Seq: 1)] L4 -05120 -011 - Gross Potential Residential Rent - Both]&gt;</t>
        </r>
      </text>
    </comment>
    <comment ref="F894" authorId="0" shapeId="0" xr:uid="{A8E3D140-B5FD-44BB-BEAD-83A68A787379}">
      <text>
        <r>
          <rPr>
            <b/>
            <sz val="9"/>
            <color indexed="81"/>
            <rFont val="Tahoma"/>
            <family val="2"/>
          </rPr>
          <t>&lt;[[DEVDeals] - [Primary Portfolio Property (Seq: 1)] - [Forecast Financials (Seq: 2)] - [Forecast Financial Line Items (Seq: 1)] L4 -05120 -011 - Gross Potential Residential Rent - Both]&gt;</t>
        </r>
      </text>
    </comment>
    <comment ref="G894" authorId="0" shapeId="0" xr:uid="{9ACAEF47-3F11-46A0-8B8A-329A230A7768}">
      <text>
        <r>
          <rPr>
            <b/>
            <sz val="9"/>
            <color indexed="81"/>
            <rFont val="Tahoma"/>
            <family val="2"/>
          </rPr>
          <t>&lt;[[DEVDeals] - [Primary Portfolio Property (Seq: 1)] - [Forecast Financials (Seq: 3)] - [Forecast Financial Line Items (Seq: 1)] L4 -05120 -011 - Gross Potential Residential Rent - Both]&gt;</t>
        </r>
      </text>
    </comment>
    <comment ref="H894" authorId="0" shapeId="0" xr:uid="{0F3F4160-4ADC-4D7C-8271-EE44BF60ED5E}">
      <text>
        <r>
          <rPr>
            <b/>
            <sz val="9"/>
            <color indexed="81"/>
            <rFont val="Tahoma"/>
            <family val="2"/>
          </rPr>
          <t>&lt;[[DEVDeals] - [Primary Portfolio Property (Seq: 1)] - [Forecast Financials (Seq: 4)] - [Forecast Financial Line Items (Seq: 1)] L4 -05120 -011 - Gross Potential Residential Rent - Both]&gt;</t>
        </r>
      </text>
    </comment>
    <comment ref="I894" authorId="0" shapeId="0" xr:uid="{030C8EC4-94BE-4940-8534-EA17362132FC}">
      <text>
        <r>
          <rPr>
            <b/>
            <sz val="9"/>
            <color indexed="81"/>
            <rFont val="Tahoma"/>
            <family val="2"/>
          </rPr>
          <t>&lt;[[DEVDeals] - [Primary Portfolio Property (Seq: 1)] - [Forecast Financials (Seq: 5)] - [Forecast Financial Line Items (Seq: 1)] L4 -05120 -011 - Gross Potential Residential Rent - Both]&gt;</t>
        </r>
      </text>
    </comment>
    <comment ref="J894" authorId="0" shapeId="0" xr:uid="{1247ECFC-4561-44EE-8334-A0C85C579963}">
      <text>
        <r>
          <rPr>
            <b/>
            <sz val="9"/>
            <color indexed="81"/>
            <rFont val="Tahoma"/>
            <family val="2"/>
          </rPr>
          <t>&lt;[[DEVDeals] - [Primary Portfolio Property (Seq: 1)] - [Forecast Financials (Seq: 6)] - [Forecast Financial Line Items (Seq: 1)] L4 -05120 -011 - Gross Potential Residential Rent - Both]&gt;</t>
        </r>
      </text>
    </comment>
    <comment ref="K894" authorId="0" shapeId="0" xr:uid="{09DA0593-9E77-49FD-8F52-7F7B90C83F40}">
      <text>
        <r>
          <rPr>
            <b/>
            <sz val="9"/>
            <color indexed="81"/>
            <rFont val="Tahoma"/>
            <family val="2"/>
          </rPr>
          <t>&lt;[[DEVDeals] - [Primary Portfolio Property (Seq: 1)] - [Forecast Financials (Seq: 7)] - [Forecast Financial Line Items (Seq: 1)] L4 -05120 -011 - Gross Potential Residential Rent - Both]&gt;</t>
        </r>
      </text>
    </comment>
    <comment ref="L894" authorId="0" shapeId="0" xr:uid="{7C85D232-68A7-454A-ABCB-0EA9C7F5C56D}">
      <text>
        <r>
          <rPr>
            <b/>
            <sz val="9"/>
            <color indexed="81"/>
            <rFont val="Tahoma"/>
            <family val="2"/>
          </rPr>
          <t>&lt;[[DEVDeals] - [Primary Portfolio Property (Seq: 1)] - [Forecast Financials (Seq: 8)] - [Forecast Financial Line Items (Seq: 1)] L4 -05120 -011 - Gross Potential Residential Rent - Both]&gt;</t>
        </r>
      </text>
    </comment>
    <comment ref="M894" authorId="0" shapeId="0" xr:uid="{534546BB-84BC-489D-BB36-661C5864E32E}">
      <text>
        <r>
          <rPr>
            <b/>
            <sz val="9"/>
            <color indexed="81"/>
            <rFont val="Tahoma"/>
            <family val="2"/>
          </rPr>
          <t>&lt;[[DEVDeals] - [Primary Portfolio Property (Seq: 1)] - [Forecast Financials (Seq: 9)] - [Forecast Financial Line Items (Seq: 1)] L4 -05120 -011 - Gross Potential Residential Rent - Both]&gt;</t>
        </r>
      </text>
    </comment>
    <comment ref="N894" authorId="0" shapeId="0" xr:uid="{BB98E0CD-A571-4D6F-81B6-5EB2586EA208}">
      <text>
        <r>
          <rPr>
            <b/>
            <sz val="9"/>
            <color indexed="81"/>
            <rFont val="Tahoma"/>
            <family val="2"/>
          </rPr>
          <t>&lt;[[DEVDeals] - [Primary Portfolio Property (Seq: 1)] - [Forecast Financials (Seq: 10)] - [Forecast Financial Line Items (Seq: 1)] L4 -05120 -011 - Gross Potential Residential Rent - Both]&gt;</t>
        </r>
      </text>
    </comment>
    <comment ref="O894" authorId="0" shapeId="0" xr:uid="{318DBC53-4B0A-4538-B4FD-04721E3867A7}">
      <text>
        <r>
          <rPr>
            <b/>
            <sz val="9"/>
            <color indexed="81"/>
            <rFont val="Tahoma"/>
            <family val="2"/>
          </rPr>
          <t>&lt;[[DEVDeals] - [Primary Portfolio Property (Seq: 1)] - [Forecast Financials (Seq: 11)] - [Forecast Financial Line Items (Seq: 1)] L4 -05120 -011 - Gross Potential Residential Rent - Both]&gt;</t>
        </r>
      </text>
    </comment>
    <comment ref="P894" authorId="0" shapeId="0" xr:uid="{06D06CBE-3A4A-426A-A3B6-8EB5F1808835}">
      <text>
        <r>
          <rPr>
            <b/>
            <sz val="9"/>
            <color indexed="81"/>
            <rFont val="Tahoma"/>
            <family val="2"/>
          </rPr>
          <t>&lt;[[DEVDeals] - [Primary Portfolio Property (Seq: 1)] - [Forecast Financials (Seq: 12)] - [Forecast Financial Line Items (Seq: 1)] L4 -05120 -011 - Gross Potential Residential Rent - Both]&gt;</t>
        </r>
      </text>
    </comment>
    <comment ref="Q894" authorId="0" shapeId="0" xr:uid="{BDB1789C-F088-4085-B1C9-00211BA558FE}">
      <text>
        <r>
          <rPr>
            <b/>
            <sz val="9"/>
            <color indexed="81"/>
            <rFont val="Tahoma"/>
            <family val="2"/>
          </rPr>
          <t>&lt;[[DEVDeals] - [Primary Portfolio Property (Seq: 1)] - [Forecast Financials (Seq: 13)] - [Forecast Financial Line Items (Seq: 1)] L4 -05120 -011 - Gross Potential Residential Rent - Both]&gt;</t>
        </r>
      </text>
    </comment>
    <comment ref="R894" authorId="0" shapeId="0" xr:uid="{C6CD51D9-38E5-4E10-85BC-9D8DE3D6C876}">
      <text>
        <r>
          <rPr>
            <b/>
            <sz val="9"/>
            <color indexed="81"/>
            <rFont val="Tahoma"/>
            <family val="2"/>
          </rPr>
          <t>&lt;[[DEVDeals] - [Primary Portfolio Property (Seq: 1)] - [Forecast Financials (Seq: 14)] - [Forecast Financial Line Items (Seq: 1)] L4 -05120 -011 - Gross Potential Residential Rent - Both]&gt;</t>
        </r>
      </text>
    </comment>
    <comment ref="S894" authorId="0" shapeId="0" xr:uid="{9DD64BB9-B1C3-487D-B1D7-F02E6ECEF35C}">
      <text>
        <r>
          <rPr>
            <b/>
            <sz val="9"/>
            <color indexed="81"/>
            <rFont val="Tahoma"/>
            <family val="2"/>
          </rPr>
          <t>&lt;[[DEVDeals] - [Primary Portfolio Property (Seq: 1)] - [Forecast Financials (Seq: 15)] - [Forecast Financial Line Items (Seq: 1)] L4 -05120 -011 - Gross Potential Residential Rent - Both]&gt;</t>
        </r>
      </text>
    </comment>
    <comment ref="T894" authorId="0" shapeId="0" xr:uid="{8CCADAE3-94CA-49D2-9F06-5EFF7D0E6764}">
      <text>
        <r>
          <rPr>
            <b/>
            <sz val="9"/>
            <color indexed="81"/>
            <rFont val="Tahoma"/>
            <family val="2"/>
          </rPr>
          <t>&lt;[[DEVDeals] - [Primary Portfolio Property (Seq: 1)] - [Forecast Financials (Seq: 16)] - [Forecast Financial Line Items (Seq: 1)] L4 -05120 -011 - Gross Potential Residential Rent - Both]&gt;</t>
        </r>
      </text>
    </comment>
    <comment ref="U894" authorId="0" shapeId="0" xr:uid="{885ADD6D-AF39-4C3A-B750-64866FA492BC}">
      <text>
        <r>
          <rPr>
            <b/>
            <sz val="9"/>
            <color indexed="81"/>
            <rFont val="Tahoma"/>
            <family val="2"/>
          </rPr>
          <t>&lt;[[DEVDeals] - [Primary Portfolio Property (Seq: 1)] - [Forecast Financials (Seq: 17)] - [Forecast Financial Line Items (Seq: 1)] L4 -05120 -011 - Gross Potential Residential Rent - Both]&gt;</t>
        </r>
      </text>
    </comment>
    <comment ref="V894" authorId="0" shapeId="0" xr:uid="{2CFB7F67-7607-4D98-B642-62CE8D1B92C0}">
      <text>
        <r>
          <rPr>
            <b/>
            <sz val="9"/>
            <color indexed="81"/>
            <rFont val="Tahoma"/>
            <family val="2"/>
          </rPr>
          <t>&lt;[[DEVDeals] - [Primary Portfolio Property (Seq: 1)] - [Forecast Financials (Seq: 18)] - [Forecast Financial Line Items (Seq: 1)] L4 -05120 -011 - Gross Potential Residential Rent - Both]&gt;</t>
        </r>
      </text>
    </comment>
    <comment ref="W894" authorId="0" shapeId="0" xr:uid="{012DC45E-CED3-451D-96C6-3EB844DC2E00}">
      <text>
        <r>
          <rPr>
            <b/>
            <sz val="9"/>
            <color indexed="81"/>
            <rFont val="Tahoma"/>
            <family val="2"/>
          </rPr>
          <t>&lt;[[DEVDeals] - [Primary Portfolio Property (Seq: 1)] - [Forecast Financials (Seq: 19)] - [Forecast Financial Line Items (Seq: 1)] L4 -05120 -011 - Gross Potential Residential Rent - Both]&gt;</t>
        </r>
      </text>
    </comment>
    <comment ref="X894" authorId="0" shapeId="0" xr:uid="{5DC2112D-DA4E-49C0-8627-90710AEF7B1B}">
      <text>
        <r>
          <rPr>
            <b/>
            <sz val="9"/>
            <color indexed="81"/>
            <rFont val="Tahoma"/>
            <family val="2"/>
          </rPr>
          <t>&lt;[[DEVDeals] - [Primary Portfolio Property (Seq: 1)] - [Forecast Financials (Seq: 20)] - [Forecast Financial Line Items (Seq: 1)] L4 -05120 -011 - Gross Potential Residential Rent - Both]&gt;</t>
        </r>
      </text>
    </comment>
    <comment ref="E895" authorId="0" shapeId="0" xr:uid="{ED367415-0D32-446E-9208-E5F2A46195D5}">
      <text>
        <r>
          <rPr>
            <b/>
            <sz val="9"/>
            <color indexed="81"/>
            <rFont val="Tahoma"/>
            <family val="2"/>
          </rPr>
          <t>&lt;[[DEVDeals] - [Primary Portfolio Property (Seq: 1)] - [Forecast Financials (Seq: 1)] - [Forecast Financial Line Items (Seq: 1)] L4 -05120 -021 - Tenant Assistance Payment - Both]&gt;</t>
        </r>
      </text>
    </comment>
    <comment ref="F895" authorId="0" shapeId="0" xr:uid="{460F0564-6CB5-45FE-8A92-EDD05B9CDA00}">
      <text>
        <r>
          <rPr>
            <b/>
            <sz val="9"/>
            <color indexed="81"/>
            <rFont val="Tahoma"/>
            <family val="2"/>
          </rPr>
          <t>&lt;[[DEVDeals] - [Primary Portfolio Property (Seq: 1)] - [Forecast Financials (Seq: 2)] - [Forecast Financial Line Items (Seq: 1)] L4 -05120 -021 - Tenant Assistance Payment - Both]&gt;</t>
        </r>
      </text>
    </comment>
    <comment ref="G895" authorId="0" shapeId="0" xr:uid="{06F7E360-A360-4F53-91F2-E78B1A7C9018}">
      <text>
        <r>
          <rPr>
            <b/>
            <sz val="9"/>
            <color indexed="81"/>
            <rFont val="Tahoma"/>
            <family val="2"/>
          </rPr>
          <t>&lt;[[DEVDeals] - [Primary Portfolio Property (Seq: 1)] - [Forecast Financials (Seq: 3)] - [Forecast Financial Line Items (Seq: 1)] L4 -05120 -021 - Tenant Assistance Payment - Both]&gt;</t>
        </r>
      </text>
    </comment>
    <comment ref="H895" authorId="0" shapeId="0" xr:uid="{B1205C14-250B-44D3-91A5-B40F5A8D410C}">
      <text>
        <r>
          <rPr>
            <b/>
            <sz val="9"/>
            <color indexed="81"/>
            <rFont val="Tahoma"/>
            <family val="2"/>
          </rPr>
          <t>&lt;[[DEVDeals] - [Primary Portfolio Property (Seq: 1)] - [Forecast Financials (Seq: 4)] - [Forecast Financial Line Items (Seq: 1)] L4 -05120 -021 - Tenant Assistance Payment - Both]&gt;</t>
        </r>
      </text>
    </comment>
    <comment ref="I895" authorId="0" shapeId="0" xr:uid="{FFEBD40F-23FD-4097-A480-8C9D7647F3DC}">
      <text>
        <r>
          <rPr>
            <b/>
            <sz val="9"/>
            <color indexed="81"/>
            <rFont val="Tahoma"/>
            <family val="2"/>
          </rPr>
          <t>&lt;[[DEVDeals] - [Primary Portfolio Property (Seq: 1)] - [Forecast Financials (Seq: 5)] - [Forecast Financial Line Items (Seq: 1)] L4 -05120 -021 - Tenant Assistance Payment - Both]&gt;</t>
        </r>
      </text>
    </comment>
    <comment ref="J895" authorId="0" shapeId="0" xr:uid="{6F0C6FAC-3544-444D-B8F1-7977362150AD}">
      <text>
        <r>
          <rPr>
            <b/>
            <sz val="9"/>
            <color indexed="81"/>
            <rFont val="Tahoma"/>
            <family val="2"/>
          </rPr>
          <t>&lt;[[DEVDeals] - [Primary Portfolio Property (Seq: 1)] - [Forecast Financials (Seq: 6)] - [Forecast Financial Line Items (Seq: 1)] L4 -05120 -021 - Tenant Assistance Payment - Both]&gt;</t>
        </r>
      </text>
    </comment>
    <comment ref="K895" authorId="0" shapeId="0" xr:uid="{35A77019-8D10-441F-BD5F-06F2A3401C35}">
      <text>
        <r>
          <rPr>
            <b/>
            <sz val="9"/>
            <color indexed="81"/>
            <rFont val="Tahoma"/>
            <family val="2"/>
          </rPr>
          <t>&lt;[[DEVDeals] - [Primary Portfolio Property (Seq: 1)] - [Forecast Financials (Seq: 7)] - [Forecast Financial Line Items (Seq: 1)] L4 -05120 -021 - Tenant Assistance Payment - Both]&gt;</t>
        </r>
      </text>
    </comment>
    <comment ref="L895" authorId="0" shapeId="0" xr:uid="{ACA61C55-06BF-4CF3-9785-15F13334250B}">
      <text>
        <r>
          <rPr>
            <b/>
            <sz val="9"/>
            <color indexed="81"/>
            <rFont val="Tahoma"/>
            <family val="2"/>
          </rPr>
          <t>&lt;[[DEVDeals] - [Primary Portfolio Property (Seq: 1)] - [Forecast Financials (Seq: 8)] - [Forecast Financial Line Items (Seq: 1)] L4 -05120 -021 - Tenant Assistance Payment - Both]&gt;</t>
        </r>
      </text>
    </comment>
    <comment ref="M895" authorId="0" shapeId="0" xr:uid="{CD70FDD2-A30F-4E67-A6CD-B23FB4013AA5}">
      <text>
        <r>
          <rPr>
            <b/>
            <sz val="9"/>
            <color indexed="81"/>
            <rFont val="Tahoma"/>
            <family val="2"/>
          </rPr>
          <t>&lt;[[DEVDeals] - [Primary Portfolio Property (Seq: 1)] - [Forecast Financials (Seq: 9)] - [Forecast Financial Line Items (Seq: 1)] L4 -05120 -021 - Tenant Assistance Payment - Both]&gt;</t>
        </r>
      </text>
    </comment>
    <comment ref="N895" authorId="0" shapeId="0" xr:uid="{3F526B76-E28D-452F-8A1E-F9C19114A7F2}">
      <text>
        <r>
          <rPr>
            <b/>
            <sz val="9"/>
            <color indexed="81"/>
            <rFont val="Tahoma"/>
            <family val="2"/>
          </rPr>
          <t>&lt;[[DEVDeals] - [Primary Portfolio Property (Seq: 1)] - [Forecast Financials (Seq: 10)] - [Forecast Financial Line Items (Seq: 1)] L4 -05120 -021 - Tenant Assistance Payment - Both]&gt;</t>
        </r>
      </text>
    </comment>
    <comment ref="O895" authorId="0" shapeId="0" xr:uid="{74E83040-A3EE-4F65-A6FF-0150AB3FB3F5}">
      <text>
        <r>
          <rPr>
            <b/>
            <sz val="9"/>
            <color indexed="81"/>
            <rFont val="Tahoma"/>
            <family val="2"/>
          </rPr>
          <t>&lt;[[DEVDeals] - [Primary Portfolio Property (Seq: 1)] - [Forecast Financials (Seq: 11)] - [Forecast Financial Line Items (Seq: 1)] L4 -05120 -021 - Tenant Assistance Payment - Both]&gt;</t>
        </r>
      </text>
    </comment>
    <comment ref="P895" authorId="0" shapeId="0" xr:uid="{3B9CD5B2-723F-44D5-BFF5-486F58EFD107}">
      <text>
        <r>
          <rPr>
            <b/>
            <sz val="9"/>
            <color indexed="81"/>
            <rFont val="Tahoma"/>
            <family val="2"/>
          </rPr>
          <t>&lt;[[DEVDeals] - [Primary Portfolio Property (Seq: 1)] - [Forecast Financials (Seq: 12)] - [Forecast Financial Line Items (Seq: 1)] L4 -05120 -021 - Tenant Assistance Payment - Both]&gt;</t>
        </r>
      </text>
    </comment>
    <comment ref="Q895" authorId="0" shapeId="0" xr:uid="{34A96C9A-3D32-4098-8B48-3A5E1F20B5C3}">
      <text>
        <r>
          <rPr>
            <b/>
            <sz val="9"/>
            <color indexed="81"/>
            <rFont val="Tahoma"/>
            <family val="2"/>
          </rPr>
          <t>&lt;[[DEVDeals] - [Primary Portfolio Property (Seq: 1)] - [Forecast Financials (Seq: 13)] - [Forecast Financial Line Items (Seq: 1)] L4 -05120 -021 - Tenant Assistance Payment - Both]&gt;</t>
        </r>
      </text>
    </comment>
    <comment ref="R895" authorId="0" shapeId="0" xr:uid="{A2F7E18B-6C9C-4C0F-B3EE-7A9BE7A8AD9B}">
      <text>
        <r>
          <rPr>
            <b/>
            <sz val="9"/>
            <color indexed="81"/>
            <rFont val="Tahoma"/>
            <family val="2"/>
          </rPr>
          <t>&lt;[[DEVDeals] - [Primary Portfolio Property (Seq: 1)] - [Forecast Financials (Seq: 14)] - [Forecast Financial Line Items (Seq: 1)] L4 -05120 -021 - Tenant Assistance Payment - Both]&gt;</t>
        </r>
      </text>
    </comment>
    <comment ref="S895" authorId="0" shapeId="0" xr:uid="{47FAEC6A-BAF9-4D48-97EB-FE9157CF3723}">
      <text>
        <r>
          <rPr>
            <b/>
            <sz val="9"/>
            <color indexed="81"/>
            <rFont val="Tahoma"/>
            <family val="2"/>
          </rPr>
          <t>&lt;[[DEVDeals] - [Primary Portfolio Property (Seq: 1)] - [Forecast Financials (Seq: 15)] - [Forecast Financial Line Items (Seq: 1)] L4 -05120 -021 - Tenant Assistance Payment - Both]&gt;</t>
        </r>
      </text>
    </comment>
    <comment ref="T895" authorId="0" shapeId="0" xr:uid="{1D54D4AD-1EE0-4C9C-AA61-4BEF2FD0793A}">
      <text>
        <r>
          <rPr>
            <b/>
            <sz val="9"/>
            <color indexed="81"/>
            <rFont val="Tahoma"/>
            <family val="2"/>
          </rPr>
          <t>&lt;[[DEVDeals] - [Primary Portfolio Property (Seq: 1)] - [Forecast Financials (Seq: 16)] - [Forecast Financial Line Items (Seq: 1)] L4 -05120 -021 - Tenant Assistance Payment - Both]&gt;</t>
        </r>
      </text>
    </comment>
    <comment ref="U895" authorId="0" shapeId="0" xr:uid="{CD569A7A-7FD7-4232-892D-86AC57F53D91}">
      <text>
        <r>
          <rPr>
            <b/>
            <sz val="9"/>
            <color indexed="81"/>
            <rFont val="Tahoma"/>
            <family val="2"/>
          </rPr>
          <t>&lt;[[DEVDeals] - [Primary Portfolio Property (Seq: 1)] - [Forecast Financials (Seq: 17)] - [Forecast Financial Line Items (Seq: 1)] L4 -05120 -021 - Tenant Assistance Payment - Both]&gt;</t>
        </r>
      </text>
    </comment>
    <comment ref="V895" authorId="0" shapeId="0" xr:uid="{F3B007F6-361E-4068-9DFC-545C6060BE18}">
      <text>
        <r>
          <rPr>
            <b/>
            <sz val="9"/>
            <color indexed="81"/>
            <rFont val="Tahoma"/>
            <family val="2"/>
          </rPr>
          <t>&lt;[[DEVDeals] - [Primary Portfolio Property (Seq: 1)] - [Forecast Financials (Seq: 18)] - [Forecast Financial Line Items (Seq: 1)] L4 -05120 -021 - Tenant Assistance Payment - Both]&gt;</t>
        </r>
      </text>
    </comment>
    <comment ref="W895" authorId="0" shapeId="0" xr:uid="{2F0BAD2E-6FC5-4E28-BF3E-DC7DCC6E6A5E}">
      <text>
        <r>
          <rPr>
            <b/>
            <sz val="9"/>
            <color indexed="81"/>
            <rFont val="Tahoma"/>
            <family val="2"/>
          </rPr>
          <t>&lt;[[DEVDeals] - [Primary Portfolio Property (Seq: 1)] - [Forecast Financials (Seq: 19)] - [Forecast Financial Line Items (Seq: 1)] L4 -05120 -021 - Tenant Assistance Payment - Both]&gt;</t>
        </r>
      </text>
    </comment>
    <comment ref="X895" authorId="0" shapeId="0" xr:uid="{2037DFF6-E319-40B3-B0EE-D5B5F6BE46E0}">
      <text>
        <r>
          <rPr>
            <b/>
            <sz val="9"/>
            <color indexed="81"/>
            <rFont val="Tahoma"/>
            <family val="2"/>
          </rPr>
          <t>&lt;[[DEVDeals] - [Primary Portfolio Property (Seq: 1)] - [Forecast Financials (Seq: 20)] - [Forecast Financial Line Items (Seq: 1)] L4 -05120 -021 - Tenant Assistance Payment - Both]&gt;</t>
        </r>
      </text>
    </comment>
    <comment ref="E896" authorId="0" shapeId="0" xr:uid="{D19E042B-567E-4E17-A7CA-BACEDC143B04}">
      <text>
        <r>
          <rPr>
            <b/>
            <sz val="9"/>
            <color indexed="81"/>
            <rFont val="Tahoma"/>
            <family val="2"/>
          </rPr>
          <t>&lt;[[DEVDeals] - [Primary Portfolio Property (Seq: 1)] - [Forecast Financials (Seq: 1)] - [Forecast Financial Line Items (Seq: 1)] L4 -05990 -001 - Other Revenue Other - Both]&gt;</t>
        </r>
      </text>
    </comment>
    <comment ref="F896" authorId="0" shapeId="0" xr:uid="{7DE88AEB-C2FD-45F0-BF8F-182A9CC70269}">
      <text>
        <r>
          <rPr>
            <b/>
            <sz val="9"/>
            <color indexed="81"/>
            <rFont val="Tahoma"/>
            <family val="2"/>
          </rPr>
          <t>&lt;[[DEVDeals] - [Primary Portfolio Property (Seq: 1)] - [Forecast Financials (Seq: 2)] - [Forecast Financial Line Items (Seq: 1)] L4 -05990 -001 - Other Revenue Other - Both]&gt;</t>
        </r>
      </text>
    </comment>
    <comment ref="G896" authorId="0" shapeId="0" xr:uid="{2AAF25B3-BA41-431C-9846-A6F819411733}">
      <text>
        <r>
          <rPr>
            <b/>
            <sz val="9"/>
            <color indexed="81"/>
            <rFont val="Tahoma"/>
            <family val="2"/>
          </rPr>
          <t>&lt;[[DEVDeals] - [Primary Portfolio Property (Seq: 1)] - [Forecast Financials (Seq: 3)] - [Forecast Financial Line Items (Seq: 1)] L4 -05990 -001 - Other Revenue Other - Both]&gt;</t>
        </r>
      </text>
    </comment>
    <comment ref="H896" authorId="0" shapeId="0" xr:uid="{652753D8-43D0-45BA-9B6E-BE9DF31D4987}">
      <text>
        <r>
          <rPr>
            <b/>
            <sz val="9"/>
            <color indexed="81"/>
            <rFont val="Tahoma"/>
            <family val="2"/>
          </rPr>
          <t>&lt;[[DEVDeals] - [Primary Portfolio Property (Seq: 1)] - [Forecast Financials (Seq: 4)] - [Forecast Financial Line Items (Seq: 1)] L4 -05990 -001 - Other Revenue Other - Both]&gt;</t>
        </r>
      </text>
    </comment>
    <comment ref="I896" authorId="0" shapeId="0" xr:uid="{7BA44872-4637-41EA-82F6-5FA0CD17DBB9}">
      <text>
        <r>
          <rPr>
            <b/>
            <sz val="9"/>
            <color indexed="81"/>
            <rFont val="Tahoma"/>
            <family val="2"/>
          </rPr>
          <t>&lt;[[DEVDeals] - [Primary Portfolio Property (Seq: 1)] - [Forecast Financials (Seq: 5)] - [Forecast Financial Line Items (Seq: 1)] L4 -05990 -001 - Other Revenue Other - Both]&gt;</t>
        </r>
      </text>
    </comment>
    <comment ref="J896" authorId="0" shapeId="0" xr:uid="{50E76DA4-EEFF-452D-9B65-BE318800973C}">
      <text>
        <r>
          <rPr>
            <b/>
            <sz val="9"/>
            <color indexed="81"/>
            <rFont val="Tahoma"/>
            <family val="2"/>
          </rPr>
          <t>&lt;[[DEVDeals] - [Primary Portfolio Property (Seq: 1)] - [Forecast Financials (Seq: 6)] - [Forecast Financial Line Items (Seq: 1)] L4 -05990 -001 - Other Revenue Other - Both]&gt;</t>
        </r>
      </text>
    </comment>
    <comment ref="K896" authorId="0" shapeId="0" xr:uid="{B5EFEE22-E74C-4FED-BA16-7790D4145FCF}">
      <text>
        <r>
          <rPr>
            <b/>
            <sz val="9"/>
            <color indexed="81"/>
            <rFont val="Tahoma"/>
            <family val="2"/>
          </rPr>
          <t>&lt;[[DEVDeals] - [Primary Portfolio Property (Seq: 1)] - [Forecast Financials (Seq: 7)] - [Forecast Financial Line Items (Seq: 1)] L4 -05990 -001 - Other Revenue Other - Both]&gt;</t>
        </r>
      </text>
    </comment>
    <comment ref="L896" authorId="0" shapeId="0" xr:uid="{4A48068E-7B57-41EE-B2A8-D63ABB1B75E7}">
      <text>
        <r>
          <rPr>
            <b/>
            <sz val="9"/>
            <color indexed="81"/>
            <rFont val="Tahoma"/>
            <family val="2"/>
          </rPr>
          <t>&lt;[[DEVDeals] - [Primary Portfolio Property (Seq: 1)] - [Forecast Financials (Seq: 8)] - [Forecast Financial Line Items (Seq: 1)] L4 -05990 -001 - Other Revenue Other - Both]&gt;</t>
        </r>
      </text>
    </comment>
    <comment ref="M896" authorId="0" shapeId="0" xr:uid="{999CDCA3-0E32-442B-AF77-40CC21F17F55}">
      <text>
        <r>
          <rPr>
            <b/>
            <sz val="9"/>
            <color indexed="81"/>
            <rFont val="Tahoma"/>
            <family val="2"/>
          </rPr>
          <t>&lt;[[DEVDeals] - [Primary Portfolio Property (Seq: 1)] - [Forecast Financials (Seq: 9)] - [Forecast Financial Line Items (Seq: 1)] L4 -05990 -001 - Other Revenue Other - Both]&gt;</t>
        </r>
      </text>
    </comment>
    <comment ref="N896" authorId="0" shapeId="0" xr:uid="{F3BF563F-6C15-44DB-8649-F31EA4627F70}">
      <text>
        <r>
          <rPr>
            <b/>
            <sz val="9"/>
            <color indexed="81"/>
            <rFont val="Tahoma"/>
            <family val="2"/>
          </rPr>
          <t>&lt;[[DEVDeals] - [Primary Portfolio Property (Seq: 1)] - [Forecast Financials (Seq: 10)] - [Forecast Financial Line Items (Seq: 1)] L4 -05990 -001 - Other Revenue Other - Both]&gt;</t>
        </r>
      </text>
    </comment>
    <comment ref="O896" authorId="0" shapeId="0" xr:uid="{A4493EC5-DFBD-4A86-AC86-AA1B2CFD5304}">
      <text>
        <r>
          <rPr>
            <b/>
            <sz val="9"/>
            <color indexed="81"/>
            <rFont val="Tahoma"/>
            <family val="2"/>
          </rPr>
          <t>&lt;[[DEVDeals] - [Primary Portfolio Property (Seq: 1)] - [Forecast Financials (Seq: 11)] - [Forecast Financial Line Items (Seq: 1)] L4 -05990 -001 - Other Revenue Other - Both]&gt;</t>
        </r>
      </text>
    </comment>
    <comment ref="P896" authorId="0" shapeId="0" xr:uid="{C167AC15-6179-4875-8731-E3509F9B1620}">
      <text>
        <r>
          <rPr>
            <b/>
            <sz val="9"/>
            <color indexed="81"/>
            <rFont val="Tahoma"/>
            <family val="2"/>
          </rPr>
          <t>&lt;[[DEVDeals] - [Primary Portfolio Property (Seq: 1)] - [Forecast Financials (Seq: 12)] - [Forecast Financial Line Items (Seq: 1)] L4 -05990 -001 - Other Revenue Other - Both]&gt;</t>
        </r>
      </text>
    </comment>
    <comment ref="Q896" authorId="0" shapeId="0" xr:uid="{7822E998-5453-42D7-9C65-1D76458DECD2}">
      <text>
        <r>
          <rPr>
            <b/>
            <sz val="9"/>
            <color indexed="81"/>
            <rFont val="Tahoma"/>
            <family val="2"/>
          </rPr>
          <t>&lt;[[DEVDeals] - [Primary Portfolio Property (Seq: 1)] - [Forecast Financials (Seq: 13)] - [Forecast Financial Line Items (Seq: 1)] L4 -05990 -001 - Other Revenue Other - Both]&gt;</t>
        </r>
      </text>
    </comment>
    <comment ref="R896" authorId="0" shapeId="0" xr:uid="{312AFF16-5192-4196-B701-E9146D948EAC}">
      <text>
        <r>
          <rPr>
            <b/>
            <sz val="9"/>
            <color indexed="81"/>
            <rFont val="Tahoma"/>
            <family val="2"/>
          </rPr>
          <t>&lt;[[DEVDeals] - [Primary Portfolio Property (Seq: 1)] - [Forecast Financials (Seq: 14)] - [Forecast Financial Line Items (Seq: 1)] L4 -05990 -001 - Other Revenue Other - Both]&gt;</t>
        </r>
      </text>
    </comment>
    <comment ref="S896" authorId="0" shapeId="0" xr:uid="{23C5B969-11F5-4772-A029-930F3606F715}">
      <text>
        <r>
          <rPr>
            <b/>
            <sz val="9"/>
            <color indexed="81"/>
            <rFont val="Tahoma"/>
            <family val="2"/>
          </rPr>
          <t>&lt;[[DEVDeals] - [Primary Portfolio Property (Seq: 1)] - [Forecast Financials (Seq: 15)] - [Forecast Financial Line Items (Seq: 1)] L4 -05990 -001 - Other Revenue Other - Both]&gt;</t>
        </r>
      </text>
    </comment>
    <comment ref="T896" authorId="0" shapeId="0" xr:uid="{DCDF621B-94C9-4CE9-925B-8617D8CC6DF3}">
      <text>
        <r>
          <rPr>
            <b/>
            <sz val="9"/>
            <color indexed="81"/>
            <rFont val="Tahoma"/>
            <family val="2"/>
          </rPr>
          <t>&lt;[[DEVDeals] - [Primary Portfolio Property (Seq: 1)] - [Forecast Financials (Seq: 16)] - [Forecast Financial Line Items (Seq: 1)] L4 -05990 -001 - Other Revenue Other - Both]&gt;</t>
        </r>
      </text>
    </comment>
    <comment ref="U896" authorId="0" shapeId="0" xr:uid="{2CBBC259-E725-4CEC-9B3A-5B23764B6D02}">
      <text>
        <r>
          <rPr>
            <b/>
            <sz val="9"/>
            <color indexed="81"/>
            <rFont val="Tahoma"/>
            <family val="2"/>
          </rPr>
          <t>&lt;[[DEVDeals] - [Primary Portfolio Property (Seq: 1)] - [Forecast Financials (Seq: 17)] - [Forecast Financial Line Items (Seq: 1)] L4 -05990 -001 - Other Revenue Other - Both]&gt;</t>
        </r>
      </text>
    </comment>
    <comment ref="V896" authorId="0" shapeId="0" xr:uid="{CECEC6CE-EFD4-4F7C-9AF8-400C2156D799}">
      <text>
        <r>
          <rPr>
            <b/>
            <sz val="9"/>
            <color indexed="81"/>
            <rFont val="Tahoma"/>
            <family val="2"/>
          </rPr>
          <t>&lt;[[DEVDeals] - [Primary Portfolio Property (Seq: 1)] - [Forecast Financials (Seq: 18)] - [Forecast Financial Line Items (Seq: 1)] L4 -05990 -001 - Other Revenue Other - Both]&gt;</t>
        </r>
      </text>
    </comment>
    <comment ref="W896" authorId="0" shapeId="0" xr:uid="{E54C4182-4F12-4283-81B7-02C349CD05DB}">
      <text>
        <r>
          <rPr>
            <b/>
            <sz val="9"/>
            <color indexed="81"/>
            <rFont val="Tahoma"/>
            <family val="2"/>
          </rPr>
          <t>&lt;[[DEVDeals] - [Primary Portfolio Property (Seq: 1)] - [Forecast Financials (Seq: 19)] - [Forecast Financial Line Items (Seq: 1)] L4 -05990 -001 - Other Revenue Other - Both]&gt;</t>
        </r>
      </text>
    </comment>
    <comment ref="X896" authorId="0" shapeId="0" xr:uid="{72E04666-C09B-488C-98CF-75200A09AB55}">
      <text>
        <r>
          <rPr>
            <b/>
            <sz val="9"/>
            <color indexed="81"/>
            <rFont val="Tahoma"/>
            <family val="2"/>
          </rPr>
          <t>&lt;[[DEVDeals] - [Primary Portfolio Property (Seq: 1)] - [Forecast Financials (Seq: 20)] - [Forecast Financial Line Items (Seq: 1)] L4 -05990 -001 - Other Revenue Other - Both]&gt;</t>
        </r>
      </text>
    </comment>
    <comment ref="E897" authorId="0" shapeId="0" xr:uid="{B0F2C30D-DD4E-40C0-A055-ACCDB5FF4ED9}">
      <text>
        <r>
          <rPr>
            <b/>
            <sz val="9"/>
            <color indexed="81"/>
            <rFont val="Tahoma"/>
            <family val="2"/>
          </rPr>
          <t>&lt;[[DEVDeals] - [Primary Portfolio Property (Seq: 1)] - [Forecast Financials (Seq: 1)] - [Forecast Financial Line Items (Seq: 1)] L4 -05140 -001 - Commercial Rent Catchall - Both]&gt;</t>
        </r>
      </text>
    </comment>
    <comment ref="F897" authorId="0" shapeId="0" xr:uid="{7625887A-DCE0-4484-9BE6-FE1670D28F0D}">
      <text>
        <r>
          <rPr>
            <b/>
            <sz val="9"/>
            <color indexed="81"/>
            <rFont val="Tahoma"/>
            <family val="2"/>
          </rPr>
          <t>&lt;[[DEVDeals] - [Primary Portfolio Property (Seq: 1)] - [Forecast Financials (Seq: 2)] - [Forecast Financial Line Items (Seq: 1)] L4 -05140 -001 - Commercial Rent Catchall - Both]&gt;</t>
        </r>
      </text>
    </comment>
    <comment ref="G897" authorId="0" shapeId="0" xr:uid="{0DF0157E-3C13-4B6B-8ED9-EAAE93318A2E}">
      <text>
        <r>
          <rPr>
            <b/>
            <sz val="9"/>
            <color indexed="81"/>
            <rFont val="Tahoma"/>
            <family val="2"/>
          </rPr>
          <t>&lt;[[DEVDeals] - [Primary Portfolio Property (Seq: 1)] - [Forecast Financials (Seq: 3)] - [Forecast Financial Line Items (Seq: 1)] L4 -05140 -001 - Commercial Rent Catchall - Both]&gt;</t>
        </r>
      </text>
    </comment>
    <comment ref="H897" authorId="0" shapeId="0" xr:uid="{C725CEDB-7FBF-4275-8EBC-B7CA4200540B}">
      <text>
        <r>
          <rPr>
            <b/>
            <sz val="9"/>
            <color indexed="81"/>
            <rFont val="Tahoma"/>
            <family val="2"/>
          </rPr>
          <t>&lt;[[DEVDeals] - [Primary Portfolio Property (Seq: 1)] - [Forecast Financials (Seq: 4)] - [Forecast Financial Line Items (Seq: 1)] L4 -05140 -001 - Commercial Rent Catchall - Both]&gt;</t>
        </r>
      </text>
    </comment>
    <comment ref="I897" authorId="0" shapeId="0" xr:uid="{489A3ED8-01AE-4009-AE7D-E9FF2682A940}">
      <text>
        <r>
          <rPr>
            <b/>
            <sz val="9"/>
            <color indexed="81"/>
            <rFont val="Tahoma"/>
            <family val="2"/>
          </rPr>
          <t>&lt;[[DEVDeals] - [Primary Portfolio Property (Seq: 1)] - [Forecast Financials (Seq: 5)] - [Forecast Financial Line Items (Seq: 1)] L4 -05140 -001 - Commercial Rent Catchall - Both]&gt;</t>
        </r>
      </text>
    </comment>
    <comment ref="J897" authorId="0" shapeId="0" xr:uid="{C0102176-721F-4A1F-AE5D-3A62FE9767C9}">
      <text>
        <r>
          <rPr>
            <b/>
            <sz val="9"/>
            <color indexed="81"/>
            <rFont val="Tahoma"/>
            <family val="2"/>
          </rPr>
          <t>&lt;[[DEVDeals] - [Primary Portfolio Property (Seq: 1)] - [Forecast Financials (Seq: 6)] - [Forecast Financial Line Items (Seq: 1)] L4 -05140 -001 - Commercial Rent Catchall - Both]&gt;</t>
        </r>
      </text>
    </comment>
    <comment ref="K897" authorId="0" shapeId="0" xr:uid="{52BF385D-5A42-4272-92D8-AAB92052AB7B}">
      <text>
        <r>
          <rPr>
            <b/>
            <sz val="9"/>
            <color indexed="81"/>
            <rFont val="Tahoma"/>
            <family val="2"/>
          </rPr>
          <t>&lt;[[DEVDeals] - [Primary Portfolio Property (Seq: 1)] - [Forecast Financials (Seq: 7)] - [Forecast Financial Line Items (Seq: 1)] L4 -05140 -001 - Commercial Rent Catchall - Both]&gt;</t>
        </r>
      </text>
    </comment>
    <comment ref="L897" authorId="0" shapeId="0" xr:uid="{C8B1314E-CE3B-4294-9C46-EFE353868C18}">
      <text>
        <r>
          <rPr>
            <b/>
            <sz val="9"/>
            <color indexed="81"/>
            <rFont val="Tahoma"/>
            <family val="2"/>
          </rPr>
          <t>&lt;[[DEVDeals] - [Primary Portfolio Property (Seq: 1)] - [Forecast Financials (Seq: 8)] - [Forecast Financial Line Items (Seq: 1)] L4 -05140 -001 - Commercial Rent Catchall - Both]&gt;</t>
        </r>
      </text>
    </comment>
    <comment ref="M897" authorId="0" shapeId="0" xr:uid="{A2990E58-3594-49F3-80D3-DD10A0F7385F}">
      <text>
        <r>
          <rPr>
            <b/>
            <sz val="9"/>
            <color indexed="81"/>
            <rFont val="Tahoma"/>
            <family val="2"/>
          </rPr>
          <t>&lt;[[DEVDeals] - [Primary Portfolio Property (Seq: 1)] - [Forecast Financials (Seq: 9)] - [Forecast Financial Line Items (Seq: 1)] L4 -05140 -001 - Commercial Rent Catchall - Both]&gt;</t>
        </r>
      </text>
    </comment>
    <comment ref="N897" authorId="0" shapeId="0" xr:uid="{5E7AB5A5-720E-4B02-A7B3-345956F2716A}">
      <text>
        <r>
          <rPr>
            <b/>
            <sz val="9"/>
            <color indexed="81"/>
            <rFont val="Tahoma"/>
            <family val="2"/>
          </rPr>
          <t>&lt;[[DEVDeals] - [Primary Portfolio Property (Seq: 1)] - [Forecast Financials (Seq: 10)] - [Forecast Financial Line Items (Seq: 1)] L4 -05140 -001 - Commercial Rent Catchall - Both]&gt;</t>
        </r>
      </text>
    </comment>
    <comment ref="O897" authorId="0" shapeId="0" xr:uid="{C94DD620-8372-4E96-9502-A844B0AE31A6}">
      <text>
        <r>
          <rPr>
            <b/>
            <sz val="9"/>
            <color indexed="81"/>
            <rFont val="Tahoma"/>
            <family val="2"/>
          </rPr>
          <t>&lt;[[DEVDeals] - [Primary Portfolio Property (Seq: 1)] - [Forecast Financials (Seq: 11)] - [Forecast Financial Line Items (Seq: 1)] L4 -05140 -001 - Commercial Rent Catchall - Both]&gt;</t>
        </r>
      </text>
    </comment>
    <comment ref="P897" authorId="0" shapeId="0" xr:uid="{7B201EFA-CCB9-4439-96F6-68D04F5F4A8E}">
      <text>
        <r>
          <rPr>
            <b/>
            <sz val="9"/>
            <color indexed="81"/>
            <rFont val="Tahoma"/>
            <family val="2"/>
          </rPr>
          <t>&lt;[[DEVDeals] - [Primary Portfolio Property (Seq: 1)] - [Forecast Financials (Seq: 12)] - [Forecast Financial Line Items (Seq: 1)] L4 -05140 -001 - Commercial Rent Catchall - Both]&gt;</t>
        </r>
      </text>
    </comment>
    <comment ref="Q897" authorId="0" shapeId="0" xr:uid="{33F25564-54F5-49D5-97F6-9E08E1C8A06E}">
      <text>
        <r>
          <rPr>
            <b/>
            <sz val="9"/>
            <color indexed="81"/>
            <rFont val="Tahoma"/>
            <family val="2"/>
          </rPr>
          <t>&lt;[[DEVDeals] - [Primary Portfolio Property (Seq: 1)] - [Forecast Financials (Seq: 13)] - [Forecast Financial Line Items (Seq: 1)] L4 -05140 -001 - Commercial Rent Catchall - Both]&gt;</t>
        </r>
      </text>
    </comment>
    <comment ref="R897" authorId="0" shapeId="0" xr:uid="{420F1E53-9277-430C-AD85-2FE8341E94CB}">
      <text>
        <r>
          <rPr>
            <b/>
            <sz val="9"/>
            <color indexed="81"/>
            <rFont val="Tahoma"/>
            <family val="2"/>
          </rPr>
          <t>&lt;[[DEVDeals] - [Primary Portfolio Property (Seq: 1)] - [Forecast Financials (Seq: 14)] - [Forecast Financial Line Items (Seq: 1)] L4 -05140 -001 - Commercial Rent Catchall - Both]&gt;</t>
        </r>
      </text>
    </comment>
    <comment ref="S897" authorId="0" shapeId="0" xr:uid="{48251D7F-B337-405A-84C8-E655F3D22BDA}">
      <text>
        <r>
          <rPr>
            <b/>
            <sz val="9"/>
            <color indexed="81"/>
            <rFont val="Tahoma"/>
            <family val="2"/>
          </rPr>
          <t>&lt;[[DEVDeals] - [Primary Portfolio Property (Seq: 1)] - [Forecast Financials (Seq: 15)] - [Forecast Financial Line Items (Seq: 1)] L4 -05140 -001 - Commercial Rent Catchall - Both]&gt;</t>
        </r>
      </text>
    </comment>
    <comment ref="T897" authorId="0" shapeId="0" xr:uid="{B7178C18-E365-449B-AA22-DCC54E1B917F}">
      <text>
        <r>
          <rPr>
            <b/>
            <sz val="9"/>
            <color indexed="81"/>
            <rFont val="Tahoma"/>
            <family val="2"/>
          </rPr>
          <t>&lt;[[DEVDeals] - [Primary Portfolio Property (Seq: 1)] - [Forecast Financials (Seq: 16)] - [Forecast Financial Line Items (Seq: 1)] L4 -05140 -001 - Commercial Rent Catchall - Both]&gt;</t>
        </r>
      </text>
    </comment>
    <comment ref="U897" authorId="0" shapeId="0" xr:uid="{D7FE4510-9B1F-4C53-88A6-E7F573E4EC30}">
      <text>
        <r>
          <rPr>
            <b/>
            <sz val="9"/>
            <color indexed="81"/>
            <rFont val="Tahoma"/>
            <family val="2"/>
          </rPr>
          <t>&lt;[[DEVDeals] - [Primary Portfolio Property (Seq: 1)] - [Forecast Financials (Seq: 17)] - [Forecast Financial Line Items (Seq: 1)] L4 -05140 -001 - Commercial Rent Catchall - Both]&gt;</t>
        </r>
      </text>
    </comment>
    <comment ref="V897" authorId="0" shapeId="0" xr:uid="{F69FEA22-63E6-4C36-A996-C995F29FBA96}">
      <text>
        <r>
          <rPr>
            <b/>
            <sz val="9"/>
            <color indexed="81"/>
            <rFont val="Tahoma"/>
            <family val="2"/>
          </rPr>
          <t>&lt;[[DEVDeals] - [Primary Portfolio Property (Seq: 1)] - [Forecast Financials (Seq: 18)] - [Forecast Financial Line Items (Seq: 1)] L4 -05140 -001 - Commercial Rent Catchall - Both]&gt;</t>
        </r>
      </text>
    </comment>
    <comment ref="W897" authorId="0" shapeId="0" xr:uid="{BC53D693-49FF-4FD5-AFFC-383689D82C36}">
      <text>
        <r>
          <rPr>
            <b/>
            <sz val="9"/>
            <color indexed="81"/>
            <rFont val="Tahoma"/>
            <family val="2"/>
          </rPr>
          <t>&lt;[[DEVDeals] - [Primary Portfolio Property (Seq: 1)] - [Forecast Financials (Seq: 19)] - [Forecast Financial Line Items (Seq: 1)] L4 -05140 -001 - Commercial Rent Catchall - Both]&gt;</t>
        </r>
      </text>
    </comment>
    <comment ref="X897" authorId="0" shapeId="0" xr:uid="{CC4B71C8-520B-4BCB-842C-146127FEF6DA}">
      <text>
        <r>
          <rPr>
            <b/>
            <sz val="9"/>
            <color indexed="81"/>
            <rFont val="Tahoma"/>
            <family val="2"/>
          </rPr>
          <t>&lt;[[DEVDeals] - [Primary Portfolio Property (Seq: 1)] - [Forecast Financials (Seq: 20)] - [Forecast Financial Line Items (Seq: 1)] L4 -05140 -001 - Commercial Rent Catchall - Both]&gt;</t>
        </r>
      </text>
    </comment>
    <comment ref="E898" authorId="0" shapeId="0" xr:uid="{BC0BE0CC-C53A-422A-BA72-11A2C1F6009A}">
      <text>
        <r>
          <rPr>
            <b/>
            <sz val="9"/>
            <color indexed="81"/>
            <rFont val="Tahoma"/>
            <family val="2"/>
          </rPr>
          <t>&lt;[[DEVDeals] - [Primary Portfolio Property (Seq: 1)] - [Forecast Financials (Seq: 1)] - [Forecast Financial Line Items (Seq: 1)] L4 -05220 -001 - Residential Vacancy Catchall - Both]&gt;</t>
        </r>
      </text>
    </comment>
    <comment ref="F898" authorId="0" shapeId="0" xr:uid="{F953248D-C601-4D90-91EA-A1BFB4F2D363}">
      <text>
        <r>
          <rPr>
            <b/>
            <sz val="9"/>
            <color indexed="81"/>
            <rFont val="Tahoma"/>
            <family val="2"/>
          </rPr>
          <t>&lt;[[DEVDeals] - [Primary Portfolio Property (Seq: 1)] - [Forecast Financials (Seq: 2)] - [Forecast Financial Line Items (Seq: 1)] L4 -05220 -001 - Residential Vacancy Catchall - Both]&gt;</t>
        </r>
      </text>
    </comment>
    <comment ref="G898" authorId="0" shapeId="0" xr:uid="{FB9724FE-4311-47E4-9B8D-A4CC6DEF140C}">
      <text>
        <r>
          <rPr>
            <b/>
            <sz val="9"/>
            <color indexed="81"/>
            <rFont val="Tahoma"/>
            <family val="2"/>
          </rPr>
          <t>&lt;[[DEVDeals] - [Primary Portfolio Property (Seq: 1)] - [Forecast Financials (Seq: 3)] - [Forecast Financial Line Items (Seq: 1)] L4 -05220 -001 - Residential Vacancy Catchall - Both]&gt;</t>
        </r>
      </text>
    </comment>
    <comment ref="H898" authorId="0" shapeId="0" xr:uid="{C5B9066E-B7A0-4D79-A8DE-7817FB75270C}">
      <text>
        <r>
          <rPr>
            <b/>
            <sz val="9"/>
            <color indexed="81"/>
            <rFont val="Tahoma"/>
            <family val="2"/>
          </rPr>
          <t>&lt;[[DEVDeals] - [Primary Portfolio Property (Seq: 1)] - [Forecast Financials (Seq: 4)] - [Forecast Financial Line Items (Seq: 1)] L4 -05220 -001 - Residential Vacancy Catchall - Both]&gt;</t>
        </r>
      </text>
    </comment>
    <comment ref="I898" authorId="0" shapeId="0" xr:uid="{AC525FA8-EF20-4C7B-AC1A-BF0FD26561DD}">
      <text>
        <r>
          <rPr>
            <b/>
            <sz val="9"/>
            <color indexed="81"/>
            <rFont val="Tahoma"/>
            <family val="2"/>
          </rPr>
          <t>&lt;[[DEVDeals] - [Primary Portfolio Property (Seq: 1)] - [Forecast Financials (Seq: 5)] - [Forecast Financial Line Items (Seq: 1)] L4 -05220 -001 - Residential Vacancy Catchall - Both]&gt;</t>
        </r>
      </text>
    </comment>
    <comment ref="J898" authorId="0" shapeId="0" xr:uid="{E81912A4-19A2-4C62-896D-E8C9BDA04EAA}">
      <text>
        <r>
          <rPr>
            <b/>
            <sz val="9"/>
            <color indexed="81"/>
            <rFont val="Tahoma"/>
            <family val="2"/>
          </rPr>
          <t>&lt;[[DEVDeals] - [Primary Portfolio Property (Seq: 1)] - [Forecast Financials (Seq: 6)] - [Forecast Financial Line Items (Seq: 1)] L4 -05220 -001 - Residential Vacancy Catchall - Both]&gt;</t>
        </r>
      </text>
    </comment>
    <comment ref="K898" authorId="0" shapeId="0" xr:uid="{84EF600C-3158-4E15-9F97-F70C2D18AAD7}">
      <text>
        <r>
          <rPr>
            <b/>
            <sz val="9"/>
            <color indexed="81"/>
            <rFont val="Tahoma"/>
            <family val="2"/>
          </rPr>
          <t>&lt;[[DEVDeals] - [Primary Portfolio Property (Seq: 1)] - [Forecast Financials (Seq: 7)] - [Forecast Financial Line Items (Seq: 1)] L4 -05220 -001 - Residential Vacancy Catchall - Both]&gt;</t>
        </r>
      </text>
    </comment>
    <comment ref="L898" authorId="0" shapeId="0" xr:uid="{FB189D09-61A5-4C45-9D89-A5E5F4752919}">
      <text>
        <r>
          <rPr>
            <b/>
            <sz val="9"/>
            <color indexed="81"/>
            <rFont val="Tahoma"/>
            <family val="2"/>
          </rPr>
          <t>&lt;[[DEVDeals] - [Primary Portfolio Property (Seq: 1)] - [Forecast Financials (Seq: 8)] - [Forecast Financial Line Items (Seq: 1)] L4 -05220 -001 - Residential Vacancy Catchall - Both]&gt;</t>
        </r>
      </text>
    </comment>
    <comment ref="M898" authorId="0" shapeId="0" xr:uid="{97698C8A-205F-4C2C-8A6C-D2A736449BF4}">
      <text>
        <r>
          <rPr>
            <b/>
            <sz val="9"/>
            <color indexed="81"/>
            <rFont val="Tahoma"/>
            <family val="2"/>
          </rPr>
          <t>&lt;[[DEVDeals] - [Primary Portfolio Property (Seq: 1)] - [Forecast Financials (Seq: 9)] - [Forecast Financial Line Items (Seq: 1)] L4 -05220 -001 - Residential Vacancy Catchall - Both]&gt;</t>
        </r>
      </text>
    </comment>
    <comment ref="N898" authorId="0" shapeId="0" xr:uid="{98EB9C9F-5519-40A0-BC67-6401D28DD35C}">
      <text>
        <r>
          <rPr>
            <b/>
            <sz val="9"/>
            <color indexed="81"/>
            <rFont val="Tahoma"/>
            <family val="2"/>
          </rPr>
          <t>&lt;[[DEVDeals] - [Primary Portfolio Property (Seq: 1)] - [Forecast Financials (Seq: 10)] - [Forecast Financial Line Items (Seq: 1)] L4 -05220 -001 - Residential Vacancy Catchall - Both]&gt;</t>
        </r>
      </text>
    </comment>
    <comment ref="O898" authorId="0" shapeId="0" xr:uid="{E97A5AD7-EDFE-438B-9392-322931C4BAB3}">
      <text>
        <r>
          <rPr>
            <b/>
            <sz val="9"/>
            <color indexed="81"/>
            <rFont val="Tahoma"/>
            <family val="2"/>
          </rPr>
          <t>&lt;[[DEVDeals] - [Primary Portfolio Property (Seq: 1)] - [Forecast Financials (Seq: 11)] - [Forecast Financial Line Items (Seq: 1)] L4 -05220 -001 - Residential Vacancy Catchall - Both]&gt;</t>
        </r>
      </text>
    </comment>
    <comment ref="P898" authorId="0" shapeId="0" xr:uid="{8D50FECE-DB77-412D-8267-D30EA6015348}">
      <text>
        <r>
          <rPr>
            <b/>
            <sz val="9"/>
            <color indexed="81"/>
            <rFont val="Tahoma"/>
            <family val="2"/>
          </rPr>
          <t>&lt;[[DEVDeals] - [Primary Portfolio Property (Seq: 1)] - [Forecast Financials (Seq: 12)] - [Forecast Financial Line Items (Seq: 1)] L4 -05220 -001 - Residential Vacancy Catchall - Both]&gt;</t>
        </r>
      </text>
    </comment>
    <comment ref="Q898" authorId="0" shapeId="0" xr:uid="{BAA5E30F-904F-4E62-ADB5-8531089504A5}">
      <text>
        <r>
          <rPr>
            <b/>
            <sz val="9"/>
            <color indexed="81"/>
            <rFont val="Tahoma"/>
            <family val="2"/>
          </rPr>
          <t>&lt;[[DEVDeals] - [Primary Portfolio Property (Seq: 1)] - [Forecast Financials (Seq: 13)] - [Forecast Financial Line Items (Seq: 1)] L4 -05220 -001 - Residential Vacancy Catchall - Both]&gt;</t>
        </r>
      </text>
    </comment>
    <comment ref="R898" authorId="0" shapeId="0" xr:uid="{5263AD54-D8D6-4876-A000-1525F3044E52}">
      <text>
        <r>
          <rPr>
            <b/>
            <sz val="9"/>
            <color indexed="81"/>
            <rFont val="Tahoma"/>
            <family val="2"/>
          </rPr>
          <t>&lt;[[DEVDeals] - [Primary Portfolio Property (Seq: 1)] - [Forecast Financials (Seq: 14)] - [Forecast Financial Line Items (Seq: 1)] L4 -05220 -001 - Residential Vacancy Catchall - Both]&gt;</t>
        </r>
      </text>
    </comment>
    <comment ref="S898" authorId="0" shapeId="0" xr:uid="{A0DB5D90-3815-4B1F-ADAD-AA0FA78E8E25}">
      <text>
        <r>
          <rPr>
            <b/>
            <sz val="9"/>
            <color indexed="81"/>
            <rFont val="Tahoma"/>
            <family val="2"/>
          </rPr>
          <t>&lt;[[DEVDeals] - [Primary Portfolio Property (Seq: 1)] - [Forecast Financials (Seq: 15)] - [Forecast Financial Line Items (Seq: 1)] L4 -05220 -001 - Residential Vacancy Catchall - Both]&gt;</t>
        </r>
      </text>
    </comment>
    <comment ref="T898" authorId="0" shapeId="0" xr:uid="{4167FB77-E10A-406E-BBA8-39B158587C64}">
      <text>
        <r>
          <rPr>
            <b/>
            <sz val="9"/>
            <color indexed="81"/>
            <rFont val="Tahoma"/>
            <family val="2"/>
          </rPr>
          <t>&lt;[[DEVDeals] - [Primary Portfolio Property (Seq: 1)] - [Forecast Financials (Seq: 16)] - [Forecast Financial Line Items (Seq: 1)] L4 -05220 -001 - Residential Vacancy Catchall - Both]&gt;</t>
        </r>
      </text>
    </comment>
    <comment ref="U898" authorId="0" shapeId="0" xr:uid="{FFF9E8F9-CC58-402B-8E42-8C40C6AB1744}">
      <text>
        <r>
          <rPr>
            <b/>
            <sz val="9"/>
            <color indexed="81"/>
            <rFont val="Tahoma"/>
            <family val="2"/>
          </rPr>
          <t>&lt;[[DEVDeals] - [Primary Portfolio Property (Seq: 1)] - [Forecast Financials (Seq: 17)] - [Forecast Financial Line Items (Seq: 1)] L4 -05220 -001 - Residential Vacancy Catchall - Both]&gt;</t>
        </r>
      </text>
    </comment>
    <comment ref="V898" authorId="0" shapeId="0" xr:uid="{71875DDB-D103-4F6B-ABEA-D781C0D41161}">
      <text>
        <r>
          <rPr>
            <b/>
            <sz val="9"/>
            <color indexed="81"/>
            <rFont val="Tahoma"/>
            <family val="2"/>
          </rPr>
          <t>&lt;[[DEVDeals] - [Primary Portfolio Property (Seq: 1)] - [Forecast Financials (Seq: 18)] - [Forecast Financial Line Items (Seq: 1)] L4 -05220 -001 - Residential Vacancy Catchall - Both]&gt;</t>
        </r>
      </text>
    </comment>
    <comment ref="W898" authorId="0" shapeId="0" xr:uid="{4FE80ADA-2B2B-4EFA-831E-BD1D4AD6FAAA}">
      <text>
        <r>
          <rPr>
            <b/>
            <sz val="9"/>
            <color indexed="81"/>
            <rFont val="Tahoma"/>
            <family val="2"/>
          </rPr>
          <t>&lt;[[DEVDeals] - [Primary Portfolio Property (Seq: 1)] - [Forecast Financials (Seq: 19)] - [Forecast Financial Line Items (Seq: 1)] L4 -05220 -001 - Residential Vacancy Catchall - Both]&gt;</t>
        </r>
      </text>
    </comment>
    <comment ref="X898" authorId="0" shapeId="0" xr:uid="{72346400-B023-4B01-AB26-E484296A1027}">
      <text>
        <r>
          <rPr>
            <b/>
            <sz val="9"/>
            <color indexed="81"/>
            <rFont val="Tahoma"/>
            <family val="2"/>
          </rPr>
          <t>&lt;[[DEVDeals] - [Primary Portfolio Property (Seq: 1)] - [Forecast Financials (Seq: 20)] - [Forecast Financial Line Items (Seq: 1)] L4 -05220 -001 - Residential Vacancy Catchall - Both]&gt;</t>
        </r>
      </text>
    </comment>
    <comment ref="E899" authorId="0" shapeId="0" xr:uid="{4F82B339-7840-47DE-AB11-E08BBAF7DA0E}">
      <text>
        <r>
          <rPr>
            <b/>
            <sz val="9"/>
            <color indexed="81"/>
            <rFont val="Tahoma"/>
            <family val="2"/>
          </rPr>
          <t>&lt;[[DEVDeals] - [Primary Portfolio Property (Seq: 1)] - [Forecast Financials (Seq: 1)] - [Forecast Financial Line Items (Seq: 1)] L4 -05240 -001 - Commercial Vacancy Catchall - Both]&gt;</t>
        </r>
      </text>
    </comment>
    <comment ref="F899" authorId="0" shapeId="0" xr:uid="{A294F5DA-98E3-42C2-9BD0-A13E37A1240C}">
      <text>
        <r>
          <rPr>
            <b/>
            <sz val="9"/>
            <color indexed="81"/>
            <rFont val="Tahoma"/>
            <family val="2"/>
          </rPr>
          <t>&lt;[[DEVDeals] - [Primary Portfolio Property (Seq: 1)] - [Forecast Financials (Seq: 2)] - [Forecast Financial Line Items (Seq: 1)] L4 -05240 -001 - Commercial Vacancy Catchall - Both]&gt;</t>
        </r>
      </text>
    </comment>
    <comment ref="G899" authorId="0" shapeId="0" xr:uid="{B4F23D2F-F95F-4DA7-9E65-4041588C7FD2}">
      <text>
        <r>
          <rPr>
            <b/>
            <sz val="9"/>
            <color indexed="81"/>
            <rFont val="Tahoma"/>
            <family val="2"/>
          </rPr>
          <t>&lt;[[DEVDeals] - [Primary Portfolio Property (Seq: 1)] - [Forecast Financials (Seq: 3)] - [Forecast Financial Line Items (Seq: 1)] L4 -05240 -001 - Commercial Vacancy Catchall - Both]&gt;</t>
        </r>
      </text>
    </comment>
    <comment ref="H899" authorId="0" shapeId="0" xr:uid="{95C66D0C-313B-4ECE-99CE-752EB58183DF}">
      <text>
        <r>
          <rPr>
            <b/>
            <sz val="9"/>
            <color indexed="81"/>
            <rFont val="Tahoma"/>
            <family val="2"/>
          </rPr>
          <t>&lt;[[DEVDeals] - [Primary Portfolio Property (Seq: 1)] - [Forecast Financials (Seq: 4)] - [Forecast Financial Line Items (Seq: 1)] L4 -05240 -001 - Commercial Vacancy Catchall - Both]&gt;</t>
        </r>
      </text>
    </comment>
    <comment ref="I899" authorId="0" shapeId="0" xr:uid="{0F3BF8AA-8D1E-4D95-8CB9-7FD1E930831E}">
      <text>
        <r>
          <rPr>
            <b/>
            <sz val="9"/>
            <color indexed="81"/>
            <rFont val="Tahoma"/>
            <family val="2"/>
          </rPr>
          <t>&lt;[[DEVDeals] - [Primary Portfolio Property (Seq: 1)] - [Forecast Financials (Seq: 5)] - [Forecast Financial Line Items (Seq: 1)] L4 -05240 -001 - Commercial Vacancy Catchall - Both]&gt;</t>
        </r>
      </text>
    </comment>
    <comment ref="J899" authorId="0" shapeId="0" xr:uid="{0DD8A0A6-1D9F-4AE8-8431-EEBD2F91BF63}">
      <text>
        <r>
          <rPr>
            <b/>
            <sz val="9"/>
            <color indexed="81"/>
            <rFont val="Tahoma"/>
            <family val="2"/>
          </rPr>
          <t>&lt;[[DEVDeals] - [Primary Portfolio Property (Seq: 1)] - [Forecast Financials (Seq: 6)] - [Forecast Financial Line Items (Seq: 1)] L4 -05240 -001 - Commercial Vacancy Catchall - Both]&gt;</t>
        </r>
      </text>
    </comment>
    <comment ref="K899" authorId="0" shapeId="0" xr:uid="{B05AAB29-44F5-4C4A-9ECE-D18F7B101CA8}">
      <text>
        <r>
          <rPr>
            <b/>
            <sz val="9"/>
            <color indexed="81"/>
            <rFont val="Tahoma"/>
            <family val="2"/>
          </rPr>
          <t>&lt;[[DEVDeals] - [Primary Portfolio Property (Seq: 1)] - [Forecast Financials (Seq: 7)] - [Forecast Financial Line Items (Seq: 1)] L4 -05240 -001 - Commercial Vacancy Catchall - Both]&gt;</t>
        </r>
      </text>
    </comment>
    <comment ref="L899" authorId="0" shapeId="0" xr:uid="{CACD2325-D267-45AE-933E-B8510747CE34}">
      <text>
        <r>
          <rPr>
            <b/>
            <sz val="9"/>
            <color indexed="81"/>
            <rFont val="Tahoma"/>
            <family val="2"/>
          </rPr>
          <t>&lt;[[DEVDeals] - [Primary Portfolio Property (Seq: 1)] - [Forecast Financials (Seq: 8)] - [Forecast Financial Line Items (Seq: 1)] L4 -05240 -001 - Commercial Vacancy Catchall - Both]&gt;</t>
        </r>
      </text>
    </comment>
    <comment ref="M899" authorId="0" shapeId="0" xr:uid="{DEA5C652-5347-4F50-BEA4-F7C5FF3AAAF0}">
      <text>
        <r>
          <rPr>
            <b/>
            <sz val="9"/>
            <color indexed="81"/>
            <rFont val="Tahoma"/>
            <family val="2"/>
          </rPr>
          <t>&lt;[[DEVDeals] - [Primary Portfolio Property (Seq: 1)] - [Forecast Financials (Seq: 9)] - [Forecast Financial Line Items (Seq: 1)] L4 -05240 -001 - Commercial Vacancy Catchall - Both]&gt;</t>
        </r>
      </text>
    </comment>
    <comment ref="N899" authorId="0" shapeId="0" xr:uid="{DA525E01-41F5-4999-8A15-637871159208}">
      <text>
        <r>
          <rPr>
            <b/>
            <sz val="9"/>
            <color indexed="81"/>
            <rFont val="Tahoma"/>
            <family val="2"/>
          </rPr>
          <t>&lt;[[DEVDeals] - [Primary Portfolio Property (Seq: 1)] - [Forecast Financials (Seq: 10)] - [Forecast Financial Line Items (Seq: 1)] L4 -05240 -001 - Commercial Vacancy Catchall - Both]&gt;</t>
        </r>
      </text>
    </comment>
    <comment ref="O899" authorId="0" shapeId="0" xr:uid="{B251E851-9947-4D56-8DE2-6BDD9A920841}">
      <text>
        <r>
          <rPr>
            <b/>
            <sz val="9"/>
            <color indexed="81"/>
            <rFont val="Tahoma"/>
            <family val="2"/>
          </rPr>
          <t>&lt;[[DEVDeals] - [Primary Portfolio Property (Seq: 1)] - [Forecast Financials (Seq: 11)] - [Forecast Financial Line Items (Seq: 1)] L4 -05240 -001 - Commercial Vacancy Catchall - Both]&gt;</t>
        </r>
      </text>
    </comment>
    <comment ref="P899" authorId="0" shapeId="0" xr:uid="{860C598D-D6DF-4D41-B31B-44D44B62409B}">
      <text>
        <r>
          <rPr>
            <b/>
            <sz val="9"/>
            <color indexed="81"/>
            <rFont val="Tahoma"/>
            <family val="2"/>
          </rPr>
          <t>&lt;[[DEVDeals] - [Primary Portfolio Property (Seq: 1)] - [Forecast Financials (Seq: 12)] - [Forecast Financial Line Items (Seq: 1)] L4 -05240 -001 - Commercial Vacancy Catchall - Both]&gt;</t>
        </r>
      </text>
    </comment>
    <comment ref="Q899" authorId="0" shapeId="0" xr:uid="{B1CC6269-3BD7-4DFE-A3EF-7EF61A21FA54}">
      <text>
        <r>
          <rPr>
            <b/>
            <sz val="9"/>
            <color indexed="81"/>
            <rFont val="Tahoma"/>
            <family val="2"/>
          </rPr>
          <t>&lt;[[DEVDeals] - [Primary Portfolio Property (Seq: 1)] - [Forecast Financials (Seq: 13)] - [Forecast Financial Line Items (Seq: 1)] L4 -05240 -001 - Commercial Vacancy Catchall - Both]&gt;</t>
        </r>
      </text>
    </comment>
    <comment ref="R899" authorId="0" shapeId="0" xr:uid="{2C840327-003B-4A0F-864E-39F9D980D77C}">
      <text>
        <r>
          <rPr>
            <b/>
            <sz val="9"/>
            <color indexed="81"/>
            <rFont val="Tahoma"/>
            <family val="2"/>
          </rPr>
          <t>&lt;[[DEVDeals] - [Primary Portfolio Property (Seq: 1)] - [Forecast Financials (Seq: 14)] - [Forecast Financial Line Items (Seq: 1)] L4 -05240 -001 - Commercial Vacancy Catchall - Both]&gt;</t>
        </r>
      </text>
    </comment>
    <comment ref="S899" authorId="0" shapeId="0" xr:uid="{AFED9592-FAAE-46D3-B6C5-DBB51A19647B}">
      <text>
        <r>
          <rPr>
            <b/>
            <sz val="9"/>
            <color indexed="81"/>
            <rFont val="Tahoma"/>
            <family val="2"/>
          </rPr>
          <t>&lt;[[DEVDeals] - [Primary Portfolio Property (Seq: 1)] - [Forecast Financials (Seq: 15)] - [Forecast Financial Line Items (Seq: 1)] L4 -05240 -001 - Commercial Vacancy Catchall - Both]&gt;</t>
        </r>
      </text>
    </comment>
    <comment ref="T899" authorId="0" shapeId="0" xr:uid="{AB1D005D-EC9C-40E0-8F54-CC81E3258FD8}">
      <text>
        <r>
          <rPr>
            <b/>
            <sz val="9"/>
            <color indexed="81"/>
            <rFont val="Tahoma"/>
            <family val="2"/>
          </rPr>
          <t>&lt;[[DEVDeals] - [Primary Portfolio Property (Seq: 1)] - [Forecast Financials (Seq: 16)] - [Forecast Financial Line Items (Seq: 1)] L4 -05240 -001 - Commercial Vacancy Catchall - Both]&gt;</t>
        </r>
      </text>
    </comment>
    <comment ref="U899" authorId="0" shapeId="0" xr:uid="{511BC145-AAD0-4CA7-9B37-ECDF235FE4A1}">
      <text>
        <r>
          <rPr>
            <b/>
            <sz val="9"/>
            <color indexed="81"/>
            <rFont val="Tahoma"/>
            <family val="2"/>
          </rPr>
          <t>&lt;[[DEVDeals] - [Primary Portfolio Property (Seq: 1)] - [Forecast Financials (Seq: 17)] - [Forecast Financial Line Items (Seq: 1)] L4 -05240 -001 - Commercial Vacancy Catchall - Both]&gt;</t>
        </r>
      </text>
    </comment>
    <comment ref="V899" authorId="0" shapeId="0" xr:uid="{462B2795-9C47-48ED-9F6D-5D34BB52065E}">
      <text>
        <r>
          <rPr>
            <b/>
            <sz val="9"/>
            <color indexed="81"/>
            <rFont val="Tahoma"/>
            <family val="2"/>
          </rPr>
          <t>&lt;[[DEVDeals] - [Primary Portfolio Property (Seq: 1)] - [Forecast Financials (Seq: 18)] - [Forecast Financial Line Items (Seq: 1)] L4 -05240 -001 - Commercial Vacancy Catchall - Both]&gt;</t>
        </r>
      </text>
    </comment>
    <comment ref="W899" authorId="0" shapeId="0" xr:uid="{A4FA5B6C-45AE-4741-8C37-FF52B259DE75}">
      <text>
        <r>
          <rPr>
            <b/>
            <sz val="9"/>
            <color indexed="81"/>
            <rFont val="Tahoma"/>
            <family val="2"/>
          </rPr>
          <t>&lt;[[DEVDeals] - [Primary Portfolio Property (Seq: 1)] - [Forecast Financials (Seq: 19)] - [Forecast Financial Line Items (Seq: 1)] L4 -05240 -001 - Commercial Vacancy Catchall - Both]&gt;</t>
        </r>
      </text>
    </comment>
    <comment ref="X899" authorId="0" shapeId="0" xr:uid="{9515B275-53B1-4FA5-A147-7A5060813619}">
      <text>
        <r>
          <rPr>
            <b/>
            <sz val="9"/>
            <color indexed="81"/>
            <rFont val="Tahoma"/>
            <family val="2"/>
          </rPr>
          <t>&lt;[[DEVDeals] - [Primary Portfolio Property (Seq: 1)] - [Forecast Financials (Seq: 20)] - [Forecast Financial Line Items (Seq: 1)] L4 -05240 -001 - Commercial Vacancy Catchall - Both]&gt;</t>
        </r>
      </text>
    </comment>
    <comment ref="E900" authorId="0" shapeId="0" xr:uid="{DE58EB68-9790-4FB9-A33A-B0910ED86F03}">
      <text>
        <r>
          <rPr>
            <b/>
            <sz val="9"/>
            <color indexed="81"/>
            <rFont val="Tahoma"/>
            <family val="2"/>
          </rPr>
          <t>&lt;[[DEVDeals] - [Primary Portfolio Property (Seq: 1)] - [Forecast Financials (Seq: 1)] - [Forecast Financial Line Items (Seq: 1)] L4 -06210 -001 - Advertisingand Marketing Catchall - Both]&gt;</t>
        </r>
      </text>
    </comment>
    <comment ref="F900" authorId="0" shapeId="0" xr:uid="{DA1CB954-8DA5-47DD-A748-91D2CF1D9D19}">
      <text>
        <r>
          <rPr>
            <b/>
            <sz val="9"/>
            <color indexed="81"/>
            <rFont val="Tahoma"/>
            <family val="2"/>
          </rPr>
          <t>&lt;[[DEVDeals] - [Primary Portfolio Property (Seq: 1)] - [Forecast Financials (Seq: 2)] - [Forecast Financial Line Items (Seq: 1)] L4 -06210 -001 - Advertisingand Marketing Catchall - Both]&gt;</t>
        </r>
      </text>
    </comment>
    <comment ref="G900" authorId="0" shapeId="0" xr:uid="{0CAD01A2-701C-4E54-A612-C5AA3669DDC7}">
      <text>
        <r>
          <rPr>
            <b/>
            <sz val="9"/>
            <color indexed="81"/>
            <rFont val="Tahoma"/>
            <family val="2"/>
          </rPr>
          <t>&lt;[[DEVDeals] - [Primary Portfolio Property (Seq: 1)] - [Forecast Financials (Seq: 3)] - [Forecast Financial Line Items (Seq: 1)] L4 -06210 -001 - Advertisingand Marketing Catchall - Both]&gt;</t>
        </r>
      </text>
    </comment>
    <comment ref="H900" authorId="0" shapeId="0" xr:uid="{FC74B3B6-7595-42ED-9C22-10EF9E39554F}">
      <text>
        <r>
          <rPr>
            <b/>
            <sz val="9"/>
            <color indexed="81"/>
            <rFont val="Tahoma"/>
            <family val="2"/>
          </rPr>
          <t>&lt;[[DEVDeals] - [Primary Portfolio Property (Seq: 1)] - [Forecast Financials (Seq: 4)] - [Forecast Financial Line Items (Seq: 1)] L4 -06210 -001 - Advertisingand Marketing Catchall - Both]&gt;</t>
        </r>
      </text>
    </comment>
    <comment ref="I900" authorId="0" shapeId="0" xr:uid="{13D33C8F-C6D0-41E2-B4F9-F39B5A6E9E74}">
      <text>
        <r>
          <rPr>
            <b/>
            <sz val="9"/>
            <color indexed="81"/>
            <rFont val="Tahoma"/>
            <family val="2"/>
          </rPr>
          <t>&lt;[[DEVDeals] - [Primary Portfolio Property (Seq: 1)] - [Forecast Financials (Seq: 5)] - [Forecast Financial Line Items (Seq: 1)] L4 -06210 -001 - Advertisingand Marketing Catchall - Both]&gt;</t>
        </r>
      </text>
    </comment>
    <comment ref="J900" authorId="0" shapeId="0" xr:uid="{572A9E51-AAA8-4732-9713-15F778CAD061}">
      <text>
        <r>
          <rPr>
            <b/>
            <sz val="9"/>
            <color indexed="81"/>
            <rFont val="Tahoma"/>
            <family val="2"/>
          </rPr>
          <t>&lt;[[DEVDeals] - [Primary Portfolio Property (Seq: 1)] - [Forecast Financials (Seq: 6)] - [Forecast Financial Line Items (Seq: 1)] L4 -06210 -001 - Advertisingand Marketing Catchall - Both]&gt;</t>
        </r>
      </text>
    </comment>
    <comment ref="K900" authorId="0" shapeId="0" xr:uid="{50B23D03-1FCF-463D-8BB3-9CE550E87DF5}">
      <text>
        <r>
          <rPr>
            <b/>
            <sz val="9"/>
            <color indexed="81"/>
            <rFont val="Tahoma"/>
            <family val="2"/>
          </rPr>
          <t>&lt;[[DEVDeals] - [Primary Portfolio Property (Seq: 1)] - [Forecast Financials (Seq: 7)] - [Forecast Financial Line Items (Seq: 1)] L4 -06210 -001 - Advertisingand Marketing Catchall - Both]&gt;</t>
        </r>
      </text>
    </comment>
    <comment ref="L900" authorId="0" shapeId="0" xr:uid="{CAB3533F-69A8-4CB9-9932-4202AB9CD87D}">
      <text>
        <r>
          <rPr>
            <b/>
            <sz val="9"/>
            <color indexed="81"/>
            <rFont val="Tahoma"/>
            <family val="2"/>
          </rPr>
          <t>&lt;[[DEVDeals] - [Primary Portfolio Property (Seq: 1)] - [Forecast Financials (Seq: 8)] - [Forecast Financial Line Items (Seq: 1)] L4 -06210 -001 - Advertisingand Marketing Catchall - Both]&gt;</t>
        </r>
      </text>
    </comment>
    <comment ref="M900" authorId="0" shapeId="0" xr:uid="{116D5F6F-5D32-4057-BD2C-BB3C82A2033E}">
      <text>
        <r>
          <rPr>
            <b/>
            <sz val="9"/>
            <color indexed="81"/>
            <rFont val="Tahoma"/>
            <family val="2"/>
          </rPr>
          <t>&lt;[[DEVDeals] - [Primary Portfolio Property (Seq: 1)] - [Forecast Financials (Seq: 9)] - [Forecast Financial Line Items (Seq: 1)] L4 -06210 -001 - Advertisingand Marketing Catchall - Both]&gt;</t>
        </r>
      </text>
    </comment>
    <comment ref="N900" authorId="0" shapeId="0" xr:uid="{85ABE7EA-9003-46B8-94DF-E21CE62E1DB8}">
      <text>
        <r>
          <rPr>
            <b/>
            <sz val="9"/>
            <color indexed="81"/>
            <rFont val="Tahoma"/>
            <family val="2"/>
          </rPr>
          <t>&lt;[[DEVDeals] - [Primary Portfolio Property (Seq: 1)] - [Forecast Financials (Seq: 10)] - [Forecast Financial Line Items (Seq: 1)] L4 -06210 -001 - Advertisingand Marketing Catchall - Both]&gt;</t>
        </r>
      </text>
    </comment>
    <comment ref="O900" authorId="0" shapeId="0" xr:uid="{99E41557-E8D5-4B4B-AF80-37EDFC000B85}">
      <text>
        <r>
          <rPr>
            <b/>
            <sz val="9"/>
            <color indexed="81"/>
            <rFont val="Tahoma"/>
            <family val="2"/>
          </rPr>
          <t>&lt;[[DEVDeals] - [Primary Portfolio Property (Seq: 1)] - [Forecast Financials (Seq: 11)] - [Forecast Financial Line Items (Seq: 1)] L4 -06210 -001 - Advertisingand Marketing Catchall - Both]&gt;</t>
        </r>
      </text>
    </comment>
    <comment ref="P900" authorId="0" shapeId="0" xr:uid="{DE5EFF3D-02F3-4781-A6F2-55614A659C6A}">
      <text>
        <r>
          <rPr>
            <b/>
            <sz val="9"/>
            <color indexed="81"/>
            <rFont val="Tahoma"/>
            <family val="2"/>
          </rPr>
          <t>&lt;[[DEVDeals] - [Primary Portfolio Property (Seq: 1)] - [Forecast Financials (Seq: 12)] - [Forecast Financial Line Items (Seq: 1)] L4 -06210 -001 - Advertisingand Marketing Catchall - Both]&gt;</t>
        </r>
      </text>
    </comment>
    <comment ref="Q900" authorId="0" shapeId="0" xr:uid="{7C27FC85-BD6E-48F6-87FD-1FAA0D7F17B3}">
      <text>
        <r>
          <rPr>
            <b/>
            <sz val="9"/>
            <color indexed="81"/>
            <rFont val="Tahoma"/>
            <family val="2"/>
          </rPr>
          <t>&lt;[[DEVDeals] - [Primary Portfolio Property (Seq: 1)] - [Forecast Financials (Seq: 13)] - [Forecast Financial Line Items (Seq: 1)] L4 -06210 -001 - Advertisingand Marketing Catchall - Both]&gt;</t>
        </r>
      </text>
    </comment>
    <comment ref="R900" authorId="0" shapeId="0" xr:uid="{FF782220-2D05-4CE9-876E-FB4E8ACCBBC9}">
      <text>
        <r>
          <rPr>
            <b/>
            <sz val="9"/>
            <color indexed="81"/>
            <rFont val="Tahoma"/>
            <family val="2"/>
          </rPr>
          <t>&lt;[[DEVDeals] - [Primary Portfolio Property (Seq: 1)] - [Forecast Financials (Seq: 14)] - [Forecast Financial Line Items (Seq: 1)] L4 -06210 -001 - Advertisingand Marketing Catchall - Both]&gt;</t>
        </r>
      </text>
    </comment>
    <comment ref="S900" authorId="0" shapeId="0" xr:uid="{F885234E-1AC2-4D5C-9E7C-B8A958A43F52}">
      <text>
        <r>
          <rPr>
            <b/>
            <sz val="9"/>
            <color indexed="81"/>
            <rFont val="Tahoma"/>
            <family val="2"/>
          </rPr>
          <t>&lt;[[DEVDeals] - [Primary Portfolio Property (Seq: 1)] - [Forecast Financials (Seq: 15)] - [Forecast Financial Line Items (Seq: 1)] L4 -06210 -001 - Advertisingand Marketing Catchall - Both]&gt;</t>
        </r>
      </text>
    </comment>
    <comment ref="T900" authorId="0" shapeId="0" xr:uid="{0C0E7E2F-5C48-468F-B9D7-F50206EB0165}">
      <text>
        <r>
          <rPr>
            <b/>
            <sz val="9"/>
            <color indexed="81"/>
            <rFont val="Tahoma"/>
            <family val="2"/>
          </rPr>
          <t>&lt;[[DEVDeals] - [Primary Portfolio Property (Seq: 1)] - [Forecast Financials (Seq: 16)] - [Forecast Financial Line Items (Seq: 1)] L4 -06210 -001 - Advertisingand Marketing Catchall - Both]&gt;</t>
        </r>
      </text>
    </comment>
    <comment ref="U900" authorId="0" shapeId="0" xr:uid="{CC84D51E-33CE-4218-88CB-906929C3225C}">
      <text>
        <r>
          <rPr>
            <b/>
            <sz val="9"/>
            <color indexed="81"/>
            <rFont val="Tahoma"/>
            <family val="2"/>
          </rPr>
          <t>&lt;[[DEVDeals] - [Primary Portfolio Property (Seq: 1)] - [Forecast Financials (Seq: 17)] - [Forecast Financial Line Items (Seq: 1)] L4 -06210 -001 - Advertisingand Marketing Catchall - Both]&gt;</t>
        </r>
      </text>
    </comment>
    <comment ref="V900" authorId="0" shapeId="0" xr:uid="{89271054-AA67-4D44-B085-AA17B814BF9C}">
      <text>
        <r>
          <rPr>
            <b/>
            <sz val="9"/>
            <color indexed="81"/>
            <rFont val="Tahoma"/>
            <family val="2"/>
          </rPr>
          <t>&lt;[[DEVDeals] - [Primary Portfolio Property (Seq: 1)] - [Forecast Financials (Seq: 18)] - [Forecast Financial Line Items (Seq: 1)] L4 -06210 -001 - Advertisingand Marketing Catchall - Both]&gt;</t>
        </r>
      </text>
    </comment>
    <comment ref="W900" authorId="0" shapeId="0" xr:uid="{04AC1F1C-3B52-48D8-8894-FEBE52681CE0}">
      <text>
        <r>
          <rPr>
            <b/>
            <sz val="9"/>
            <color indexed="81"/>
            <rFont val="Tahoma"/>
            <family val="2"/>
          </rPr>
          <t>&lt;[[DEVDeals] - [Primary Portfolio Property (Seq: 1)] - [Forecast Financials (Seq: 19)] - [Forecast Financial Line Items (Seq: 1)] L4 -06210 -001 - Advertisingand Marketing Catchall - Both]&gt;</t>
        </r>
      </text>
    </comment>
    <comment ref="X900" authorId="0" shapeId="0" xr:uid="{733C5B0B-4F1F-4FB0-AE57-8CB8079DF93B}">
      <text>
        <r>
          <rPr>
            <b/>
            <sz val="9"/>
            <color indexed="81"/>
            <rFont val="Tahoma"/>
            <family val="2"/>
          </rPr>
          <t>&lt;[[DEVDeals] - [Primary Portfolio Property (Seq: 1)] - [Forecast Financials (Seq: 20)] - [Forecast Financial Line Items (Seq: 1)] L4 -06210 -001 - Advertisingand Marketing Catchall - Both]&gt;</t>
        </r>
      </text>
    </comment>
    <comment ref="E901" authorId="0" shapeId="0" xr:uid="{E9128B17-783F-4342-81C7-5FF661A2B3B3}">
      <text>
        <r>
          <rPr>
            <b/>
            <sz val="9"/>
            <color indexed="81"/>
            <rFont val="Tahoma"/>
            <family val="2"/>
          </rPr>
          <t>&lt;[[DEVDeals] - [Primary Portfolio Property (Seq: 1)] - [Forecast Financials (Seq: 1)] - [Forecast Financial Line Items (Seq: 1)] L4 -06310 -001 - Office Salary Catchall - Both]&gt;</t>
        </r>
      </text>
    </comment>
    <comment ref="F901" authorId="0" shapeId="0" xr:uid="{6B5C05CA-8479-4C56-9E5A-03BEB78B1AE7}">
      <text>
        <r>
          <rPr>
            <b/>
            <sz val="9"/>
            <color indexed="81"/>
            <rFont val="Tahoma"/>
            <family val="2"/>
          </rPr>
          <t>&lt;[[DEVDeals] - [Primary Portfolio Property (Seq: 1)] - [Forecast Financials (Seq: 2)] - [Forecast Financial Line Items (Seq: 1)] L4 -06310 -001 - Office Salary Catchall - Both]&gt;</t>
        </r>
      </text>
    </comment>
    <comment ref="G901" authorId="0" shapeId="0" xr:uid="{E7991149-758E-4BE2-A996-69811A46B491}">
      <text>
        <r>
          <rPr>
            <b/>
            <sz val="9"/>
            <color indexed="81"/>
            <rFont val="Tahoma"/>
            <family val="2"/>
          </rPr>
          <t>&lt;[[DEVDeals] - [Primary Portfolio Property (Seq: 1)] - [Forecast Financials (Seq: 3)] - [Forecast Financial Line Items (Seq: 1)] L4 -06310 -001 - Office Salary Catchall - Both]&gt;</t>
        </r>
      </text>
    </comment>
    <comment ref="H901" authorId="0" shapeId="0" xr:uid="{5BA01524-30A5-4951-B38E-E0EF737A0122}">
      <text>
        <r>
          <rPr>
            <b/>
            <sz val="9"/>
            <color indexed="81"/>
            <rFont val="Tahoma"/>
            <family val="2"/>
          </rPr>
          <t>&lt;[[DEVDeals] - [Primary Portfolio Property (Seq: 1)] - [Forecast Financials (Seq: 4)] - [Forecast Financial Line Items (Seq: 1)] L4 -06310 -001 - Office Salary Catchall - Both]&gt;</t>
        </r>
      </text>
    </comment>
    <comment ref="I901" authorId="0" shapeId="0" xr:uid="{68B6FEFA-1D59-4A4C-8C0A-0CFB8DBD23CE}">
      <text>
        <r>
          <rPr>
            <b/>
            <sz val="9"/>
            <color indexed="81"/>
            <rFont val="Tahoma"/>
            <family val="2"/>
          </rPr>
          <t>&lt;[[DEVDeals] - [Primary Portfolio Property (Seq: 1)] - [Forecast Financials (Seq: 5)] - [Forecast Financial Line Items (Seq: 1)] L4 -06310 -001 - Office Salary Catchall - Both]&gt;</t>
        </r>
      </text>
    </comment>
    <comment ref="J901" authorId="0" shapeId="0" xr:uid="{174BE267-6E8F-44EC-BB50-F5D0C6844A67}">
      <text>
        <r>
          <rPr>
            <b/>
            <sz val="9"/>
            <color indexed="81"/>
            <rFont val="Tahoma"/>
            <family val="2"/>
          </rPr>
          <t>&lt;[[DEVDeals] - [Primary Portfolio Property (Seq: 1)] - [Forecast Financials (Seq: 6)] - [Forecast Financial Line Items (Seq: 1)] L4 -06310 -001 - Office Salary Catchall - Both]&gt;</t>
        </r>
      </text>
    </comment>
    <comment ref="K901" authorId="0" shapeId="0" xr:uid="{687FE1C2-1F78-43CA-9993-E1A5B945A8E9}">
      <text>
        <r>
          <rPr>
            <b/>
            <sz val="9"/>
            <color indexed="81"/>
            <rFont val="Tahoma"/>
            <family val="2"/>
          </rPr>
          <t>&lt;[[DEVDeals] - [Primary Portfolio Property (Seq: 1)] - [Forecast Financials (Seq: 7)] - [Forecast Financial Line Items (Seq: 1)] L4 -06310 -001 - Office Salary Catchall - Both]&gt;</t>
        </r>
      </text>
    </comment>
    <comment ref="L901" authorId="0" shapeId="0" xr:uid="{463F0831-6350-4D7C-B999-8B7BFA811500}">
      <text>
        <r>
          <rPr>
            <b/>
            <sz val="9"/>
            <color indexed="81"/>
            <rFont val="Tahoma"/>
            <family val="2"/>
          </rPr>
          <t>&lt;[[DEVDeals] - [Primary Portfolio Property (Seq: 1)] - [Forecast Financials (Seq: 8)] - [Forecast Financial Line Items (Seq: 1)] L4 -06310 -001 - Office Salary Catchall - Both]&gt;</t>
        </r>
      </text>
    </comment>
    <comment ref="M901" authorId="0" shapeId="0" xr:uid="{88F61F6B-EB36-4997-8A00-D901EAF32DB2}">
      <text>
        <r>
          <rPr>
            <b/>
            <sz val="9"/>
            <color indexed="81"/>
            <rFont val="Tahoma"/>
            <family val="2"/>
          </rPr>
          <t>&lt;[[DEVDeals] - [Primary Portfolio Property (Seq: 1)] - [Forecast Financials (Seq: 9)] - [Forecast Financial Line Items (Seq: 1)] L4 -06310 -001 - Office Salary Catchall - Both]&gt;</t>
        </r>
      </text>
    </comment>
    <comment ref="N901" authorId="0" shapeId="0" xr:uid="{47AB2ECE-1190-43FB-B9C4-AD482677A305}">
      <text>
        <r>
          <rPr>
            <b/>
            <sz val="9"/>
            <color indexed="81"/>
            <rFont val="Tahoma"/>
            <family val="2"/>
          </rPr>
          <t>&lt;[[DEVDeals] - [Primary Portfolio Property (Seq: 1)] - [Forecast Financials (Seq: 10)] - [Forecast Financial Line Items (Seq: 1)] L4 -06310 -001 - Office Salary Catchall - Both]&gt;</t>
        </r>
      </text>
    </comment>
    <comment ref="O901" authorId="0" shapeId="0" xr:uid="{9A74969C-A744-4D40-9A76-0C528D2786B5}">
      <text>
        <r>
          <rPr>
            <b/>
            <sz val="9"/>
            <color indexed="81"/>
            <rFont val="Tahoma"/>
            <family val="2"/>
          </rPr>
          <t>&lt;[[DEVDeals] - [Primary Portfolio Property (Seq: 1)] - [Forecast Financials (Seq: 11)] - [Forecast Financial Line Items (Seq: 1)] L4 -06310 -001 - Office Salary Catchall - Both]&gt;</t>
        </r>
      </text>
    </comment>
    <comment ref="P901" authorId="0" shapeId="0" xr:uid="{EF83335E-C792-43D3-B5FD-741B74B2B2BB}">
      <text>
        <r>
          <rPr>
            <b/>
            <sz val="9"/>
            <color indexed="81"/>
            <rFont val="Tahoma"/>
            <family val="2"/>
          </rPr>
          <t>&lt;[[DEVDeals] - [Primary Portfolio Property (Seq: 1)] - [Forecast Financials (Seq: 12)] - [Forecast Financial Line Items (Seq: 1)] L4 -06310 -001 - Office Salary Catchall - Both]&gt;</t>
        </r>
      </text>
    </comment>
    <comment ref="Q901" authorId="0" shapeId="0" xr:uid="{DFAEF748-2ECA-4CA1-ADED-A3693FD1188B}">
      <text>
        <r>
          <rPr>
            <b/>
            <sz val="9"/>
            <color indexed="81"/>
            <rFont val="Tahoma"/>
            <family val="2"/>
          </rPr>
          <t>&lt;[[DEVDeals] - [Primary Portfolio Property (Seq: 1)] - [Forecast Financials (Seq: 13)] - [Forecast Financial Line Items (Seq: 1)] L4 -06310 -001 - Office Salary Catchall - Both]&gt;</t>
        </r>
      </text>
    </comment>
    <comment ref="R901" authorId="0" shapeId="0" xr:uid="{EC6A6917-9F83-425A-80DD-717C740EF5D9}">
      <text>
        <r>
          <rPr>
            <b/>
            <sz val="9"/>
            <color indexed="81"/>
            <rFont val="Tahoma"/>
            <family val="2"/>
          </rPr>
          <t>&lt;[[DEVDeals] - [Primary Portfolio Property (Seq: 1)] - [Forecast Financials (Seq: 14)] - [Forecast Financial Line Items (Seq: 1)] L4 -06310 -001 - Office Salary Catchall - Both]&gt;</t>
        </r>
      </text>
    </comment>
    <comment ref="S901" authorId="0" shapeId="0" xr:uid="{CE355351-4D36-4404-AF8F-2B1EFF0893F3}">
      <text>
        <r>
          <rPr>
            <b/>
            <sz val="9"/>
            <color indexed="81"/>
            <rFont val="Tahoma"/>
            <family val="2"/>
          </rPr>
          <t>&lt;[[DEVDeals] - [Primary Portfolio Property (Seq: 1)] - [Forecast Financials (Seq: 15)] - [Forecast Financial Line Items (Seq: 1)] L4 -06310 -001 - Office Salary Catchall - Both]&gt;</t>
        </r>
      </text>
    </comment>
    <comment ref="T901" authorId="0" shapeId="0" xr:uid="{711D0125-F27F-4AE8-B37C-11213F7DA7EE}">
      <text>
        <r>
          <rPr>
            <b/>
            <sz val="9"/>
            <color indexed="81"/>
            <rFont val="Tahoma"/>
            <family val="2"/>
          </rPr>
          <t>&lt;[[DEVDeals] - [Primary Portfolio Property (Seq: 1)] - [Forecast Financials (Seq: 16)] - [Forecast Financial Line Items (Seq: 1)] L4 -06310 -001 - Office Salary Catchall - Both]&gt;</t>
        </r>
      </text>
    </comment>
    <comment ref="U901" authorId="0" shapeId="0" xr:uid="{E44DC59D-F261-4BCB-B12D-65CC098EC2E2}">
      <text>
        <r>
          <rPr>
            <b/>
            <sz val="9"/>
            <color indexed="81"/>
            <rFont val="Tahoma"/>
            <family val="2"/>
          </rPr>
          <t>&lt;[[DEVDeals] - [Primary Portfolio Property (Seq: 1)] - [Forecast Financials (Seq: 17)] - [Forecast Financial Line Items (Seq: 1)] L4 -06310 -001 - Office Salary Catchall - Both]&gt;</t>
        </r>
      </text>
    </comment>
    <comment ref="V901" authorId="0" shapeId="0" xr:uid="{6588521B-D29D-4C92-8E9C-9DB277C220A3}">
      <text>
        <r>
          <rPr>
            <b/>
            <sz val="9"/>
            <color indexed="81"/>
            <rFont val="Tahoma"/>
            <family val="2"/>
          </rPr>
          <t>&lt;[[DEVDeals] - [Primary Portfolio Property (Seq: 1)] - [Forecast Financials (Seq: 18)] - [Forecast Financial Line Items (Seq: 1)] L4 -06310 -001 - Office Salary Catchall - Both]&gt;</t>
        </r>
      </text>
    </comment>
    <comment ref="W901" authorId="0" shapeId="0" xr:uid="{CF34C6C1-6567-4137-9E86-AFF768D16A77}">
      <text>
        <r>
          <rPr>
            <b/>
            <sz val="9"/>
            <color indexed="81"/>
            <rFont val="Tahoma"/>
            <family val="2"/>
          </rPr>
          <t>&lt;[[DEVDeals] - [Primary Portfolio Property (Seq: 1)] - [Forecast Financials (Seq: 19)] - [Forecast Financial Line Items (Seq: 1)] L4 -06310 -001 - Office Salary Catchall - Both]&gt;</t>
        </r>
      </text>
    </comment>
    <comment ref="X901" authorId="0" shapeId="0" xr:uid="{237440B8-841D-45EB-B56E-D03DBFC87C1C}">
      <text>
        <r>
          <rPr>
            <b/>
            <sz val="9"/>
            <color indexed="81"/>
            <rFont val="Tahoma"/>
            <family val="2"/>
          </rPr>
          <t>&lt;[[DEVDeals] - [Primary Portfolio Property (Seq: 1)] - [Forecast Financials (Seq: 20)] - [Forecast Financial Line Items (Seq: 1)] L4 -06310 -001 - Office Salary Catchall - Both]&gt;</t>
        </r>
      </text>
    </comment>
    <comment ref="E902" authorId="0" shapeId="0" xr:uid="{DC81DBA0-132B-481D-AACE-6B4D8E2FF8F7}">
      <text>
        <r>
          <rPr>
            <b/>
            <sz val="9"/>
            <color indexed="81"/>
            <rFont val="Tahoma"/>
            <family val="2"/>
          </rPr>
          <t>&lt;[[DEVDeals] - [Primary Portfolio Property (Seq: 1)] - [Forecast Financials (Seq: 1)] - [Forecast Financial Line Items (Seq: 1)] L4 -06311 -011 - Office Supply - Both]&gt;</t>
        </r>
      </text>
    </comment>
    <comment ref="F902" authorId="0" shapeId="0" xr:uid="{35BE2F71-3CF7-49A6-9DC0-9D1907839AEC}">
      <text>
        <r>
          <rPr>
            <b/>
            <sz val="9"/>
            <color indexed="81"/>
            <rFont val="Tahoma"/>
            <family val="2"/>
          </rPr>
          <t>&lt;[[DEVDeals] - [Primary Portfolio Property (Seq: 1)] - [Forecast Financials (Seq: 2)] - [Forecast Financial Line Items (Seq: 1)] L4 -06311 -011 - Office Supply - Both]&gt;</t>
        </r>
      </text>
    </comment>
    <comment ref="G902" authorId="0" shapeId="0" xr:uid="{F88AC935-3DD5-4E5E-A7FA-EFEB240F7762}">
      <text>
        <r>
          <rPr>
            <b/>
            <sz val="9"/>
            <color indexed="81"/>
            <rFont val="Tahoma"/>
            <family val="2"/>
          </rPr>
          <t>&lt;[[DEVDeals] - [Primary Portfolio Property (Seq: 1)] - [Forecast Financials (Seq: 3)] - [Forecast Financial Line Items (Seq: 1)] L4 -06311 -011 - Office Supply - Both]&gt;</t>
        </r>
      </text>
    </comment>
    <comment ref="H902" authorId="0" shapeId="0" xr:uid="{4191BAA8-01B2-49A0-9129-E47710EB44CD}">
      <text>
        <r>
          <rPr>
            <b/>
            <sz val="9"/>
            <color indexed="81"/>
            <rFont val="Tahoma"/>
            <family val="2"/>
          </rPr>
          <t>&lt;[[DEVDeals] - [Primary Portfolio Property (Seq: 1)] - [Forecast Financials (Seq: 4)] - [Forecast Financial Line Items (Seq: 1)] L4 -06311 -011 - Office Supply - Both]&gt;</t>
        </r>
      </text>
    </comment>
    <comment ref="I902" authorId="0" shapeId="0" xr:uid="{7D523BD7-F48D-4A2B-A4B0-032FEE1C6FF0}">
      <text>
        <r>
          <rPr>
            <b/>
            <sz val="9"/>
            <color indexed="81"/>
            <rFont val="Tahoma"/>
            <family val="2"/>
          </rPr>
          <t>&lt;[[DEVDeals] - [Primary Portfolio Property (Seq: 1)] - [Forecast Financials (Seq: 5)] - [Forecast Financial Line Items (Seq: 1)] L4 -06311 -011 - Office Supply - Both]&gt;</t>
        </r>
      </text>
    </comment>
    <comment ref="J902" authorId="0" shapeId="0" xr:uid="{40AD985B-A190-47FA-BC28-ABCB3E0678F6}">
      <text>
        <r>
          <rPr>
            <b/>
            <sz val="9"/>
            <color indexed="81"/>
            <rFont val="Tahoma"/>
            <family val="2"/>
          </rPr>
          <t>&lt;[[DEVDeals] - [Primary Portfolio Property (Seq: 1)] - [Forecast Financials (Seq: 6)] - [Forecast Financial Line Items (Seq: 1)] L4 -06311 -011 - Office Supply - Both]&gt;</t>
        </r>
      </text>
    </comment>
    <comment ref="K902" authorId="0" shapeId="0" xr:uid="{C475B2AD-265A-4F95-B5D0-6CEE117A9969}">
      <text>
        <r>
          <rPr>
            <b/>
            <sz val="9"/>
            <color indexed="81"/>
            <rFont val="Tahoma"/>
            <family val="2"/>
          </rPr>
          <t>&lt;[[DEVDeals] - [Primary Portfolio Property (Seq: 1)] - [Forecast Financials (Seq: 7)] - [Forecast Financial Line Items (Seq: 1)] L4 -06311 -011 - Office Supply - Both]&gt;</t>
        </r>
      </text>
    </comment>
    <comment ref="L902" authorId="0" shapeId="0" xr:uid="{22355D68-AB67-42FD-96E7-726F9367C863}">
      <text>
        <r>
          <rPr>
            <b/>
            <sz val="9"/>
            <color indexed="81"/>
            <rFont val="Tahoma"/>
            <family val="2"/>
          </rPr>
          <t>&lt;[[DEVDeals] - [Primary Portfolio Property (Seq: 1)] - [Forecast Financials (Seq: 8)] - [Forecast Financial Line Items (Seq: 1)] L4 -06311 -011 - Office Supply - Both]&gt;</t>
        </r>
      </text>
    </comment>
    <comment ref="M902" authorId="0" shapeId="0" xr:uid="{20E90CB6-53AB-45B1-8401-6927B9AE8B2F}">
      <text>
        <r>
          <rPr>
            <b/>
            <sz val="9"/>
            <color indexed="81"/>
            <rFont val="Tahoma"/>
            <family val="2"/>
          </rPr>
          <t>&lt;[[DEVDeals] - [Primary Portfolio Property (Seq: 1)] - [Forecast Financials (Seq: 9)] - [Forecast Financial Line Items (Seq: 1)] L4 -06311 -011 - Office Supply - Both]&gt;</t>
        </r>
      </text>
    </comment>
    <comment ref="N902" authorId="0" shapeId="0" xr:uid="{74915139-E874-4149-BBA9-4A9655A10D8F}">
      <text>
        <r>
          <rPr>
            <b/>
            <sz val="9"/>
            <color indexed="81"/>
            <rFont val="Tahoma"/>
            <family val="2"/>
          </rPr>
          <t>&lt;[[DEVDeals] - [Primary Portfolio Property (Seq: 1)] - [Forecast Financials (Seq: 10)] - [Forecast Financial Line Items (Seq: 1)] L4 -06311 -011 - Office Supply - Both]&gt;</t>
        </r>
      </text>
    </comment>
    <comment ref="O902" authorId="0" shapeId="0" xr:uid="{810939B0-C0B0-47B7-B228-EC99CFD1EA96}">
      <text>
        <r>
          <rPr>
            <b/>
            <sz val="9"/>
            <color indexed="81"/>
            <rFont val="Tahoma"/>
            <family val="2"/>
          </rPr>
          <t>&lt;[[DEVDeals] - [Primary Portfolio Property (Seq: 1)] - [Forecast Financials (Seq: 11)] - [Forecast Financial Line Items (Seq: 1)] L4 -06311 -011 - Office Supply - Both]&gt;</t>
        </r>
      </text>
    </comment>
    <comment ref="P902" authorId="0" shapeId="0" xr:uid="{EA567545-4948-4D31-8EFA-7EB0BA4C9773}">
      <text>
        <r>
          <rPr>
            <b/>
            <sz val="9"/>
            <color indexed="81"/>
            <rFont val="Tahoma"/>
            <family val="2"/>
          </rPr>
          <t>&lt;[[DEVDeals] - [Primary Portfolio Property (Seq: 1)] - [Forecast Financials (Seq: 12)] - [Forecast Financial Line Items (Seq: 1)] L4 -06311 -011 - Office Supply - Both]&gt;</t>
        </r>
      </text>
    </comment>
    <comment ref="Q902" authorId="0" shapeId="0" xr:uid="{D993EB05-B552-4D85-A6B8-20ACF6ABDDB1}">
      <text>
        <r>
          <rPr>
            <b/>
            <sz val="9"/>
            <color indexed="81"/>
            <rFont val="Tahoma"/>
            <family val="2"/>
          </rPr>
          <t>&lt;[[DEVDeals] - [Primary Portfolio Property (Seq: 1)] - [Forecast Financials (Seq: 13)] - [Forecast Financial Line Items (Seq: 1)] L4 -06311 -011 - Office Supply - Both]&gt;</t>
        </r>
      </text>
    </comment>
    <comment ref="R902" authorId="0" shapeId="0" xr:uid="{40FAA636-9E5B-4447-A107-79A1284AE6CD}">
      <text>
        <r>
          <rPr>
            <b/>
            <sz val="9"/>
            <color indexed="81"/>
            <rFont val="Tahoma"/>
            <family val="2"/>
          </rPr>
          <t>&lt;[[DEVDeals] - [Primary Portfolio Property (Seq: 1)] - [Forecast Financials (Seq: 14)] - [Forecast Financial Line Items (Seq: 1)] L4 -06311 -011 - Office Supply - Both]&gt;</t>
        </r>
      </text>
    </comment>
    <comment ref="S902" authorId="0" shapeId="0" xr:uid="{78508C08-1969-42F0-BA16-1152166FE217}">
      <text>
        <r>
          <rPr>
            <b/>
            <sz val="9"/>
            <color indexed="81"/>
            <rFont val="Tahoma"/>
            <family val="2"/>
          </rPr>
          <t>&lt;[[DEVDeals] - [Primary Portfolio Property (Seq: 1)] - [Forecast Financials (Seq: 15)] - [Forecast Financial Line Items (Seq: 1)] L4 -06311 -011 - Office Supply - Both]&gt;</t>
        </r>
      </text>
    </comment>
    <comment ref="T902" authorId="0" shapeId="0" xr:uid="{74F6C9A6-FD91-488B-B6D6-195DC1F0030D}">
      <text>
        <r>
          <rPr>
            <b/>
            <sz val="9"/>
            <color indexed="81"/>
            <rFont val="Tahoma"/>
            <family val="2"/>
          </rPr>
          <t>&lt;[[DEVDeals] - [Primary Portfolio Property (Seq: 1)] - [Forecast Financials (Seq: 16)] - [Forecast Financial Line Items (Seq: 1)] L4 -06311 -011 - Office Supply - Both]&gt;</t>
        </r>
      </text>
    </comment>
    <comment ref="U902" authorId="0" shapeId="0" xr:uid="{A30DD0B8-C646-44BE-B79C-BE2CF9395A18}">
      <text>
        <r>
          <rPr>
            <b/>
            <sz val="9"/>
            <color indexed="81"/>
            <rFont val="Tahoma"/>
            <family val="2"/>
          </rPr>
          <t>&lt;[[DEVDeals] - [Primary Portfolio Property (Seq: 1)] - [Forecast Financials (Seq: 17)] - [Forecast Financial Line Items (Seq: 1)] L4 -06311 -011 - Office Supply - Both]&gt;</t>
        </r>
      </text>
    </comment>
    <comment ref="V902" authorId="0" shapeId="0" xr:uid="{2152FC93-CA4F-436B-A26C-1A7FB1093941}">
      <text>
        <r>
          <rPr>
            <b/>
            <sz val="9"/>
            <color indexed="81"/>
            <rFont val="Tahoma"/>
            <family val="2"/>
          </rPr>
          <t>&lt;[[DEVDeals] - [Primary Portfolio Property (Seq: 1)] - [Forecast Financials (Seq: 18)] - [Forecast Financial Line Items (Seq: 1)] L4 -06311 -011 - Office Supply - Both]&gt;</t>
        </r>
      </text>
    </comment>
    <comment ref="W902" authorId="0" shapeId="0" xr:uid="{00A9FD87-426C-423C-B5CA-2D52311644B3}">
      <text>
        <r>
          <rPr>
            <b/>
            <sz val="9"/>
            <color indexed="81"/>
            <rFont val="Tahoma"/>
            <family val="2"/>
          </rPr>
          <t>&lt;[[DEVDeals] - [Primary Portfolio Property (Seq: 1)] - [Forecast Financials (Seq: 19)] - [Forecast Financial Line Items (Seq: 1)] L4 -06311 -011 - Office Supply - Both]&gt;</t>
        </r>
      </text>
    </comment>
    <comment ref="X902" authorId="0" shapeId="0" xr:uid="{0861CF99-6B94-40D8-9EEB-55275D07361F}">
      <text>
        <r>
          <rPr>
            <b/>
            <sz val="9"/>
            <color indexed="81"/>
            <rFont val="Tahoma"/>
            <family val="2"/>
          </rPr>
          <t>&lt;[[DEVDeals] - [Primary Portfolio Property (Seq: 1)] - [Forecast Financials (Seq: 20)] - [Forecast Financial Line Items (Seq: 1)] L4 -06311 -011 - Office Supply - Both]&gt;</t>
        </r>
      </text>
    </comment>
    <comment ref="E903" authorId="0" shapeId="0" xr:uid="{0B98D6B0-46A6-46CC-9F67-BD82976944A4}">
      <text>
        <r>
          <rPr>
            <b/>
            <sz val="9"/>
            <color indexed="81"/>
            <rFont val="Tahoma"/>
            <family val="2"/>
          </rPr>
          <t>&lt;[[DEVDeals] - [Primary Portfolio Property (Seq: 1)] - [Forecast Financials (Seq: 1)] - [Forecast Financial Line Items (Seq: 1)] L4 -06311 -021 - Officeor Model Apartment Rent - Both]&gt;</t>
        </r>
      </text>
    </comment>
    <comment ref="F903" authorId="0" shapeId="0" xr:uid="{C74C9FAB-5405-42A3-9CDA-21BF3BC0712D}">
      <text>
        <r>
          <rPr>
            <b/>
            <sz val="9"/>
            <color indexed="81"/>
            <rFont val="Tahoma"/>
            <family val="2"/>
          </rPr>
          <t>&lt;[[DEVDeals] - [Primary Portfolio Property (Seq: 1)] - [Forecast Financials (Seq: 2)] - [Forecast Financial Line Items (Seq: 1)] L4 -06311 -021 - Officeor Model Apartment Rent - Both]&gt;</t>
        </r>
      </text>
    </comment>
    <comment ref="G903" authorId="0" shapeId="0" xr:uid="{39EB7AD5-D678-4505-8105-880C45A752BB}">
      <text>
        <r>
          <rPr>
            <b/>
            <sz val="9"/>
            <color indexed="81"/>
            <rFont val="Tahoma"/>
            <family val="2"/>
          </rPr>
          <t>&lt;[[DEVDeals] - [Primary Portfolio Property (Seq: 1)] - [Forecast Financials (Seq: 3)] - [Forecast Financial Line Items (Seq: 1)] L4 -06311 -021 - Officeor Model Apartment Rent - Both]&gt;</t>
        </r>
      </text>
    </comment>
    <comment ref="H903" authorId="0" shapeId="0" xr:uid="{3549AB48-5016-4267-AD0F-41AE2438FFE7}">
      <text>
        <r>
          <rPr>
            <b/>
            <sz val="9"/>
            <color indexed="81"/>
            <rFont val="Tahoma"/>
            <family val="2"/>
          </rPr>
          <t>&lt;[[DEVDeals] - [Primary Portfolio Property (Seq: 1)] - [Forecast Financials (Seq: 4)] - [Forecast Financial Line Items (Seq: 1)] L4 -06311 -021 - Officeor Model Apartment Rent - Both]&gt;</t>
        </r>
      </text>
    </comment>
    <comment ref="I903" authorId="0" shapeId="0" xr:uid="{E1C4B733-5E6C-4023-B735-636F3E693D0A}">
      <text>
        <r>
          <rPr>
            <b/>
            <sz val="9"/>
            <color indexed="81"/>
            <rFont val="Tahoma"/>
            <family val="2"/>
          </rPr>
          <t>&lt;[[DEVDeals] - [Primary Portfolio Property (Seq: 1)] - [Forecast Financials (Seq: 5)] - [Forecast Financial Line Items (Seq: 1)] L4 -06311 -021 - Officeor Model Apartment Rent - Both]&gt;</t>
        </r>
      </text>
    </comment>
    <comment ref="J903" authorId="0" shapeId="0" xr:uid="{346A715A-633D-4048-85E8-8206AC2C336F}">
      <text>
        <r>
          <rPr>
            <b/>
            <sz val="9"/>
            <color indexed="81"/>
            <rFont val="Tahoma"/>
            <family val="2"/>
          </rPr>
          <t>&lt;[[DEVDeals] - [Primary Portfolio Property (Seq: 1)] - [Forecast Financials (Seq: 6)] - [Forecast Financial Line Items (Seq: 1)] L4 -06311 -021 - Officeor Model Apartment Rent - Both]&gt;</t>
        </r>
      </text>
    </comment>
    <comment ref="K903" authorId="0" shapeId="0" xr:uid="{89FA51EC-B020-4F1D-B59E-4452AA09FFB6}">
      <text>
        <r>
          <rPr>
            <b/>
            <sz val="9"/>
            <color indexed="81"/>
            <rFont val="Tahoma"/>
            <family val="2"/>
          </rPr>
          <t>&lt;[[DEVDeals] - [Primary Portfolio Property (Seq: 1)] - [Forecast Financials (Seq: 7)] - [Forecast Financial Line Items (Seq: 1)] L4 -06311 -021 - Officeor Model Apartment Rent - Both]&gt;</t>
        </r>
      </text>
    </comment>
    <comment ref="L903" authorId="0" shapeId="0" xr:uid="{257A64F8-02C7-4283-BBCE-CB91A22C592B}">
      <text>
        <r>
          <rPr>
            <b/>
            <sz val="9"/>
            <color indexed="81"/>
            <rFont val="Tahoma"/>
            <family val="2"/>
          </rPr>
          <t>&lt;[[DEVDeals] - [Primary Portfolio Property (Seq: 1)] - [Forecast Financials (Seq: 8)] - [Forecast Financial Line Items (Seq: 1)] L4 -06311 -021 - Officeor Model Apartment Rent - Both]&gt;</t>
        </r>
      </text>
    </comment>
    <comment ref="M903" authorId="0" shapeId="0" xr:uid="{D696AB08-0684-413D-A9D2-0C68EDC94C81}">
      <text>
        <r>
          <rPr>
            <b/>
            <sz val="9"/>
            <color indexed="81"/>
            <rFont val="Tahoma"/>
            <family val="2"/>
          </rPr>
          <t>&lt;[[DEVDeals] - [Primary Portfolio Property (Seq: 1)] - [Forecast Financials (Seq: 9)] - [Forecast Financial Line Items (Seq: 1)] L4 -06311 -021 - Officeor Model Apartment Rent - Both]&gt;</t>
        </r>
      </text>
    </comment>
    <comment ref="N903" authorId="0" shapeId="0" xr:uid="{CEAF7EFE-67AF-4EDB-891E-4F0E8B01C29F}">
      <text>
        <r>
          <rPr>
            <b/>
            <sz val="9"/>
            <color indexed="81"/>
            <rFont val="Tahoma"/>
            <family val="2"/>
          </rPr>
          <t>&lt;[[DEVDeals] - [Primary Portfolio Property (Seq: 1)] - [Forecast Financials (Seq: 10)] - [Forecast Financial Line Items (Seq: 1)] L4 -06311 -021 - Officeor Model Apartment Rent - Both]&gt;</t>
        </r>
      </text>
    </comment>
    <comment ref="O903" authorId="0" shapeId="0" xr:uid="{2D19E506-3F9B-4AE5-B06C-D3781AE60A62}">
      <text>
        <r>
          <rPr>
            <b/>
            <sz val="9"/>
            <color indexed="81"/>
            <rFont val="Tahoma"/>
            <family val="2"/>
          </rPr>
          <t>&lt;[[DEVDeals] - [Primary Portfolio Property (Seq: 1)] - [Forecast Financials (Seq: 11)] - [Forecast Financial Line Items (Seq: 1)] L4 -06311 -021 - Officeor Model Apartment Rent - Both]&gt;</t>
        </r>
      </text>
    </comment>
    <comment ref="P903" authorId="0" shapeId="0" xr:uid="{BF5B2B3E-E19D-4CC6-926F-64B68FC7040F}">
      <text>
        <r>
          <rPr>
            <b/>
            <sz val="9"/>
            <color indexed="81"/>
            <rFont val="Tahoma"/>
            <family val="2"/>
          </rPr>
          <t>&lt;[[DEVDeals] - [Primary Portfolio Property (Seq: 1)] - [Forecast Financials (Seq: 12)] - [Forecast Financial Line Items (Seq: 1)] L4 -06311 -021 - Officeor Model Apartment Rent - Both]&gt;</t>
        </r>
      </text>
    </comment>
    <comment ref="Q903" authorId="0" shapeId="0" xr:uid="{535D2D17-40F7-4CF2-A93F-6E9033EBE045}">
      <text>
        <r>
          <rPr>
            <b/>
            <sz val="9"/>
            <color indexed="81"/>
            <rFont val="Tahoma"/>
            <family val="2"/>
          </rPr>
          <t>&lt;[[DEVDeals] - [Primary Portfolio Property (Seq: 1)] - [Forecast Financials (Seq: 13)] - [Forecast Financial Line Items (Seq: 1)] L4 -06311 -021 - Officeor Model Apartment Rent - Both]&gt;</t>
        </r>
      </text>
    </comment>
    <comment ref="R903" authorId="0" shapeId="0" xr:uid="{5B70C9EC-E0B9-4A60-B935-9AA05A258331}">
      <text>
        <r>
          <rPr>
            <b/>
            <sz val="9"/>
            <color indexed="81"/>
            <rFont val="Tahoma"/>
            <family val="2"/>
          </rPr>
          <t>&lt;[[DEVDeals] - [Primary Portfolio Property (Seq: 1)] - [Forecast Financials (Seq: 14)] - [Forecast Financial Line Items (Seq: 1)] L4 -06311 -021 - Officeor Model Apartment Rent - Both]&gt;</t>
        </r>
      </text>
    </comment>
    <comment ref="S903" authorId="0" shapeId="0" xr:uid="{999E7266-F061-404D-9DB6-3C47C271AE78}">
      <text>
        <r>
          <rPr>
            <b/>
            <sz val="9"/>
            <color indexed="81"/>
            <rFont val="Tahoma"/>
            <family val="2"/>
          </rPr>
          <t>&lt;[[DEVDeals] - [Primary Portfolio Property (Seq: 1)] - [Forecast Financials (Seq: 15)] - [Forecast Financial Line Items (Seq: 1)] L4 -06311 -021 - Officeor Model Apartment Rent - Both]&gt;</t>
        </r>
      </text>
    </comment>
    <comment ref="T903" authorId="0" shapeId="0" xr:uid="{48CF2A52-86DC-44DA-93AD-C7F6CB20D1C1}">
      <text>
        <r>
          <rPr>
            <b/>
            <sz val="9"/>
            <color indexed="81"/>
            <rFont val="Tahoma"/>
            <family val="2"/>
          </rPr>
          <t>&lt;[[DEVDeals] - [Primary Portfolio Property (Seq: 1)] - [Forecast Financials (Seq: 16)] - [Forecast Financial Line Items (Seq: 1)] L4 -06311 -021 - Officeor Model Apartment Rent - Both]&gt;</t>
        </r>
      </text>
    </comment>
    <comment ref="U903" authorId="0" shapeId="0" xr:uid="{F6020C10-3A6D-4294-8380-5B2C2E9E552F}">
      <text>
        <r>
          <rPr>
            <b/>
            <sz val="9"/>
            <color indexed="81"/>
            <rFont val="Tahoma"/>
            <family val="2"/>
          </rPr>
          <t>&lt;[[DEVDeals] - [Primary Portfolio Property (Seq: 1)] - [Forecast Financials (Seq: 17)] - [Forecast Financial Line Items (Seq: 1)] L4 -06311 -021 - Officeor Model Apartment Rent - Both]&gt;</t>
        </r>
      </text>
    </comment>
    <comment ref="V903" authorId="0" shapeId="0" xr:uid="{D6367680-B9BD-4411-9C24-EB127B1E5503}">
      <text>
        <r>
          <rPr>
            <b/>
            <sz val="9"/>
            <color indexed="81"/>
            <rFont val="Tahoma"/>
            <family val="2"/>
          </rPr>
          <t>&lt;[[DEVDeals] - [Primary Portfolio Property (Seq: 1)] - [Forecast Financials (Seq: 18)] - [Forecast Financial Line Items (Seq: 1)] L4 -06311 -021 - Officeor Model Apartment Rent - Both]&gt;</t>
        </r>
      </text>
    </comment>
    <comment ref="W903" authorId="0" shapeId="0" xr:uid="{E5F28D73-89DE-41E4-9C98-01AB79F304E0}">
      <text>
        <r>
          <rPr>
            <b/>
            <sz val="9"/>
            <color indexed="81"/>
            <rFont val="Tahoma"/>
            <family val="2"/>
          </rPr>
          <t>&lt;[[DEVDeals] - [Primary Portfolio Property (Seq: 1)] - [Forecast Financials (Seq: 19)] - [Forecast Financial Line Items (Seq: 1)] L4 -06311 -021 - Officeor Model Apartment Rent - Both]&gt;</t>
        </r>
      </text>
    </comment>
    <comment ref="X903" authorId="0" shapeId="0" xr:uid="{C9E53544-044A-4790-B811-4C2E2014BCAE}">
      <text>
        <r>
          <rPr>
            <b/>
            <sz val="9"/>
            <color indexed="81"/>
            <rFont val="Tahoma"/>
            <family val="2"/>
          </rPr>
          <t>&lt;[[DEVDeals] - [Primary Portfolio Property (Seq: 1)] - [Forecast Financials (Seq: 20)] - [Forecast Financial Line Items (Seq: 1)] L4 -06311 -021 - Officeor Model Apartment Rent - Both]&gt;</t>
        </r>
      </text>
    </comment>
    <comment ref="E904" authorId="0" shapeId="0" xr:uid="{91429364-1C3E-4482-9965-5F04C356A2A9}">
      <text>
        <r>
          <rPr>
            <b/>
            <sz val="9"/>
            <color indexed="81"/>
            <rFont val="Tahoma"/>
            <family val="2"/>
          </rPr>
          <t>&lt;[[DEVDeals] - [Primary Portfolio Property (Seq: 1)] - [Forecast Financials (Seq: 1)] - [Forecast Financial Line Items (Seq: 1)] L4 -06320 -001 - Management Fee Catchall - Both]&gt;</t>
        </r>
      </text>
    </comment>
    <comment ref="F904" authorId="0" shapeId="0" xr:uid="{31B17A7C-1FEC-421B-A3F0-AD263DE4CAE1}">
      <text>
        <r>
          <rPr>
            <b/>
            <sz val="9"/>
            <color indexed="81"/>
            <rFont val="Tahoma"/>
            <family val="2"/>
          </rPr>
          <t>&lt;[[DEVDeals] - [Primary Portfolio Property (Seq: 1)] - [Forecast Financials (Seq: 2)] - [Forecast Financial Line Items (Seq: 1)] L4 -06320 -001 - Management Fee Catchall - Both]&gt;</t>
        </r>
      </text>
    </comment>
    <comment ref="G904" authorId="0" shapeId="0" xr:uid="{B4C13F54-E21A-4711-9267-FE5CC4089ABF}">
      <text>
        <r>
          <rPr>
            <b/>
            <sz val="9"/>
            <color indexed="81"/>
            <rFont val="Tahoma"/>
            <family val="2"/>
          </rPr>
          <t>&lt;[[DEVDeals] - [Primary Portfolio Property (Seq: 1)] - [Forecast Financials (Seq: 3)] - [Forecast Financial Line Items (Seq: 1)] L4 -06320 -001 - Management Fee Catchall - Both]&gt;</t>
        </r>
      </text>
    </comment>
    <comment ref="H904" authorId="0" shapeId="0" xr:uid="{4AF26123-29B7-4320-AA1D-DAE0B89ADC50}">
      <text>
        <r>
          <rPr>
            <b/>
            <sz val="9"/>
            <color indexed="81"/>
            <rFont val="Tahoma"/>
            <family val="2"/>
          </rPr>
          <t>&lt;[[DEVDeals] - [Primary Portfolio Property (Seq: 1)] - [Forecast Financials (Seq: 4)] - [Forecast Financial Line Items (Seq: 1)] L4 -06320 -001 - Management Fee Catchall - Both]&gt;</t>
        </r>
      </text>
    </comment>
    <comment ref="I904" authorId="0" shapeId="0" xr:uid="{AF535F41-FBFA-49E4-AC80-48AC335C3EA1}">
      <text>
        <r>
          <rPr>
            <b/>
            <sz val="9"/>
            <color indexed="81"/>
            <rFont val="Tahoma"/>
            <family val="2"/>
          </rPr>
          <t>&lt;[[DEVDeals] - [Primary Portfolio Property (Seq: 1)] - [Forecast Financials (Seq: 5)] - [Forecast Financial Line Items (Seq: 1)] L4 -06320 -001 - Management Fee Catchall - Both]&gt;</t>
        </r>
      </text>
    </comment>
    <comment ref="J904" authorId="0" shapeId="0" xr:uid="{527CDDED-CF7E-45E2-AAB7-96546ED93330}">
      <text>
        <r>
          <rPr>
            <b/>
            <sz val="9"/>
            <color indexed="81"/>
            <rFont val="Tahoma"/>
            <family val="2"/>
          </rPr>
          <t>&lt;[[DEVDeals] - [Primary Portfolio Property (Seq: 1)] - [Forecast Financials (Seq: 6)] - [Forecast Financial Line Items (Seq: 1)] L4 -06320 -001 - Management Fee Catchall - Both]&gt;</t>
        </r>
      </text>
    </comment>
    <comment ref="K904" authorId="0" shapeId="0" xr:uid="{48F9D29D-96C8-431F-B7A8-DAB9EF3D701A}">
      <text>
        <r>
          <rPr>
            <b/>
            <sz val="9"/>
            <color indexed="81"/>
            <rFont val="Tahoma"/>
            <family val="2"/>
          </rPr>
          <t>&lt;[[DEVDeals] - [Primary Portfolio Property (Seq: 1)] - [Forecast Financials (Seq: 7)] - [Forecast Financial Line Items (Seq: 1)] L4 -06320 -001 - Management Fee Catchall - Both]&gt;</t>
        </r>
      </text>
    </comment>
    <comment ref="L904" authorId="0" shapeId="0" xr:uid="{B5324C60-FC6F-4D2C-89A5-03BE3DB0A4FA}">
      <text>
        <r>
          <rPr>
            <b/>
            <sz val="9"/>
            <color indexed="81"/>
            <rFont val="Tahoma"/>
            <family val="2"/>
          </rPr>
          <t>&lt;[[DEVDeals] - [Primary Portfolio Property (Seq: 1)] - [Forecast Financials (Seq: 8)] - [Forecast Financial Line Items (Seq: 1)] L4 -06320 -001 - Management Fee Catchall - Both]&gt;</t>
        </r>
      </text>
    </comment>
    <comment ref="M904" authorId="0" shapeId="0" xr:uid="{8F1BFA8E-72EF-4721-B823-57C615541110}">
      <text>
        <r>
          <rPr>
            <b/>
            <sz val="9"/>
            <color indexed="81"/>
            <rFont val="Tahoma"/>
            <family val="2"/>
          </rPr>
          <t>&lt;[[DEVDeals] - [Primary Portfolio Property (Seq: 1)] - [Forecast Financials (Seq: 9)] - [Forecast Financial Line Items (Seq: 1)] L4 -06320 -001 - Management Fee Catchall - Both]&gt;</t>
        </r>
      </text>
    </comment>
    <comment ref="N904" authorId="0" shapeId="0" xr:uid="{4FFA7499-2B90-40C9-9ECE-B8BAB25EE93F}">
      <text>
        <r>
          <rPr>
            <b/>
            <sz val="9"/>
            <color indexed="81"/>
            <rFont val="Tahoma"/>
            <family val="2"/>
          </rPr>
          <t>&lt;[[DEVDeals] - [Primary Portfolio Property (Seq: 1)] - [Forecast Financials (Seq: 10)] - [Forecast Financial Line Items (Seq: 1)] L4 -06320 -001 - Management Fee Catchall - Both]&gt;</t>
        </r>
      </text>
    </comment>
    <comment ref="O904" authorId="0" shapeId="0" xr:uid="{FE892396-48E8-4F4F-B2BE-13889A615C8A}">
      <text>
        <r>
          <rPr>
            <b/>
            <sz val="9"/>
            <color indexed="81"/>
            <rFont val="Tahoma"/>
            <family val="2"/>
          </rPr>
          <t>&lt;[[DEVDeals] - [Primary Portfolio Property (Seq: 1)] - [Forecast Financials (Seq: 11)] - [Forecast Financial Line Items (Seq: 1)] L4 -06320 -001 - Management Fee Catchall - Both]&gt;</t>
        </r>
      </text>
    </comment>
    <comment ref="P904" authorId="0" shapeId="0" xr:uid="{E397FBEF-59E1-454C-9DCF-49A1DF26EEE2}">
      <text>
        <r>
          <rPr>
            <b/>
            <sz val="9"/>
            <color indexed="81"/>
            <rFont val="Tahoma"/>
            <family val="2"/>
          </rPr>
          <t>&lt;[[DEVDeals] - [Primary Portfolio Property (Seq: 1)] - [Forecast Financials (Seq: 12)] - [Forecast Financial Line Items (Seq: 1)] L4 -06320 -001 - Management Fee Catchall - Both]&gt;</t>
        </r>
      </text>
    </comment>
    <comment ref="Q904" authorId="0" shapeId="0" xr:uid="{9A576E69-BA88-403C-8D44-F57E3A67A081}">
      <text>
        <r>
          <rPr>
            <b/>
            <sz val="9"/>
            <color indexed="81"/>
            <rFont val="Tahoma"/>
            <family val="2"/>
          </rPr>
          <t>&lt;[[DEVDeals] - [Primary Portfolio Property (Seq: 1)] - [Forecast Financials (Seq: 13)] - [Forecast Financial Line Items (Seq: 1)] L4 -06320 -001 - Management Fee Catchall - Both]&gt;</t>
        </r>
      </text>
    </comment>
    <comment ref="R904" authorId="0" shapeId="0" xr:uid="{C9DB4632-5FF7-40AC-BADB-1BFF8EA24116}">
      <text>
        <r>
          <rPr>
            <b/>
            <sz val="9"/>
            <color indexed="81"/>
            <rFont val="Tahoma"/>
            <family val="2"/>
          </rPr>
          <t>&lt;[[DEVDeals] - [Primary Portfolio Property (Seq: 1)] - [Forecast Financials (Seq: 14)] - [Forecast Financial Line Items (Seq: 1)] L4 -06320 -001 - Management Fee Catchall - Both]&gt;</t>
        </r>
      </text>
    </comment>
    <comment ref="S904" authorId="0" shapeId="0" xr:uid="{2F5486B6-C375-41FD-8AD0-4BF3F629A777}">
      <text>
        <r>
          <rPr>
            <b/>
            <sz val="9"/>
            <color indexed="81"/>
            <rFont val="Tahoma"/>
            <family val="2"/>
          </rPr>
          <t>&lt;[[DEVDeals] - [Primary Portfolio Property (Seq: 1)] - [Forecast Financials (Seq: 15)] - [Forecast Financial Line Items (Seq: 1)] L4 -06320 -001 - Management Fee Catchall - Both]&gt;</t>
        </r>
      </text>
    </comment>
    <comment ref="T904" authorId="0" shapeId="0" xr:uid="{570E65AE-BB60-4996-8538-2360C5840575}">
      <text>
        <r>
          <rPr>
            <b/>
            <sz val="9"/>
            <color indexed="81"/>
            <rFont val="Tahoma"/>
            <family val="2"/>
          </rPr>
          <t>&lt;[[DEVDeals] - [Primary Portfolio Property (Seq: 1)] - [Forecast Financials (Seq: 16)] - [Forecast Financial Line Items (Seq: 1)] L4 -06320 -001 - Management Fee Catchall - Both]&gt;</t>
        </r>
      </text>
    </comment>
    <comment ref="U904" authorId="0" shapeId="0" xr:uid="{669F4133-5656-45E3-9FD3-B515C59DAF1F}">
      <text>
        <r>
          <rPr>
            <b/>
            <sz val="9"/>
            <color indexed="81"/>
            <rFont val="Tahoma"/>
            <family val="2"/>
          </rPr>
          <t>&lt;[[DEVDeals] - [Primary Portfolio Property (Seq: 1)] - [Forecast Financials (Seq: 17)] - [Forecast Financial Line Items (Seq: 1)] L4 -06320 -001 - Management Fee Catchall - Both]&gt;</t>
        </r>
      </text>
    </comment>
    <comment ref="V904" authorId="0" shapeId="0" xr:uid="{4B5CFA37-DDA1-48B2-8823-C77D66F5384C}">
      <text>
        <r>
          <rPr>
            <b/>
            <sz val="9"/>
            <color indexed="81"/>
            <rFont val="Tahoma"/>
            <family val="2"/>
          </rPr>
          <t>&lt;[[DEVDeals] - [Primary Portfolio Property (Seq: 1)] - [Forecast Financials (Seq: 18)] - [Forecast Financial Line Items (Seq: 1)] L4 -06320 -001 - Management Fee Catchall - Both]&gt;</t>
        </r>
      </text>
    </comment>
    <comment ref="W904" authorId="0" shapeId="0" xr:uid="{B8ADF62E-EC9D-408D-A4BC-BC42E964B34B}">
      <text>
        <r>
          <rPr>
            <b/>
            <sz val="9"/>
            <color indexed="81"/>
            <rFont val="Tahoma"/>
            <family val="2"/>
          </rPr>
          <t>&lt;[[DEVDeals] - [Primary Portfolio Property (Seq: 1)] - [Forecast Financials (Seq: 19)] - [Forecast Financial Line Items (Seq: 1)] L4 -06320 -001 - Management Fee Catchall - Both]&gt;</t>
        </r>
      </text>
    </comment>
    <comment ref="X904" authorId="0" shapeId="0" xr:uid="{FE6120CA-4E3D-40E5-8B8A-39DB1E1B821D}">
      <text>
        <r>
          <rPr>
            <b/>
            <sz val="9"/>
            <color indexed="81"/>
            <rFont val="Tahoma"/>
            <family val="2"/>
          </rPr>
          <t>&lt;[[DEVDeals] - [Primary Portfolio Property (Seq: 1)] - [Forecast Financials (Seq: 20)] - [Forecast Financial Line Items (Seq: 1)] L4 -06320 -001 - Management Fee Catchall - Both]&gt;</t>
        </r>
      </text>
    </comment>
    <comment ref="E905" authorId="0" shapeId="0" xr:uid="{7F6D0418-D21A-4E25-A741-955BF305A41B}">
      <text>
        <r>
          <rPr>
            <b/>
            <sz val="9"/>
            <color indexed="81"/>
            <rFont val="Tahoma"/>
            <family val="2"/>
          </rPr>
          <t>&lt;[[DEVDeals] - [Primary Portfolio Property (Seq: 1)] - [Forecast Financials (Seq: 1)] - [Forecast Financial Line Items (Seq: 1)] L4 -06330 -021 - Manageror Superintendent Rent Free Unit - Both]&gt;</t>
        </r>
      </text>
    </comment>
    <comment ref="F905" authorId="0" shapeId="0" xr:uid="{85683E63-9A1B-423F-AB1D-D55B05BB4C97}">
      <text>
        <r>
          <rPr>
            <b/>
            <sz val="9"/>
            <color indexed="81"/>
            <rFont val="Tahoma"/>
            <family val="2"/>
          </rPr>
          <t>&lt;[[DEVDeals] - [Primary Portfolio Property (Seq: 1)] - [Forecast Financials (Seq: 2)] - [Forecast Financial Line Items (Seq: 1)] L4 -06330 -021 - Manageror Superintendent Rent Free Unit - Both]&gt;</t>
        </r>
      </text>
    </comment>
    <comment ref="G905" authorId="0" shapeId="0" xr:uid="{5B1B9A73-34CE-4692-A426-6F252BFFF624}">
      <text>
        <r>
          <rPr>
            <b/>
            <sz val="9"/>
            <color indexed="81"/>
            <rFont val="Tahoma"/>
            <family val="2"/>
          </rPr>
          <t>&lt;[[DEVDeals] - [Primary Portfolio Property (Seq: 1)] - [Forecast Financials (Seq: 3)] - [Forecast Financial Line Items (Seq: 1)] L4 -06330 -021 - Manageror Superintendent Rent Free Unit - Both]&gt;</t>
        </r>
      </text>
    </comment>
    <comment ref="H905" authorId="0" shapeId="0" xr:uid="{2790E2BF-DCFB-4F4D-8BB5-EE37E74314DE}">
      <text>
        <r>
          <rPr>
            <b/>
            <sz val="9"/>
            <color indexed="81"/>
            <rFont val="Tahoma"/>
            <family val="2"/>
          </rPr>
          <t>&lt;[[DEVDeals] - [Primary Portfolio Property (Seq: 1)] - [Forecast Financials (Seq: 4)] - [Forecast Financial Line Items (Seq: 1)] L4 -06330 -021 - Manageror Superintendent Rent Free Unit - Both]&gt;</t>
        </r>
      </text>
    </comment>
    <comment ref="I905" authorId="0" shapeId="0" xr:uid="{EEA9D301-C3C9-45AD-BAE1-61AEF3C52A31}">
      <text>
        <r>
          <rPr>
            <b/>
            <sz val="9"/>
            <color indexed="81"/>
            <rFont val="Tahoma"/>
            <family val="2"/>
          </rPr>
          <t>&lt;[[DEVDeals] - [Primary Portfolio Property (Seq: 1)] - [Forecast Financials (Seq: 5)] - [Forecast Financial Line Items (Seq: 1)] L4 -06330 -021 - Manageror Superintendent Rent Free Unit - Both]&gt;</t>
        </r>
      </text>
    </comment>
    <comment ref="J905" authorId="0" shapeId="0" xr:uid="{53C1FAA9-D4F1-4F54-8064-818BB560982E}">
      <text>
        <r>
          <rPr>
            <b/>
            <sz val="9"/>
            <color indexed="81"/>
            <rFont val="Tahoma"/>
            <family val="2"/>
          </rPr>
          <t>&lt;[[DEVDeals] - [Primary Portfolio Property (Seq: 1)] - [Forecast Financials (Seq: 6)] - [Forecast Financial Line Items (Seq: 1)] L4 -06330 -021 - Manageror Superintendent Rent Free Unit - Both]&gt;</t>
        </r>
      </text>
    </comment>
    <comment ref="K905" authorId="0" shapeId="0" xr:uid="{78948F1E-1D94-455D-9264-F4559F08BDD1}">
      <text>
        <r>
          <rPr>
            <b/>
            <sz val="9"/>
            <color indexed="81"/>
            <rFont val="Tahoma"/>
            <family val="2"/>
          </rPr>
          <t>&lt;[[DEVDeals] - [Primary Portfolio Property (Seq: 1)] - [Forecast Financials (Seq: 7)] - [Forecast Financial Line Items (Seq: 1)] L4 -06330 -021 - Manageror Superintendent Rent Free Unit - Both]&gt;</t>
        </r>
      </text>
    </comment>
    <comment ref="L905" authorId="0" shapeId="0" xr:uid="{D291259E-BC6C-4EEC-91F9-4C292EF84233}">
      <text>
        <r>
          <rPr>
            <b/>
            <sz val="9"/>
            <color indexed="81"/>
            <rFont val="Tahoma"/>
            <family val="2"/>
          </rPr>
          <t>&lt;[[DEVDeals] - [Primary Portfolio Property (Seq: 1)] - [Forecast Financials (Seq: 8)] - [Forecast Financial Line Items (Seq: 1)] L4 -06330 -021 - Manageror Superintendent Rent Free Unit - Both]&gt;</t>
        </r>
      </text>
    </comment>
    <comment ref="M905" authorId="0" shapeId="0" xr:uid="{CE15D299-7E87-4F9C-A4D3-BED837F4A482}">
      <text>
        <r>
          <rPr>
            <b/>
            <sz val="9"/>
            <color indexed="81"/>
            <rFont val="Tahoma"/>
            <family val="2"/>
          </rPr>
          <t>&lt;[[DEVDeals] - [Primary Portfolio Property (Seq: 1)] - [Forecast Financials (Seq: 9)] - [Forecast Financial Line Items (Seq: 1)] L4 -06330 -021 - Manageror Superintendent Rent Free Unit - Both]&gt;</t>
        </r>
      </text>
    </comment>
    <comment ref="N905" authorId="0" shapeId="0" xr:uid="{77B91EA0-2372-46B7-A883-A043FE13BD9C}">
      <text>
        <r>
          <rPr>
            <b/>
            <sz val="9"/>
            <color indexed="81"/>
            <rFont val="Tahoma"/>
            <family val="2"/>
          </rPr>
          <t>&lt;[[DEVDeals] - [Primary Portfolio Property (Seq: 1)] - [Forecast Financials (Seq: 10)] - [Forecast Financial Line Items (Seq: 1)] L4 -06330 -021 - Manageror Superintendent Rent Free Unit - Both]&gt;</t>
        </r>
      </text>
    </comment>
    <comment ref="O905" authorId="0" shapeId="0" xr:uid="{41131EC2-1AD4-47C7-8C81-FE8CB674AE31}">
      <text>
        <r>
          <rPr>
            <b/>
            <sz val="9"/>
            <color indexed="81"/>
            <rFont val="Tahoma"/>
            <family val="2"/>
          </rPr>
          <t>&lt;[[DEVDeals] - [Primary Portfolio Property (Seq: 1)] - [Forecast Financials (Seq: 11)] - [Forecast Financial Line Items (Seq: 1)] L4 -06330 -021 - Manageror Superintendent Rent Free Unit - Both]&gt;</t>
        </r>
      </text>
    </comment>
    <comment ref="P905" authorId="0" shapeId="0" xr:uid="{A02C1440-B6A2-4B8B-93A0-0D23C74B56C4}">
      <text>
        <r>
          <rPr>
            <b/>
            <sz val="9"/>
            <color indexed="81"/>
            <rFont val="Tahoma"/>
            <family val="2"/>
          </rPr>
          <t>&lt;[[DEVDeals] - [Primary Portfolio Property (Seq: 1)] - [Forecast Financials (Seq: 12)] - [Forecast Financial Line Items (Seq: 1)] L4 -06330 -021 - Manageror Superintendent Rent Free Unit - Both]&gt;</t>
        </r>
      </text>
    </comment>
    <comment ref="Q905" authorId="0" shapeId="0" xr:uid="{462C3680-F449-4A09-AF55-2EB43ACA7470}">
      <text>
        <r>
          <rPr>
            <b/>
            <sz val="9"/>
            <color indexed="81"/>
            <rFont val="Tahoma"/>
            <family val="2"/>
          </rPr>
          <t>&lt;[[DEVDeals] - [Primary Portfolio Property (Seq: 1)] - [Forecast Financials (Seq: 13)] - [Forecast Financial Line Items (Seq: 1)] L4 -06330 -021 - Manageror Superintendent Rent Free Unit - Both]&gt;</t>
        </r>
      </text>
    </comment>
    <comment ref="R905" authorId="0" shapeId="0" xr:uid="{D23FAA3E-9D9C-4823-B699-135BCE54EFA7}">
      <text>
        <r>
          <rPr>
            <b/>
            <sz val="9"/>
            <color indexed="81"/>
            <rFont val="Tahoma"/>
            <family val="2"/>
          </rPr>
          <t>&lt;[[DEVDeals] - [Primary Portfolio Property (Seq: 1)] - [Forecast Financials (Seq: 14)] - [Forecast Financial Line Items (Seq: 1)] L4 -06330 -021 - Manageror Superintendent Rent Free Unit - Both]&gt;</t>
        </r>
      </text>
    </comment>
    <comment ref="S905" authorId="0" shapeId="0" xr:uid="{A4238300-478B-4A83-98E0-B9131BF521E6}">
      <text>
        <r>
          <rPr>
            <b/>
            <sz val="9"/>
            <color indexed="81"/>
            <rFont val="Tahoma"/>
            <family val="2"/>
          </rPr>
          <t>&lt;[[DEVDeals] - [Primary Portfolio Property (Seq: 1)] - [Forecast Financials (Seq: 15)] - [Forecast Financial Line Items (Seq: 1)] L4 -06330 -021 - Manageror Superintendent Rent Free Unit - Both]&gt;</t>
        </r>
      </text>
    </comment>
    <comment ref="T905" authorId="0" shapeId="0" xr:uid="{A311897F-51E0-4D7C-9E32-7D863C28A946}">
      <text>
        <r>
          <rPr>
            <b/>
            <sz val="9"/>
            <color indexed="81"/>
            <rFont val="Tahoma"/>
            <family val="2"/>
          </rPr>
          <t>&lt;[[DEVDeals] - [Primary Portfolio Property (Seq: 1)] - [Forecast Financials (Seq: 16)] - [Forecast Financial Line Items (Seq: 1)] L4 -06330 -021 - Manageror Superintendent Rent Free Unit - Both]&gt;</t>
        </r>
      </text>
    </comment>
    <comment ref="U905" authorId="0" shapeId="0" xr:uid="{6549366E-8D11-4EBF-A5AB-75FB71E143B6}">
      <text>
        <r>
          <rPr>
            <b/>
            <sz val="9"/>
            <color indexed="81"/>
            <rFont val="Tahoma"/>
            <family val="2"/>
          </rPr>
          <t>&lt;[[DEVDeals] - [Primary Portfolio Property (Seq: 1)] - [Forecast Financials (Seq: 17)] - [Forecast Financial Line Items (Seq: 1)] L4 -06330 -021 - Manageror Superintendent Rent Free Unit - Both]&gt;</t>
        </r>
      </text>
    </comment>
    <comment ref="V905" authorId="0" shapeId="0" xr:uid="{DD380DC4-B5BC-459D-A078-79712C584319}">
      <text>
        <r>
          <rPr>
            <b/>
            <sz val="9"/>
            <color indexed="81"/>
            <rFont val="Tahoma"/>
            <family val="2"/>
          </rPr>
          <t>&lt;[[DEVDeals] - [Primary Portfolio Property (Seq: 1)] - [Forecast Financials (Seq: 18)] - [Forecast Financial Line Items (Seq: 1)] L4 -06330 -021 - Manageror Superintendent Rent Free Unit - Both]&gt;</t>
        </r>
      </text>
    </comment>
    <comment ref="W905" authorId="0" shapeId="0" xr:uid="{1540F171-3FBC-4043-B994-C1A0660716E8}">
      <text>
        <r>
          <rPr>
            <b/>
            <sz val="9"/>
            <color indexed="81"/>
            <rFont val="Tahoma"/>
            <family val="2"/>
          </rPr>
          <t>&lt;[[DEVDeals] - [Primary Portfolio Property (Seq: 1)] - [Forecast Financials (Seq: 19)] - [Forecast Financial Line Items (Seq: 1)] L4 -06330 -021 - Manageror Superintendent Rent Free Unit - Both]&gt;</t>
        </r>
      </text>
    </comment>
    <comment ref="X905" authorId="0" shapeId="0" xr:uid="{02F95593-18E9-4A89-9880-E50C25C2C483}">
      <text>
        <r>
          <rPr>
            <b/>
            <sz val="9"/>
            <color indexed="81"/>
            <rFont val="Tahoma"/>
            <family val="2"/>
          </rPr>
          <t>&lt;[[DEVDeals] - [Primary Portfolio Property (Seq: 1)] - [Forecast Financials (Seq: 20)] - [Forecast Financial Line Items (Seq: 1)] L4 -06330 -021 - Manageror Superintendent Rent Free Unit - Both]&gt;</t>
        </r>
      </text>
    </comment>
    <comment ref="E906" authorId="0" shapeId="0" xr:uid="{5165AEEB-7C8D-468D-BF2C-C21F702B9EE8}">
      <text>
        <r>
          <rPr>
            <b/>
            <sz val="9"/>
            <color indexed="81"/>
            <rFont val="Tahoma"/>
            <family val="2"/>
          </rPr>
          <t>&lt;[[DEVDeals] - [Primary Portfolio Property (Seq: 1)] - [Forecast Financials (Seq: 1)] - [Forecast Financial Line Items (Seq: 1)] L4 -06340 -001 - Legal Expense Project Catchall - Both]&gt;</t>
        </r>
      </text>
    </comment>
    <comment ref="F906" authorId="0" shapeId="0" xr:uid="{232121DE-90A5-4B8D-B002-7518F9791A5F}">
      <text>
        <r>
          <rPr>
            <b/>
            <sz val="9"/>
            <color indexed="81"/>
            <rFont val="Tahoma"/>
            <family val="2"/>
          </rPr>
          <t>&lt;[[DEVDeals] - [Primary Portfolio Property (Seq: 1)] - [Forecast Financials (Seq: 2)] - [Forecast Financial Line Items (Seq: 1)] L4 -06340 -001 - Legal Expense Project Catchall - Both]&gt;</t>
        </r>
      </text>
    </comment>
    <comment ref="G906" authorId="0" shapeId="0" xr:uid="{5EA629FE-2E1E-4B1E-B6E1-A2A111606CA5}">
      <text>
        <r>
          <rPr>
            <b/>
            <sz val="9"/>
            <color indexed="81"/>
            <rFont val="Tahoma"/>
            <family val="2"/>
          </rPr>
          <t>&lt;[[DEVDeals] - [Primary Portfolio Property (Seq: 1)] - [Forecast Financials (Seq: 3)] - [Forecast Financial Line Items (Seq: 1)] L4 -06340 -001 - Legal Expense Project Catchall - Both]&gt;</t>
        </r>
      </text>
    </comment>
    <comment ref="H906" authorId="0" shapeId="0" xr:uid="{602F0DF7-B2E5-4BB0-8428-452318BDF011}">
      <text>
        <r>
          <rPr>
            <b/>
            <sz val="9"/>
            <color indexed="81"/>
            <rFont val="Tahoma"/>
            <family val="2"/>
          </rPr>
          <t>&lt;[[DEVDeals] - [Primary Portfolio Property (Seq: 1)] - [Forecast Financials (Seq: 4)] - [Forecast Financial Line Items (Seq: 1)] L4 -06340 -001 - Legal Expense Project Catchall - Both]&gt;</t>
        </r>
      </text>
    </comment>
    <comment ref="I906" authorId="0" shapeId="0" xr:uid="{853BC0BB-EC82-45B3-A0CC-B39073910F27}">
      <text>
        <r>
          <rPr>
            <b/>
            <sz val="9"/>
            <color indexed="81"/>
            <rFont val="Tahoma"/>
            <family val="2"/>
          </rPr>
          <t>&lt;[[DEVDeals] - [Primary Portfolio Property (Seq: 1)] - [Forecast Financials (Seq: 5)] - [Forecast Financial Line Items (Seq: 1)] L4 -06340 -001 - Legal Expense Project Catchall - Both]&gt;</t>
        </r>
      </text>
    </comment>
    <comment ref="J906" authorId="0" shapeId="0" xr:uid="{E5FB46AD-61A5-4133-AF73-B5E6AF1C1AF5}">
      <text>
        <r>
          <rPr>
            <b/>
            <sz val="9"/>
            <color indexed="81"/>
            <rFont val="Tahoma"/>
            <family val="2"/>
          </rPr>
          <t>&lt;[[DEVDeals] - [Primary Portfolio Property (Seq: 1)] - [Forecast Financials (Seq: 6)] - [Forecast Financial Line Items (Seq: 1)] L4 -06340 -001 - Legal Expense Project Catchall - Both]&gt;</t>
        </r>
      </text>
    </comment>
    <comment ref="K906" authorId="0" shapeId="0" xr:uid="{CC94738E-2341-4BFB-8E64-6421B2B34DEC}">
      <text>
        <r>
          <rPr>
            <b/>
            <sz val="9"/>
            <color indexed="81"/>
            <rFont val="Tahoma"/>
            <family val="2"/>
          </rPr>
          <t>&lt;[[DEVDeals] - [Primary Portfolio Property (Seq: 1)] - [Forecast Financials (Seq: 7)] - [Forecast Financial Line Items (Seq: 1)] L4 -06340 -001 - Legal Expense Project Catchall - Both]&gt;</t>
        </r>
      </text>
    </comment>
    <comment ref="L906" authorId="0" shapeId="0" xr:uid="{F2EAB0ED-E45F-4AD9-8E25-A3CB4259754B}">
      <text>
        <r>
          <rPr>
            <b/>
            <sz val="9"/>
            <color indexed="81"/>
            <rFont val="Tahoma"/>
            <family val="2"/>
          </rPr>
          <t>&lt;[[DEVDeals] - [Primary Portfolio Property (Seq: 1)] - [Forecast Financials (Seq: 8)] - [Forecast Financial Line Items (Seq: 1)] L4 -06340 -001 - Legal Expense Project Catchall - Both]&gt;</t>
        </r>
      </text>
    </comment>
    <comment ref="M906" authorId="0" shapeId="0" xr:uid="{E8F83FE3-3695-4AB6-AD41-1700BB046474}">
      <text>
        <r>
          <rPr>
            <b/>
            <sz val="9"/>
            <color indexed="81"/>
            <rFont val="Tahoma"/>
            <family val="2"/>
          </rPr>
          <t>&lt;[[DEVDeals] - [Primary Portfolio Property (Seq: 1)] - [Forecast Financials (Seq: 9)] - [Forecast Financial Line Items (Seq: 1)] L4 -06340 -001 - Legal Expense Project Catchall - Both]&gt;</t>
        </r>
      </text>
    </comment>
    <comment ref="N906" authorId="0" shapeId="0" xr:uid="{8C48E9F6-256C-483B-BE3B-86911412DFAE}">
      <text>
        <r>
          <rPr>
            <b/>
            <sz val="9"/>
            <color indexed="81"/>
            <rFont val="Tahoma"/>
            <family val="2"/>
          </rPr>
          <t>&lt;[[DEVDeals] - [Primary Portfolio Property (Seq: 1)] - [Forecast Financials (Seq: 10)] - [Forecast Financial Line Items (Seq: 1)] L4 -06340 -001 - Legal Expense Project Catchall - Both]&gt;</t>
        </r>
      </text>
    </comment>
    <comment ref="O906" authorId="0" shapeId="0" xr:uid="{F04B529E-862D-4921-A5E6-30733B1D9892}">
      <text>
        <r>
          <rPr>
            <b/>
            <sz val="9"/>
            <color indexed="81"/>
            <rFont val="Tahoma"/>
            <family val="2"/>
          </rPr>
          <t>&lt;[[DEVDeals] - [Primary Portfolio Property (Seq: 1)] - [Forecast Financials (Seq: 11)] - [Forecast Financial Line Items (Seq: 1)] L4 -06340 -001 - Legal Expense Project Catchall - Both]&gt;</t>
        </r>
      </text>
    </comment>
    <comment ref="P906" authorId="0" shapeId="0" xr:uid="{8A1149E2-4C1B-4697-9EE2-E2BE1B69FE38}">
      <text>
        <r>
          <rPr>
            <b/>
            <sz val="9"/>
            <color indexed="81"/>
            <rFont val="Tahoma"/>
            <family val="2"/>
          </rPr>
          <t>&lt;[[DEVDeals] - [Primary Portfolio Property (Seq: 1)] - [Forecast Financials (Seq: 12)] - [Forecast Financial Line Items (Seq: 1)] L4 -06340 -001 - Legal Expense Project Catchall - Both]&gt;</t>
        </r>
      </text>
    </comment>
    <comment ref="Q906" authorId="0" shapeId="0" xr:uid="{A90E58C4-85A8-48DA-B538-FE7AD55D1906}">
      <text>
        <r>
          <rPr>
            <b/>
            <sz val="9"/>
            <color indexed="81"/>
            <rFont val="Tahoma"/>
            <family val="2"/>
          </rPr>
          <t>&lt;[[DEVDeals] - [Primary Portfolio Property (Seq: 1)] - [Forecast Financials (Seq: 13)] - [Forecast Financial Line Items (Seq: 1)] L4 -06340 -001 - Legal Expense Project Catchall - Both]&gt;</t>
        </r>
      </text>
    </comment>
    <comment ref="R906" authorId="0" shapeId="0" xr:uid="{C8DA00B0-05DC-438F-91CA-7931AAAE2637}">
      <text>
        <r>
          <rPr>
            <b/>
            <sz val="9"/>
            <color indexed="81"/>
            <rFont val="Tahoma"/>
            <family val="2"/>
          </rPr>
          <t>&lt;[[DEVDeals] - [Primary Portfolio Property (Seq: 1)] - [Forecast Financials (Seq: 14)] - [Forecast Financial Line Items (Seq: 1)] L4 -06340 -001 - Legal Expense Project Catchall - Both]&gt;</t>
        </r>
      </text>
    </comment>
    <comment ref="S906" authorId="0" shapeId="0" xr:uid="{D2474495-3839-4358-8407-BBF5D2C9C552}">
      <text>
        <r>
          <rPr>
            <b/>
            <sz val="9"/>
            <color indexed="81"/>
            <rFont val="Tahoma"/>
            <family val="2"/>
          </rPr>
          <t>&lt;[[DEVDeals] - [Primary Portfolio Property (Seq: 1)] - [Forecast Financials (Seq: 15)] - [Forecast Financial Line Items (Seq: 1)] L4 -06340 -001 - Legal Expense Project Catchall - Both]&gt;</t>
        </r>
      </text>
    </comment>
    <comment ref="T906" authorId="0" shapeId="0" xr:uid="{4EDC3E62-1930-4E59-A49D-5DEA89FD6A55}">
      <text>
        <r>
          <rPr>
            <b/>
            <sz val="9"/>
            <color indexed="81"/>
            <rFont val="Tahoma"/>
            <family val="2"/>
          </rPr>
          <t>&lt;[[DEVDeals] - [Primary Portfolio Property (Seq: 1)] - [Forecast Financials (Seq: 16)] - [Forecast Financial Line Items (Seq: 1)] L4 -06340 -001 - Legal Expense Project Catchall - Both]&gt;</t>
        </r>
      </text>
    </comment>
    <comment ref="U906" authorId="0" shapeId="0" xr:uid="{787E2B7B-CA5D-470A-B743-21BD03560FA5}">
      <text>
        <r>
          <rPr>
            <b/>
            <sz val="9"/>
            <color indexed="81"/>
            <rFont val="Tahoma"/>
            <family val="2"/>
          </rPr>
          <t>&lt;[[DEVDeals] - [Primary Portfolio Property (Seq: 1)] - [Forecast Financials (Seq: 17)] - [Forecast Financial Line Items (Seq: 1)] L4 -06340 -001 - Legal Expense Project Catchall - Both]&gt;</t>
        </r>
      </text>
    </comment>
    <comment ref="V906" authorId="0" shapeId="0" xr:uid="{78363DD0-0793-4CD7-8D89-BC74F6370AE1}">
      <text>
        <r>
          <rPr>
            <b/>
            <sz val="9"/>
            <color indexed="81"/>
            <rFont val="Tahoma"/>
            <family val="2"/>
          </rPr>
          <t>&lt;[[DEVDeals] - [Primary Portfolio Property (Seq: 1)] - [Forecast Financials (Seq: 18)] - [Forecast Financial Line Items (Seq: 1)] L4 -06340 -001 - Legal Expense Project Catchall - Both]&gt;</t>
        </r>
      </text>
    </comment>
    <comment ref="W906" authorId="0" shapeId="0" xr:uid="{0B7E476C-2EC7-4331-B345-8D1558B8457E}">
      <text>
        <r>
          <rPr>
            <b/>
            <sz val="9"/>
            <color indexed="81"/>
            <rFont val="Tahoma"/>
            <family val="2"/>
          </rPr>
          <t>&lt;[[DEVDeals] - [Primary Portfolio Property (Seq: 1)] - [Forecast Financials (Seq: 19)] - [Forecast Financial Line Items (Seq: 1)] L4 -06340 -001 - Legal Expense Project Catchall - Both]&gt;</t>
        </r>
      </text>
    </comment>
    <comment ref="X906" authorId="0" shapeId="0" xr:uid="{64C8CB8E-F7F0-4F40-8143-657507235710}">
      <text>
        <r>
          <rPr>
            <b/>
            <sz val="9"/>
            <color indexed="81"/>
            <rFont val="Tahoma"/>
            <family val="2"/>
          </rPr>
          <t>&lt;[[DEVDeals] - [Primary Portfolio Property (Seq: 1)] - [Forecast Financials (Seq: 20)] - [Forecast Financial Line Items (Seq: 1)] L4 -06340 -001 - Legal Expense Project Catchall - Both]&gt;</t>
        </r>
      </text>
    </comment>
    <comment ref="E907" authorId="0" shapeId="0" xr:uid="{EBBCE1DC-8030-4055-8029-E63857B7B4C8}">
      <text>
        <r>
          <rPr>
            <b/>
            <sz val="9"/>
            <color indexed="81"/>
            <rFont val="Tahoma"/>
            <family val="2"/>
          </rPr>
          <t>&lt;[[DEVDeals] - [Primary Portfolio Property (Seq: 1)] - [Forecast Financials (Seq: 1)] - [Forecast Financial Line Items (Seq: 1)] L4 -06350 -001 - Audit Expense Catchall - Both]&gt;</t>
        </r>
      </text>
    </comment>
    <comment ref="F907" authorId="0" shapeId="0" xr:uid="{76EBB012-4C10-49CB-A90E-351D9387B574}">
      <text>
        <r>
          <rPr>
            <b/>
            <sz val="9"/>
            <color indexed="81"/>
            <rFont val="Tahoma"/>
            <family val="2"/>
          </rPr>
          <t>&lt;[[DEVDeals] - [Primary Portfolio Property (Seq: 1)] - [Forecast Financials (Seq: 2)] - [Forecast Financial Line Items (Seq: 1)] L4 -06350 -001 - Audit Expense Catchall - Both]&gt;</t>
        </r>
      </text>
    </comment>
    <comment ref="G907" authorId="0" shapeId="0" xr:uid="{1EE71872-5586-4A2A-AC43-452593840A60}">
      <text>
        <r>
          <rPr>
            <b/>
            <sz val="9"/>
            <color indexed="81"/>
            <rFont val="Tahoma"/>
            <family val="2"/>
          </rPr>
          <t>&lt;[[DEVDeals] - [Primary Portfolio Property (Seq: 1)] - [Forecast Financials (Seq: 3)] - [Forecast Financial Line Items (Seq: 1)] L4 -06350 -001 - Audit Expense Catchall - Both]&gt;</t>
        </r>
      </text>
    </comment>
    <comment ref="H907" authorId="0" shapeId="0" xr:uid="{9639B443-8842-4C5D-A243-272C8A5276A6}">
      <text>
        <r>
          <rPr>
            <b/>
            <sz val="9"/>
            <color indexed="81"/>
            <rFont val="Tahoma"/>
            <family val="2"/>
          </rPr>
          <t>&lt;[[DEVDeals] - [Primary Portfolio Property (Seq: 1)] - [Forecast Financials (Seq: 4)] - [Forecast Financial Line Items (Seq: 1)] L4 -06350 -001 - Audit Expense Catchall - Both]&gt;</t>
        </r>
      </text>
    </comment>
    <comment ref="I907" authorId="0" shapeId="0" xr:uid="{602F46EE-0B93-4AEC-8EC2-B2AC4BA6EBE7}">
      <text>
        <r>
          <rPr>
            <b/>
            <sz val="9"/>
            <color indexed="81"/>
            <rFont val="Tahoma"/>
            <family val="2"/>
          </rPr>
          <t>&lt;[[DEVDeals] - [Primary Portfolio Property (Seq: 1)] - [Forecast Financials (Seq: 5)] - [Forecast Financial Line Items (Seq: 1)] L4 -06350 -001 - Audit Expense Catchall - Both]&gt;</t>
        </r>
      </text>
    </comment>
    <comment ref="J907" authorId="0" shapeId="0" xr:uid="{3FC3231C-CDF9-476C-B912-21B1820B94D7}">
      <text>
        <r>
          <rPr>
            <b/>
            <sz val="9"/>
            <color indexed="81"/>
            <rFont val="Tahoma"/>
            <family val="2"/>
          </rPr>
          <t>&lt;[[DEVDeals] - [Primary Portfolio Property (Seq: 1)] - [Forecast Financials (Seq: 6)] - [Forecast Financial Line Items (Seq: 1)] L4 -06350 -001 - Audit Expense Catchall - Both]&gt;</t>
        </r>
      </text>
    </comment>
    <comment ref="K907" authorId="0" shapeId="0" xr:uid="{7CC927B0-AE3E-4A1E-B7B9-B96702440D03}">
      <text>
        <r>
          <rPr>
            <b/>
            <sz val="9"/>
            <color indexed="81"/>
            <rFont val="Tahoma"/>
            <family val="2"/>
          </rPr>
          <t>&lt;[[DEVDeals] - [Primary Portfolio Property (Seq: 1)] - [Forecast Financials (Seq: 7)] - [Forecast Financial Line Items (Seq: 1)] L4 -06350 -001 - Audit Expense Catchall - Both]&gt;</t>
        </r>
      </text>
    </comment>
    <comment ref="L907" authorId="0" shapeId="0" xr:uid="{559DA971-1115-4A8E-8818-BA928A04170F}">
      <text>
        <r>
          <rPr>
            <b/>
            <sz val="9"/>
            <color indexed="81"/>
            <rFont val="Tahoma"/>
            <family val="2"/>
          </rPr>
          <t>&lt;[[DEVDeals] - [Primary Portfolio Property (Seq: 1)] - [Forecast Financials (Seq: 8)] - [Forecast Financial Line Items (Seq: 1)] L4 -06350 -001 - Audit Expense Catchall - Both]&gt;</t>
        </r>
      </text>
    </comment>
    <comment ref="M907" authorId="0" shapeId="0" xr:uid="{918D047E-D1C5-4AE8-8BC4-BD11FB35601B}">
      <text>
        <r>
          <rPr>
            <b/>
            <sz val="9"/>
            <color indexed="81"/>
            <rFont val="Tahoma"/>
            <family val="2"/>
          </rPr>
          <t>&lt;[[DEVDeals] - [Primary Portfolio Property (Seq: 1)] - [Forecast Financials (Seq: 9)] - [Forecast Financial Line Items (Seq: 1)] L4 -06350 -001 - Audit Expense Catchall - Both]&gt;</t>
        </r>
      </text>
    </comment>
    <comment ref="N907" authorId="0" shapeId="0" xr:uid="{D0CBD4A5-4C0A-4277-B922-E3CA4CD32225}">
      <text>
        <r>
          <rPr>
            <b/>
            <sz val="9"/>
            <color indexed="81"/>
            <rFont val="Tahoma"/>
            <family val="2"/>
          </rPr>
          <t>&lt;[[DEVDeals] - [Primary Portfolio Property (Seq: 1)] - [Forecast Financials (Seq: 10)] - [Forecast Financial Line Items (Seq: 1)] L4 -06350 -001 - Audit Expense Catchall - Both]&gt;</t>
        </r>
      </text>
    </comment>
    <comment ref="O907" authorId="0" shapeId="0" xr:uid="{35BE38B5-AB47-492F-BD17-8C15C423F59C}">
      <text>
        <r>
          <rPr>
            <b/>
            <sz val="9"/>
            <color indexed="81"/>
            <rFont val="Tahoma"/>
            <family val="2"/>
          </rPr>
          <t>&lt;[[DEVDeals] - [Primary Portfolio Property (Seq: 1)] - [Forecast Financials (Seq: 11)] - [Forecast Financial Line Items (Seq: 1)] L4 -06350 -001 - Audit Expense Catchall - Both]&gt;</t>
        </r>
      </text>
    </comment>
    <comment ref="P907" authorId="0" shapeId="0" xr:uid="{078A7BCD-94F6-4AD6-BC54-A39DC62C9DF5}">
      <text>
        <r>
          <rPr>
            <b/>
            <sz val="9"/>
            <color indexed="81"/>
            <rFont val="Tahoma"/>
            <family val="2"/>
          </rPr>
          <t>&lt;[[DEVDeals] - [Primary Portfolio Property (Seq: 1)] - [Forecast Financials (Seq: 12)] - [Forecast Financial Line Items (Seq: 1)] L4 -06350 -001 - Audit Expense Catchall - Both]&gt;</t>
        </r>
      </text>
    </comment>
    <comment ref="Q907" authorId="0" shapeId="0" xr:uid="{35DDC251-171D-46CF-889E-CD8DF6F5737B}">
      <text>
        <r>
          <rPr>
            <b/>
            <sz val="9"/>
            <color indexed="81"/>
            <rFont val="Tahoma"/>
            <family val="2"/>
          </rPr>
          <t>&lt;[[DEVDeals] - [Primary Portfolio Property (Seq: 1)] - [Forecast Financials (Seq: 13)] - [Forecast Financial Line Items (Seq: 1)] L4 -06350 -001 - Audit Expense Catchall - Both]&gt;</t>
        </r>
      </text>
    </comment>
    <comment ref="R907" authorId="0" shapeId="0" xr:uid="{AB05E495-9D57-47EA-AD28-36E3E924C3B9}">
      <text>
        <r>
          <rPr>
            <b/>
            <sz val="9"/>
            <color indexed="81"/>
            <rFont val="Tahoma"/>
            <family val="2"/>
          </rPr>
          <t>&lt;[[DEVDeals] - [Primary Portfolio Property (Seq: 1)] - [Forecast Financials (Seq: 14)] - [Forecast Financial Line Items (Seq: 1)] L4 -06350 -001 - Audit Expense Catchall - Both]&gt;</t>
        </r>
      </text>
    </comment>
    <comment ref="S907" authorId="0" shapeId="0" xr:uid="{F6738AC4-0FCB-41FB-BE17-F3100E6B635B}">
      <text>
        <r>
          <rPr>
            <b/>
            <sz val="9"/>
            <color indexed="81"/>
            <rFont val="Tahoma"/>
            <family val="2"/>
          </rPr>
          <t>&lt;[[DEVDeals] - [Primary Portfolio Property (Seq: 1)] - [Forecast Financials (Seq: 15)] - [Forecast Financial Line Items (Seq: 1)] L4 -06350 -001 - Audit Expense Catchall - Both]&gt;</t>
        </r>
      </text>
    </comment>
    <comment ref="T907" authorId="0" shapeId="0" xr:uid="{8A3FBBC6-0DDE-4B93-B4D9-C494895F0A5C}">
      <text>
        <r>
          <rPr>
            <b/>
            <sz val="9"/>
            <color indexed="81"/>
            <rFont val="Tahoma"/>
            <family val="2"/>
          </rPr>
          <t>&lt;[[DEVDeals] - [Primary Portfolio Property (Seq: 1)] - [Forecast Financials (Seq: 16)] - [Forecast Financial Line Items (Seq: 1)] L4 -06350 -001 - Audit Expense Catchall - Both]&gt;</t>
        </r>
      </text>
    </comment>
    <comment ref="U907" authorId="0" shapeId="0" xr:uid="{768E40A7-0CBB-4A81-9C62-74D970D69227}">
      <text>
        <r>
          <rPr>
            <b/>
            <sz val="9"/>
            <color indexed="81"/>
            <rFont val="Tahoma"/>
            <family val="2"/>
          </rPr>
          <t>&lt;[[DEVDeals] - [Primary Portfolio Property (Seq: 1)] - [Forecast Financials (Seq: 17)] - [Forecast Financial Line Items (Seq: 1)] L4 -06350 -001 - Audit Expense Catchall - Both]&gt;</t>
        </r>
      </text>
    </comment>
    <comment ref="V907" authorId="0" shapeId="0" xr:uid="{DB7AF4E5-7BF0-4AC2-8683-15C6EFC3DE16}">
      <text>
        <r>
          <rPr>
            <b/>
            <sz val="9"/>
            <color indexed="81"/>
            <rFont val="Tahoma"/>
            <family val="2"/>
          </rPr>
          <t>&lt;[[DEVDeals] - [Primary Portfolio Property (Seq: 1)] - [Forecast Financials (Seq: 18)] - [Forecast Financial Line Items (Seq: 1)] L4 -06350 -001 - Audit Expense Catchall - Both]&gt;</t>
        </r>
      </text>
    </comment>
    <comment ref="W907" authorId="0" shapeId="0" xr:uid="{136E80E5-08DB-4114-BC70-DFF19F5430F9}">
      <text>
        <r>
          <rPr>
            <b/>
            <sz val="9"/>
            <color indexed="81"/>
            <rFont val="Tahoma"/>
            <family val="2"/>
          </rPr>
          <t>&lt;[[DEVDeals] - [Primary Portfolio Property (Seq: 1)] - [Forecast Financials (Seq: 19)] - [Forecast Financial Line Items (Seq: 1)] L4 -06350 -001 - Audit Expense Catchall - Both]&gt;</t>
        </r>
      </text>
    </comment>
    <comment ref="X907" authorId="0" shapeId="0" xr:uid="{87633CB2-59AD-4CD9-B10C-80C478C91440}">
      <text>
        <r>
          <rPr>
            <b/>
            <sz val="9"/>
            <color indexed="81"/>
            <rFont val="Tahoma"/>
            <family val="2"/>
          </rPr>
          <t>&lt;[[DEVDeals] - [Primary Portfolio Property (Seq: 1)] - [Forecast Financials (Seq: 20)] - [Forecast Financial Line Items (Seq: 1)] L4 -06350 -001 - Audit Expense Catchall - Both]&gt;</t>
        </r>
      </text>
    </comment>
    <comment ref="E908" authorId="0" shapeId="0" xr:uid="{124873D2-D0CF-44CF-946A-28788D32F713}">
      <text>
        <r>
          <rPr>
            <b/>
            <sz val="9"/>
            <color indexed="81"/>
            <rFont val="Tahoma"/>
            <family val="2"/>
          </rPr>
          <t>&lt;[[DEVDeals] - [Primary Portfolio Property (Seq: 1)] - [Forecast Financials (Seq: 1)] - [Forecast Financial Line Items (Seq: 1)] L4 -06351 -001 - Bookkeeping Feesand Accounting Service Catchall - Both]&gt;</t>
        </r>
      </text>
    </comment>
    <comment ref="F908" authorId="0" shapeId="0" xr:uid="{5DF8BE40-531B-4416-812B-195178266BB8}">
      <text>
        <r>
          <rPr>
            <b/>
            <sz val="9"/>
            <color indexed="81"/>
            <rFont val="Tahoma"/>
            <family val="2"/>
          </rPr>
          <t>&lt;[[DEVDeals] - [Primary Portfolio Property (Seq: 1)] - [Forecast Financials (Seq: 2)] - [Forecast Financial Line Items (Seq: 1)] L4 -06351 -001 - Bookkeeping Feesand Accounting Service Catchall - Both]&gt;</t>
        </r>
      </text>
    </comment>
    <comment ref="G908" authorId="0" shapeId="0" xr:uid="{F7E896FD-9E21-46F9-B64B-8CFBA35A5E31}">
      <text>
        <r>
          <rPr>
            <b/>
            <sz val="9"/>
            <color indexed="81"/>
            <rFont val="Tahoma"/>
            <family val="2"/>
          </rPr>
          <t>&lt;[[DEVDeals] - [Primary Portfolio Property (Seq: 1)] - [Forecast Financials (Seq: 3)] - [Forecast Financial Line Items (Seq: 1)] L4 -06351 -001 - Bookkeeping Feesand Accounting Service Catchall - Both]&gt;</t>
        </r>
      </text>
    </comment>
    <comment ref="H908" authorId="0" shapeId="0" xr:uid="{C0D9C7E9-96D2-4892-AA18-FABE5EA0ED01}">
      <text>
        <r>
          <rPr>
            <b/>
            <sz val="9"/>
            <color indexed="81"/>
            <rFont val="Tahoma"/>
            <family val="2"/>
          </rPr>
          <t>&lt;[[DEVDeals] - [Primary Portfolio Property (Seq: 1)] - [Forecast Financials (Seq: 4)] - [Forecast Financial Line Items (Seq: 1)] L4 -06351 -001 - Bookkeeping Feesand Accounting Service Catchall - Both]&gt;</t>
        </r>
      </text>
    </comment>
    <comment ref="I908" authorId="0" shapeId="0" xr:uid="{DE6D9DC7-A09D-48CC-B178-8062B5CD3B0B}">
      <text>
        <r>
          <rPr>
            <b/>
            <sz val="9"/>
            <color indexed="81"/>
            <rFont val="Tahoma"/>
            <family val="2"/>
          </rPr>
          <t>&lt;[[DEVDeals] - [Primary Portfolio Property (Seq: 1)] - [Forecast Financials (Seq: 5)] - [Forecast Financial Line Items (Seq: 1)] L4 -06351 -001 - Bookkeeping Feesand Accounting Service Catchall - Both]&gt;</t>
        </r>
      </text>
    </comment>
    <comment ref="J908" authorId="0" shapeId="0" xr:uid="{357F9C9F-3B8A-4011-8228-C3441353D30D}">
      <text>
        <r>
          <rPr>
            <b/>
            <sz val="9"/>
            <color indexed="81"/>
            <rFont val="Tahoma"/>
            <family val="2"/>
          </rPr>
          <t>&lt;[[DEVDeals] - [Primary Portfolio Property (Seq: 1)] - [Forecast Financials (Seq: 6)] - [Forecast Financial Line Items (Seq: 1)] L4 -06351 -001 - Bookkeeping Feesand Accounting Service Catchall - Both]&gt;</t>
        </r>
      </text>
    </comment>
    <comment ref="K908" authorId="0" shapeId="0" xr:uid="{210E6382-AE64-44CC-B8A4-764C9E1EF164}">
      <text>
        <r>
          <rPr>
            <b/>
            <sz val="9"/>
            <color indexed="81"/>
            <rFont val="Tahoma"/>
            <family val="2"/>
          </rPr>
          <t>&lt;[[DEVDeals] - [Primary Portfolio Property (Seq: 1)] - [Forecast Financials (Seq: 7)] - [Forecast Financial Line Items (Seq: 1)] L4 -06351 -001 - Bookkeeping Feesand Accounting Service Catchall - Both]&gt;</t>
        </r>
      </text>
    </comment>
    <comment ref="L908" authorId="0" shapeId="0" xr:uid="{3E2CAB27-49CA-4A0D-BA4F-3995C31CDD8E}">
      <text>
        <r>
          <rPr>
            <b/>
            <sz val="9"/>
            <color indexed="81"/>
            <rFont val="Tahoma"/>
            <family val="2"/>
          </rPr>
          <t>&lt;[[DEVDeals] - [Primary Portfolio Property (Seq: 1)] - [Forecast Financials (Seq: 8)] - [Forecast Financial Line Items (Seq: 1)] L4 -06351 -001 - Bookkeeping Feesand Accounting Service Catchall - Both]&gt;</t>
        </r>
      </text>
    </comment>
    <comment ref="M908" authorId="0" shapeId="0" xr:uid="{70A21DA2-3120-4B83-B76D-3FFE62168659}">
      <text>
        <r>
          <rPr>
            <b/>
            <sz val="9"/>
            <color indexed="81"/>
            <rFont val="Tahoma"/>
            <family val="2"/>
          </rPr>
          <t>&lt;[[DEVDeals] - [Primary Portfolio Property (Seq: 1)] - [Forecast Financials (Seq: 9)] - [Forecast Financial Line Items (Seq: 1)] L4 -06351 -001 - Bookkeeping Feesand Accounting Service Catchall - Both]&gt;</t>
        </r>
      </text>
    </comment>
    <comment ref="N908" authorId="0" shapeId="0" xr:uid="{BC6CE56E-C8F2-4E2B-8B05-54E687148DB2}">
      <text>
        <r>
          <rPr>
            <b/>
            <sz val="9"/>
            <color indexed="81"/>
            <rFont val="Tahoma"/>
            <family val="2"/>
          </rPr>
          <t>&lt;[[DEVDeals] - [Primary Portfolio Property (Seq: 1)] - [Forecast Financials (Seq: 10)] - [Forecast Financial Line Items (Seq: 1)] L4 -06351 -001 - Bookkeeping Feesand Accounting Service Catchall - Both]&gt;</t>
        </r>
      </text>
    </comment>
    <comment ref="O908" authorId="0" shapeId="0" xr:uid="{71DBBAC8-04C6-4DAD-9C4A-1C026C338223}">
      <text>
        <r>
          <rPr>
            <b/>
            <sz val="9"/>
            <color indexed="81"/>
            <rFont val="Tahoma"/>
            <family val="2"/>
          </rPr>
          <t>&lt;[[DEVDeals] - [Primary Portfolio Property (Seq: 1)] - [Forecast Financials (Seq: 11)] - [Forecast Financial Line Items (Seq: 1)] L4 -06351 -001 - Bookkeeping Feesand Accounting Service Catchall - Both]&gt;</t>
        </r>
      </text>
    </comment>
    <comment ref="P908" authorId="0" shapeId="0" xr:uid="{61C6C98C-5870-47BB-8FB2-F4C0373EECEF}">
      <text>
        <r>
          <rPr>
            <b/>
            <sz val="9"/>
            <color indexed="81"/>
            <rFont val="Tahoma"/>
            <family val="2"/>
          </rPr>
          <t>&lt;[[DEVDeals] - [Primary Portfolio Property (Seq: 1)] - [Forecast Financials (Seq: 12)] - [Forecast Financial Line Items (Seq: 1)] L4 -06351 -001 - Bookkeeping Feesand Accounting Service Catchall - Both]&gt;</t>
        </r>
      </text>
    </comment>
    <comment ref="Q908" authorId="0" shapeId="0" xr:uid="{917B3FFD-1435-4DDF-B734-52005EFAF13E}">
      <text>
        <r>
          <rPr>
            <b/>
            <sz val="9"/>
            <color indexed="81"/>
            <rFont val="Tahoma"/>
            <family val="2"/>
          </rPr>
          <t>&lt;[[DEVDeals] - [Primary Portfolio Property (Seq: 1)] - [Forecast Financials (Seq: 13)] - [Forecast Financial Line Items (Seq: 1)] L4 -06351 -001 - Bookkeeping Feesand Accounting Service Catchall - Both]&gt;</t>
        </r>
      </text>
    </comment>
    <comment ref="R908" authorId="0" shapeId="0" xr:uid="{6733FE89-887F-457D-AA12-5AEF1F6B3B54}">
      <text>
        <r>
          <rPr>
            <b/>
            <sz val="9"/>
            <color indexed="81"/>
            <rFont val="Tahoma"/>
            <family val="2"/>
          </rPr>
          <t>&lt;[[DEVDeals] - [Primary Portfolio Property (Seq: 1)] - [Forecast Financials (Seq: 14)] - [Forecast Financial Line Items (Seq: 1)] L4 -06351 -001 - Bookkeeping Feesand Accounting Service Catchall - Both]&gt;</t>
        </r>
      </text>
    </comment>
    <comment ref="S908" authorId="0" shapeId="0" xr:uid="{9A35760F-D51F-4BA7-8B02-A4762074456B}">
      <text>
        <r>
          <rPr>
            <b/>
            <sz val="9"/>
            <color indexed="81"/>
            <rFont val="Tahoma"/>
            <family val="2"/>
          </rPr>
          <t>&lt;[[DEVDeals] - [Primary Portfolio Property (Seq: 1)] - [Forecast Financials (Seq: 15)] - [Forecast Financial Line Items (Seq: 1)] L4 -06351 -001 - Bookkeeping Feesand Accounting Service Catchall - Both]&gt;</t>
        </r>
      </text>
    </comment>
    <comment ref="T908" authorId="0" shapeId="0" xr:uid="{88C8B2D3-E0B4-40F1-9DCE-71692FCB9941}">
      <text>
        <r>
          <rPr>
            <b/>
            <sz val="9"/>
            <color indexed="81"/>
            <rFont val="Tahoma"/>
            <family val="2"/>
          </rPr>
          <t>&lt;[[DEVDeals] - [Primary Portfolio Property (Seq: 1)] - [Forecast Financials (Seq: 16)] - [Forecast Financial Line Items (Seq: 1)] L4 -06351 -001 - Bookkeeping Feesand Accounting Service Catchall - Both]&gt;</t>
        </r>
      </text>
    </comment>
    <comment ref="U908" authorId="0" shapeId="0" xr:uid="{23A16050-9780-455E-84B9-17A2F35AD350}">
      <text>
        <r>
          <rPr>
            <b/>
            <sz val="9"/>
            <color indexed="81"/>
            <rFont val="Tahoma"/>
            <family val="2"/>
          </rPr>
          <t>&lt;[[DEVDeals] - [Primary Portfolio Property (Seq: 1)] - [Forecast Financials (Seq: 17)] - [Forecast Financial Line Items (Seq: 1)] L4 -06351 -001 - Bookkeeping Feesand Accounting Service Catchall - Both]&gt;</t>
        </r>
      </text>
    </comment>
    <comment ref="V908" authorId="0" shapeId="0" xr:uid="{80537091-B711-4749-9D79-D4B20B7A3CEA}">
      <text>
        <r>
          <rPr>
            <b/>
            <sz val="9"/>
            <color indexed="81"/>
            <rFont val="Tahoma"/>
            <family val="2"/>
          </rPr>
          <t>&lt;[[DEVDeals] - [Primary Portfolio Property (Seq: 1)] - [Forecast Financials (Seq: 18)] - [Forecast Financial Line Items (Seq: 1)] L4 -06351 -001 - Bookkeeping Feesand Accounting Service Catchall - Both]&gt;</t>
        </r>
      </text>
    </comment>
    <comment ref="W908" authorId="0" shapeId="0" xr:uid="{04F8BBAD-CD5E-4089-AC06-64C91DCF8315}">
      <text>
        <r>
          <rPr>
            <b/>
            <sz val="9"/>
            <color indexed="81"/>
            <rFont val="Tahoma"/>
            <family val="2"/>
          </rPr>
          <t>&lt;[[DEVDeals] - [Primary Portfolio Property (Seq: 1)] - [Forecast Financials (Seq: 19)] - [Forecast Financial Line Items (Seq: 1)] L4 -06351 -001 - Bookkeeping Feesand Accounting Service Catchall - Both]&gt;</t>
        </r>
      </text>
    </comment>
    <comment ref="X908" authorId="0" shapeId="0" xr:uid="{737F49E4-B570-401F-B90F-5D32945EDCFD}">
      <text>
        <r>
          <rPr>
            <b/>
            <sz val="9"/>
            <color indexed="81"/>
            <rFont val="Tahoma"/>
            <family val="2"/>
          </rPr>
          <t>&lt;[[DEVDeals] - [Primary Portfolio Property (Seq: 1)] - [Forecast Financials (Seq: 20)] - [Forecast Financial Line Items (Seq: 1)] L4 -06351 -001 - Bookkeeping Feesand Accounting Service Catchall - Both]&gt;</t>
        </r>
      </text>
    </comment>
    <comment ref="E909" authorId="0" shapeId="0" xr:uid="{34A66069-9609-4E10-85F8-BCBB05C73D2B}">
      <text>
        <r>
          <rPr>
            <b/>
            <sz val="9"/>
            <color indexed="81"/>
            <rFont val="Tahoma"/>
            <family val="2"/>
          </rPr>
          <t>&lt;[[DEVDeals] - [Primary Portfolio Property (Seq: 1)] - [Forecast Financials (Seq: 1)] - [Forecast Financial Line Items (Seq: 1)] L4 -06360 -001 - Telephoneand Answering Service Catchall - Both]&gt;</t>
        </r>
      </text>
    </comment>
    <comment ref="F909" authorId="0" shapeId="0" xr:uid="{7CD61D1C-7D94-46E1-82C9-1659A27B769F}">
      <text>
        <r>
          <rPr>
            <b/>
            <sz val="9"/>
            <color indexed="81"/>
            <rFont val="Tahoma"/>
            <family val="2"/>
          </rPr>
          <t>&lt;[[DEVDeals] - [Primary Portfolio Property (Seq: 1)] - [Forecast Financials (Seq: 2)] - [Forecast Financial Line Items (Seq: 1)] L4 -06360 -001 - Telephoneand Answering Service Catchall - Both]&gt;</t>
        </r>
      </text>
    </comment>
    <comment ref="G909" authorId="0" shapeId="0" xr:uid="{8C9F132A-9FA1-4BFC-8494-8416E4DCB10B}">
      <text>
        <r>
          <rPr>
            <b/>
            <sz val="9"/>
            <color indexed="81"/>
            <rFont val="Tahoma"/>
            <family val="2"/>
          </rPr>
          <t>&lt;[[DEVDeals] - [Primary Portfolio Property (Seq: 1)] - [Forecast Financials (Seq: 3)] - [Forecast Financial Line Items (Seq: 1)] L4 -06360 -001 - Telephoneand Answering Service Catchall - Both]&gt;</t>
        </r>
      </text>
    </comment>
    <comment ref="H909" authorId="0" shapeId="0" xr:uid="{A5284D6B-F0D5-4536-A229-69364126A21B}">
      <text>
        <r>
          <rPr>
            <b/>
            <sz val="9"/>
            <color indexed="81"/>
            <rFont val="Tahoma"/>
            <family val="2"/>
          </rPr>
          <t>&lt;[[DEVDeals] - [Primary Portfolio Property (Seq: 1)] - [Forecast Financials (Seq: 4)] - [Forecast Financial Line Items (Seq: 1)] L4 -06360 -001 - Telephoneand Answering Service Catchall - Both]&gt;</t>
        </r>
      </text>
    </comment>
    <comment ref="I909" authorId="0" shapeId="0" xr:uid="{DD83DDC0-141F-4A3F-BA27-DA65D92DBA2A}">
      <text>
        <r>
          <rPr>
            <b/>
            <sz val="9"/>
            <color indexed="81"/>
            <rFont val="Tahoma"/>
            <family val="2"/>
          </rPr>
          <t>&lt;[[DEVDeals] - [Primary Portfolio Property (Seq: 1)] - [Forecast Financials (Seq: 5)] - [Forecast Financial Line Items (Seq: 1)] L4 -06360 -001 - Telephoneand Answering Service Catchall - Both]&gt;</t>
        </r>
      </text>
    </comment>
    <comment ref="J909" authorId="0" shapeId="0" xr:uid="{009A4F7C-2070-4D5B-AD14-317CEC173647}">
      <text>
        <r>
          <rPr>
            <b/>
            <sz val="9"/>
            <color indexed="81"/>
            <rFont val="Tahoma"/>
            <family val="2"/>
          </rPr>
          <t>&lt;[[DEVDeals] - [Primary Portfolio Property (Seq: 1)] - [Forecast Financials (Seq: 6)] - [Forecast Financial Line Items (Seq: 1)] L4 -06360 -001 - Telephoneand Answering Service Catchall - Both]&gt;</t>
        </r>
      </text>
    </comment>
    <comment ref="K909" authorId="0" shapeId="0" xr:uid="{67D841C6-8313-4A73-82D0-D2C4FBD263C9}">
      <text>
        <r>
          <rPr>
            <b/>
            <sz val="9"/>
            <color indexed="81"/>
            <rFont val="Tahoma"/>
            <family val="2"/>
          </rPr>
          <t>&lt;[[DEVDeals] - [Primary Portfolio Property (Seq: 1)] - [Forecast Financials (Seq: 7)] - [Forecast Financial Line Items (Seq: 1)] L4 -06360 -001 - Telephoneand Answering Service Catchall - Both]&gt;</t>
        </r>
      </text>
    </comment>
    <comment ref="L909" authorId="0" shapeId="0" xr:uid="{BBF6D2E2-A0F6-421D-B95C-1F6A94BA7250}">
      <text>
        <r>
          <rPr>
            <b/>
            <sz val="9"/>
            <color indexed="81"/>
            <rFont val="Tahoma"/>
            <family val="2"/>
          </rPr>
          <t>&lt;[[DEVDeals] - [Primary Portfolio Property (Seq: 1)] - [Forecast Financials (Seq: 8)] - [Forecast Financial Line Items (Seq: 1)] L4 -06360 -001 - Telephoneand Answering Service Catchall - Both]&gt;</t>
        </r>
      </text>
    </comment>
    <comment ref="M909" authorId="0" shapeId="0" xr:uid="{AC19E30D-366B-408A-BD66-A7C888FEB460}">
      <text>
        <r>
          <rPr>
            <b/>
            <sz val="9"/>
            <color indexed="81"/>
            <rFont val="Tahoma"/>
            <family val="2"/>
          </rPr>
          <t>&lt;[[DEVDeals] - [Primary Portfolio Property (Seq: 1)] - [Forecast Financials (Seq: 9)] - [Forecast Financial Line Items (Seq: 1)] L4 -06360 -001 - Telephoneand Answering Service Catchall - Both]&gt;</t>
        </r>
      </text>
    </comment>
    <comment ref="N909" authorId="0" shapeId="0" xr:uid="{9E37C0BC-E5CA-42E1-BFAF-D87985021D73}">
      <text>
        <r>
          <rPr>
            <b/>
            <sz val="9"/>
            <color indexed="81"/>
            <rFont val="Tahoma"/>
            <family val="2"/>
          </rPr>
          <t>&lt;[[DEVDeals] - [Primary Portfolio Property (Seq: 1)] - [Forecast Financials (Seq: 10)] - [Forecast Financial Line Items (Seq: 1)] L4 -06360 -001 - Telephoneand Answering Service Catchall - Both]&gt;</t>
        </r>
      </text>
    </comment>
    <comment ref="O909" authorId="0" shapeId="0" xr:uid="{8A9C68F1-7FFB-43C1-A0EF-DB9D3B14466D}">
      <text>
        <r>
          <rPr>
            <b/>
            <sz val="9"/>
            <color indexed="81"/>
            <rFont val="Tahoma"/>
            <family val="2"/>
          </rPr>
          <t>&lt;[[DEVDeals] - [Primary Portfolio Property (Seq: 1)] - [Forecast Financials (Seq: 11)] - [Forecast Financial Line Items (Seq: 1)] L4 -06360 -001 - Telephoneand Answering Service Catchall - Both]&gt;</t>
        </r>
      </text>
    </comment>
    <comment ref="P909" authorId="0" shapeId="0" xr:uid="{F4B9C4D6-B94A-496E-BD16-46669447BEA3}">
      <text>
        <r>
          <rPr>
            <b/>
            <sz val="9"/>
            <color indexed="81"/>
            <rFont val="Tahoma"/>
            <family val="2"/>
          </rPr>
          <t>&lt;[[DEVDeals] - [Primary Portfolio Property (Seq: 1)] - [Forecast Financials (Seq: 12)] - [Forecast Financial Line Items (Seq: 1)] L4 -06360 -001 - Telephoneand Answering Service Catchall - Both]&gt;</t>
        </r>
      </text>
    </comment>
    <comment ref="Q909" authorId="0" shapeId="0" xr:uid="{2936B654-BB7B-4A1C-9B22-575DECE8ED87}">
      <text>
        <r>
          <rPr>
            <b/>
            <sz val="9"/>
            <color indexed="81"/>
            <rFont val="Tahoma"/>
            <family val="2"/>
          </rPr>
          <t>&lt;[[DEVDeals] - [Primary Portfolio Property (Seq: 1)] - [Forecast Financials (Seq: 13)] - [Forecast Financial Line Items (Seq: 1)] L4 -06360 -001 - Telephoneand Answering Service Catchall - Both]&gt;</t>
        </r>
      </text>
    </comment>
    <comment ref="R909" authorId="0" shapeId="0" xr:uid="{A64F2678-85C8-4328-9D90-625B898B656E}">
      <text>
        <r>
          <rPr>
            <b/>
            <sz val="9"/>
            <color indexed="81"/>
            <rFont val="Tahoma"/>
            <family val="2"/>
          </rPr>
          <t>&lt;[[DEVDeals] - [Primary Portfolio Property (Seq: 1)] - [Forecast Financials (Seq: 14)] - [Forecast Financial Line Items (Seq: 1)] L4 -06360 -001 - Telephoneand Answering Service Catchall - Both]&gt;</t>
        </r>
      </text>
    </comment>
    <comment ref="S909" authorId="0" shapeId="0" xr:uid="{81E21BF6-6D12-4E89-AC85-42108A2C688B}">
      <text>
        <r>
          <rPr>
            <b/>
            <sz val="9"/>
            <color indexed="81"/>
            <rFont val="Tahoma"/>
            <family val="2"/>
          </rPr>
          <t>&lt;[[DEVDeals] - [Primary Portfolio Property (Seq: 1)] - [Forecast Financials (Seq: 15)] - [Forecast Financial Line Items (Seq: 1)] L4 -06360 -001 - Telephoneand Answering Service Catchall - Both]&gt;</t>
        </r>
      </text>
    </comment>
    <comment ref="T909" authorId="0" shapeId="0" xr:uid="{146AA495-7580-4111-823B-392C928DD7C0}">
      <text>
        <r>
          <rPr>
            <b/>
            <sz val="9"/>
            <color indexed="81"/>
            <rFont val="Tahoma"/>
            <family val="2"/>
          </rPr>
          <t>&lt;[[DEVDeals] - [Primary Portfolio Property (Seq: 1)] - [Forecast Financials (Seq: 16)] - [Forecast Financial Line Items (Seq: 1)] L4 -06360 -001 - Telephoneand Answering Service Catchall - Both]&gt;</t>
        </r>
      </text>
    </comment>
    <comment ref="U909" authorId="0" shapeId="0" xr:uid="{58C0BCF9-3A4C-4AC1-A075-AF5D1B01E934}">
      <text>
        <r>
          <rPr>
            <b/>
            <sz val="9"/>
            <color indexed="81"/>
            <rFont val="Tahoma"/>
            <family val="2"/>
          </rPr>
          <t>&lt;[[DEVDeals] - [Primary Portfolio Property (Seq: 1)] - [Forecast Financials (Seq: 17)] - [Forecast Financial Line Items (Seq: 1)] L4 -06360 -001 - Telephoneand Answering Service Catchall - Both]&gt;</t>
        </r>
      </text>
    </comment>
    <comment ref="V909" authorId="0" shapeId="0" xr:uid="{87A8B0C6-85F5-4CD8-84E7-9060D9AB84E4}">
      <text>
        <r>
          <rPr>
            <b/>
            <sz val="9"/>
            <color indexed="81"/>
            <rFont val="Tahoma"/>
            <family val="2"/>
          </rPr>
          <t>&lt;[[DEVDeals] - [Primary Portfolio Property (Seq: 1)] - [Forecast Financials (Seq: 18)] - [Forecast Financial Line Items (Seq: 1)] L4 -06360 -001 - Telephoneand Answering Service Catchall - Both]&gt;</t>
        </r>
      </text>
    </comment>
    <comment ref="W909" authorId="0" shapeId="0" xr:uid="{46143B89-1CD4-4C3D-A971-BF2A4081330C}">
      <text>
        <r>
          <rPr>
            <b/>
            <sz val="9"/>
            <color indexed="81"/>
            <rFont val="Tahoma"/>
            <family val="2"/>
          </rPr>
          <t>&lt;[[DEVDeals] - [Primary Portfolio Property (Seq: 1)] - [Forecast Financials (Seq: 19)] - [Forecast Financial Line Items (Seq: 1)] L4 -06360 -001 - Telephoneand Answering Service Catchall - Both]&gt;</t>
        </r>
      </text>
    </comment>
    <comment ref="X909" authorId="0" shapeId="0" xr:uid="{E3A40283-B5EF-46F2-BBDC-D37F45C46DD5}">
      <text>
        <r>
          <rPr>
            <b/>
            <sz val="9"/>
            <color indexed="81"/>
            <rFont val="Tahoma"/>
            <family val="2"/>
          </rPr>
          <t>&lt;[[DEVDeals] - [Primary Portfolio Property (Seq: 1)] - [Forecast Financials (Seq: 20)] - [Forecast Financial Line Items (Seq: 1)] L4 -06360 -001 - Telephoneand Answering Service Catchall - Both]&gt;</t>
        </r>
      </text>
    </comment>
    <comment ref="E910" authorId="0" shapeId="0" xr:uid="{75792466-70F1-4295-80BD-508A41D401CB}">
      <text>
        <r>
          <rPr>
            <b/>
            <sz val="9"/>
            <color indexed="81"/>
            <rFont val="Tahoma"/>
            <family val="2"/>
          </rPr>
          <t>&lt;[[DEVDeals] - [Primary Portfolio Property (Seq: 1)] - [Forecast Financials (Seq: 1)] - [Forecast Financial Line Items (Seq: 1)] L4 -06370 -001 - Bad Debts Catchall - Both]&gt;</t>
        </r>
      </text>
    </comment>
    <comment ref="F910" authorId="0" shapeId="0" xr:uid="{47547AE8-7221-4285-B9BE-3E00D0111264}">
      <text>
        <r>
          <rPr>
            <b/>
            <sz val="9"/>
            <color indexed="81"/>
            <rFont val="Tahoma"/>
            <family val="2"/>
          </rPr>
          <t>&lt;[[DEVDeals] - [Primary Portfolio Property (Seq: 1)] - [Forecast Financials (Seq: 2)] - [Forecast Financial Line Items (Seq: 1)] L4 -06370 -001 - Bad Debts Catchall - Both]&gt;</t>
        </r>
      </text>
    </comment>
    <comment ref="G910" authorId="0" shapeId="0" xr:uid="{758AAC03-072E-45B5-9173-F95A1C548ECA}">
      <text>
        <r>
          <rPr>
            <b/>
            <sz val="9"/>
            <color indexed="81"/>
            <rFont val="Tahoma"/>
            <family val="2"/>
          </rPr>
          <t>&lt;[[DEVDeals] - [Primary Portfolio Property (Seq: 1)] - [Forecast Financials (Seq: 3)] - [Forecast Financial Line Items (Seq: 1)] L4 -06370 -001 - Bad Debts Catchall - Both]&gt;</t>
        </r>
      </text>
    </comment>
    <comment ref="H910" authorId="0" shapeId="0" xr:uid="{115D3407-0AFF-45C2-B040-8CB3576B3425}">
      <text>
        <r>
          <rPr>
            <b/>
            <sz val="9"/>
            <color indexed="81"/>
            <rFont val="Tahoma"/>
            <family val="2"/>
          </rPr>
          <t>&lt;[[DEVDeals] - [Primary Portfolio Property (Seq: 1)] - [Forecast Financials (Seq: 4)] - [Forecast Financial Line Items (Seq: 1)] L4 -06370 -001 - Bad Debts Catchall - Both]&gt;</t>
        </r>
      </text>
    </comment>
    <comment ref="I910" authorId="0" shapeId="0" xr:uid="{5E542F67-020D-4B60-A612-A0A9C341CB03}">
      <text>
        <r>
          <rPr>
            <b/>
            <sz val="9"/>
            <color indexed="81"/>
            <rFont val="Tahoma"/>
            <family val="2"/>
          </rPr>
          <t>&lt;[[DEVDeals] - [Primary Portfolio Property (Seq: 1)] - [Forecast Financials (Seq: 5)] - [Forecast Financial Line Items (Seq: 1)] L4 -06370 -001 - Bad Debts Catchall - Both]&gt;</t>
        </r>
      </text>
    </comment>
    <comment ref="J910" authorId="0" shapeId="0" xr:uid="{54EC52D9-2AE0-4B5E-8A4B-0FD8E866B8AF}">
      <text>
        <r>
          <rPr>
            <b/>
            <sz val="9"/>
            <color indexed="81"/>
            <rFont val="Tahoma"/>
            <family val="2"/>
          </rPr>
          <t>&lt;[[DEVDeals] - [Primary Portfolio Property (Seq: 1)] - [Forecast Financials (Seq: 6)] - [Forecast Financial Line Items (Seq: 1)] L4 -06370 -001 - Bad Debts Catchall - Both]&gt;</t>
        </r>
      </text>
    </comment>
    <comment ref="K910" authorId="0" shapeId="0" xr:uid="{8716807E-4AAA-48B0-81B2-53347C115FB6}">
      <text>
        <r>
          <rPr>
            <b/>
            <sz val="9"/>
            <color indexed="81"/>
            <rFont val="Tahoma"/>
            <family val="2"/>
          </rPr>
          <t>&lt;[[DEVDeals] - [Primary Portfolio Property (Seq: 1)] - [Forecast Financials (Seq: 7)] - [Forecast Financial Line Items (Seq: 1)] L4 -06370 -001 - Bad Debts Catchall - Both]&gt;</t>
        </r>
      </text>
    </comment>
    <comment ref="L910" authorId="0" shapeId="0" xr:uid="{228B88C9-7490-43E0-881F-184507C83119}">
      <text>
        <r>
          <rPr>
            <b/>
            <sz val="9"/>
            <color indexed="81"/>
            <rFont val="Tahoma"/>
            <family val="2"/>
          </rPr>
          <t>&lt;[[DEVDeals] - [Primary Portfolio Property (Seq: 1)] - [Forecast Financials (Seq: 8)] - [Forecast Financial Line Items (Seq: 1)] L4 -06370 -001 - Bad Debts Catchall - Both]&gt;</t>
        </r>
      </text>
    </comment>
    <comment ref="M910" authorId="0" shapeId="0" xr:uid="{6ACD860C-8999-4D32-9C01-AE06ED87375D}">
      <text>
        <r>
          <rPr>
            <b/>
            <sz val="9"/>
            <color indexed="81"/>
            <rFont val="Tahoma"/>
            <family val="2"/>
          </rPr>
          <t>&lt;[[DEVDeals] - [Primary Portfolio Property (Seq: 1)] - [Forecast Financials (Seq: 9)] - [Forecast Financial Line Items (Seq: 1)] L4 -06370 -001 - Bad Debts Catchall - Both]&gt;</t>
        </r>
      </text>
    </comment>
    <comment ref="N910" authorId="0" shapeId="0" xr:uid="{3009DB78-A735-4404-9ABD-A96F98E845CD}">
      <text>
        <r>
          <rPr>
            <b/>
            <sz val="9"/>
            <color indexed="81"/>
            <rFont val="Tahoma"/>
            <family val="2"/>
          </rPr>
          <t>&lt;[[DEVDeals] - [Primary Portfolio Property (Seq: 1)] - [Forecast Financials (Seq: 10)] - [Forecast Financial Line Items (Seq: 1)] L4 -06370 -001 - Bad Debts Catchall - Both]&gt;</t>
        </r>
      </text>
    </comment>
    <comment ref="O910" authorId="0" shapeId="0" xr:uid="{EB8A778E-9225-4523-A588-604872A80AE7}">
      <text>
        <r>
          <rPr>
            <b/>
            <sz val="9"/>
            <color indexed="81"/>
            <rFont val="Tahoma"/>
            <family val="2"/>
          </rPr>
          <t>&lt;[[DEVDeals] - [Primary Portfolio Property (Seq: 1)] - [Forecast Financials (Seq: 11)] - [Forecast Financial Line Items (Seq: 1)] L4 -06370 -001 - Bad Debts Catchall - Both]&gt;</t>
        </r>
      </text>
    </comment>
    <comment ref="P910" authorId="0" shapeId="0" xr:uid="{964E5F3E-4346-474D-A67B-C481AE1DCE9A}">
      <text>
        <r>
          <rPr>
            <b/>
            <sz val="9"/>
            <color indexed="81"/>
            <rFont val="Tahoma"/>
            <family val="2"/>
          </rPr>
          <t>&lt;[[DEVDeals] - [Primary Portfolio Property (Seq: 1)] - [Forecast Financials (Seq: 12)] - [Forecast Financial Line Items (Seq: 1)] L4 -06370 -001 - Bad Debts Catchall - Both]&gt;</t>
        </r>
      </text>
    </comment>
    <comment ref="Q910" authorId="0" shapeId="0" xr:uid="{90049953-DE14-4AB8-BBA0-60C4B1EBDA74}">
      <text>
        <r>
          <rPr>
            <b/>
            <sz val="9"/>
            <color indexed="81"/>
            <rFont val="Tahoma"/>
            <family val="2"/>
          </rPr>
          <t>&lt;[[DEVDeals] - [Primary Portfolio Property (Seq: 1)] - [Forecast Financials (Seq: 13)] - [Forecast Financial Line Items (Seq: 1)] L4 -06370 -001 - Bad Debts Catchall - Both]&gt;</t>
        </r>
      </text>
    </comment>
    <comment ref="R910" authorId="0" shapeId="0" xr:uid="{DB3D4DCC-CD2A-4D32-A53F-D5C95B7EE68D}">
      <text>
        <r>
          <rPr>
            <b/>
            <sz val="9"/>
            <color indexed="81"/>
            <rFont val="Tahoma"/>
            <family val="2"/>
          </rPr>
          <t>&lt;[[DEVDeals] - [Primary Portfolio Property (Seq: 1)] - [Forecast Financials (Seq: 14)] - [Forecast Financial Line Items (Seq: 1)] L4 -06370 -001 - Bad Debts Catchall - Both]&gt;</t>
        </r>
      </text>
    </comment>
    <comment ref="S910" authorId="0" shapeId="0" xr:uid="{B7D696CB-0ED3-4417-ACA1-6394395453A1}">
      <text>
        <r>
          <rPr>
            <b/>
            <sz val="9"/>
            <color indexed="81"/>
            <rFont val="Tahoma"/>
            <family val="2"/>
          </rPr>
          <t>&lt;[[DEVDeals] - [Primary Portfolio Property (Seq: 1)] - [Forecast Financials (Seq: 15)] - [Forecast Financial Line Items (Seq: 1)] L4 -06370 -001 - Bad Debts Catchall - Both]&gt;</t>
        </r>
      </text>
    </comment>
    <comment ref="T910" authorId="0" shapeId="0" xr:uid="{D8B61027-14E3-42E2-88AD-B4E357C5FE58}">
      <text>
        <r>
          <rPr>
            <b/>
            <sz val="9"/>
            <color indexed="81"/>
            <rFont val="Tahoma"/>
            <family val="2"/>
          </rPr>
          <t>&lt;[[DEVDeals] - [Primary Portfolio Property (Seq: 1)] - [Forecast Financials (Seq: 16)] - [Forecast Financial Line Items (Seq: 1)] L4 -06370 -001 - Bad Debts Catchall - Both]&gt;</t>
        </r>
      </text>
    </comment>
    <comment ref="U910" authorId="0" shapeId="0" xr:uid="{3E42FF4B-F4C9-47EF-9EE9-C1D26BBE97F9}">
      <text>
        <r>
          <rPr>
            <b/>
            <sz val="9"/>
            <color indexed="81"/>
            <rFont val="Tahoma"/>
            <family val="2"/>
          </rPr>
          <t>&lt;[[DEVDeals] - [Primary Portfolio Property (Seq: 1)] - [Forecast Financials (Seq: 17)] - [Forecast Financial Line Items (Seq: 1)] L4 -06370 -001 - Bad Debts Catchall - Both]&gt;</t>
        </r>
      </text>
    </comment>
    <comment ref="V910" authorId="0" shapeId="0" xr:uid="{CBE6C809-C336-496F-82F5-D2C3ED8D1786}">
      <text>
        <r>
          <rPr>
            <b/>
            <sz val="9"/>
            <color indexed="81"/>
            <rFont val="Tahoma"/>
            <family val="2"/>
          </rPr>
          <t>&lt;[[DEVDeals] - [Primary Portfolio Property (Seq: 1)] - [Forecast Financials (Seq: 18)] - [Forecast Financial Line Items (Seq: 1)] L4 -06370 -001 - Bad Debts Catchall - Both]&gt;</t>
        </r>
      </text>
    </comment>
    <comment ref="W910" authorId="0" shapeId="0" xr:uid="{4BAC6609-1BAA-4AEA-896C-F9BDD06AC603}">
      <text>
        <r>
          <rPr>
            <b/>
            <sz val="9"/>
            <color indexed="81"/>
            <rFont val="Tahoma"/>
            <family val="2"/>
          </rPr>
          <t>&lt;[[DEVDeals] - [Primary Portfolio Property (Seq: 1)] - [Forecast Financials (Seq: 19)] - [Forecast Financial Line Items (Seq: 1)] L4 -06370 -001 - Bad Debts Catchall - Both]&gt;</t>
        </r>
      </text>
    </comment>
    <comment ref="X910" authorId="0" shapeId="0" xr:uid="{F185801B-13B7-415E-9EBA-925EB7F3A7E8}">
      <text>
        <r>
          <rPr>
            <b/>
            <sz val="9"/>
            <color indexed="81"/>
            <rFont val="Tahoma"/>
            <family val="2"/>
          </rPr>
          <t>&lt;[[DEVDeals] - [Primary Portfolio Property (Seq: 1)] - [Forecast Financials (Seq: 20)] - [Forecast Financial Line Items (Seq: 1)] L4 -06370 -001 - Bad Debts Catchall - Both]&gt;</t>
        </r>
      </text>
    </comment>
    <comment ref="E911" authorId="0" shapeId="0" xr:uid="{3B046B3B-9DC6-47C0-94F1-2BF6DFD0F5F0}">
      <text>
        <r>
          <rPr>
            <b/>
            <sz val="9"/>
            <color indexed="81"/>
            <rFont val="Tahoma"/>
            <family val="2"/>
          </rPr>
          <t>&lt;[[DEVDeals] - [Primary Portfolio Property (Seq: 1)] - [Forecast Financials (Seq: 1)] - [Forecast Financial Line Items (Seq: 1)] L4 -06390 -001 - Other Administrative Expense - Both]&gt;</t>
        </r>
      </text>
    </comment>
    <comment ref="F911" authorId="0" shapeId="0" xr:uid="{81B5F748-40E8-4D5D-8901-800D00E0333E}">
      <text>
        <r>
          <rPr>
            <b/>
            <sz val="9"/>
            <color indexed="81"/>
            <rFont val="Tahoma"/>
            <family val="2"/>
          </rPr>
          <t>&lt;[[DEVDeals] - [Primary Portfolio Property (Seq: 1)] - [Forecast Financials (Seq: 2)] - [Forecast Financial Line Items (Seq: 1)] L4 -06390 -001 - Other Administrative Expense - Both]&gt;</t>
        </r>
      </text>
    </comment>
    <comment ref="G911" authorId="0" shapeId="0" xr:uid="{B1570C89-7321-4123-8A02-8BBF4420FE20}">
      <text>
        <r>
          <rPr>
            <b/>
            <sz val="9"/>
            <color indexed="81"/>
            <rFont val="Tahoma"/>
            <family val="2"/>
          </rPr>
          <t>&lt;[[DEVDeals] - [Primary Portfolio Property (Seq: 1)] - [Forecast Financials (Seq: 3)] - [Forecast Financial Line Items (Seq: 1)] L4 -06390 -001 - Other Administrative Expense - Both]&gt;</t>
        </r>
      </text>
    </comment>
    <comment ref="H911" authorId="0" shapeId="0" xr:uid="{A05D2406-4AC0-4FC7-95EC-4806E7EAB14B}">
      <text>
        <r>
          <rPr>
            <b/>
            <sz val="9"/>
            <color indexed="81"/>
            <rFont val="Tahoma"/>
            <family val="2"/>
          </rPr>
          <t>&lt;[[DEVDeals] - [Primary Portfolio Property (Seq: 1)] - [Forecast Financials (Seq: 4)] - [Forecast Financial Line Items (Seq: 1)] L4 -06390 -001 - Other Administrative Expense - Both]&gt;</t>
        </r>
      </text>
    </comment>
    <comment ref="I911" authorId="0" shapeId="0" xr:uid="{68A29EC0-06FD-4723-B902-0F4C4C8FFDED}">
      <text>
        <r>
          <rPr>
            <b/>
            <sz val="9"/>
            <color indexed="81"/>
            <rFont val="Tahoma"/>
            <family val="2"/>
          </rPr>
          <t>&lt;[[DEVDeals] - [Primary Portfolio Property (Seq: 1)] - [Forecast Financials (Seq: 5)] - [Forecast Financial Line Items (Seq: 1)] L4 -06390 -001 - Other Administrative Expense - Both]&gt;</t>
        </r>
      </text>
    </comment>
    <comment ref="J911" authorId="0" shapeId="0" xr:uid="{9AA4093A-7DAD-4BCC-92A7-46A15742E5C1}">
      <text>
        <r>
          <rPr>
            <b/>
            <sz val="9"/>
            <color indexed="81"/>
            <rFont val="Tahoma"/>
            <family val="2"/>
          </rPr>
          <t>&lt;[[DEVDeals] - [Primary Portfolio Property (Seq: 1)] - [Forecast Financials (Seq: 6)] - [Forecast Financial Line Items (Seq: 1)] L4 -06390 -001 - Other Administrative Expense - Both]&gt;</t>
        </r>
      </text>
    </comment>
    <comment ref="K911" authorId="0" shapeId="0" xr:uid="{05E5835B-78AF-4743-A90C-54C9286528E5}">
      <text>
        <r>
          <rPr>
            <b/>
            <sz val="9"/>
            <color indexed="81"/>
            <rFont val="Tahoma"/>
            <family val="2"/>
          </rPr>
          <t>&lt;[[DEVDeals] - [Primary Portfolio Property (Seq: 1)] - [Forecast Financials (Seq: 7)] - [Forecast Financial Line Items (Seq: 1)] L4 -06390 -001 - Other Administrative Expense - Both]&gt;</t>
        </r>
      </text>
    </comment>
    <comment ref="L911" authorId="0" shapeId="0" xr:uid="{B507DCEA-E9EC-4069-BF52-6EE41E88A9BA}">
      <text>
        <r>
          <rPr>
            <b/>
            <sz val="9"/>
            <color indexed="81"/>
            <rFont val="Tahoma"/>
            <family val="2"/>
          </rPr>
          <t>&lt;[[DEVDeals] - [Primary Portfolio Property (Seq: 1)] - [Forecast Financials (Seq: 8)] - [Forecast Financial Line Items (Seq: 1)] L4 -06390 -001 - Other Administrative Expense - Both]&gt;</t>
        </r>
      </text>
    </comment>
    <comment ref="M911" authorId="0" shapeId="0" xr:uid="{880B582E-A621-4ECC-A8B7-17A3130BA766}">
      <text>
        <r>
          <rPr>
            <b/>
            <sz val="9"/>
            <color indexed="81"/>
            <rFont val="Tahoma"/>
            <family val="2"/>
          </rPr>
          <t>&lt;[[DEVDeals] - [Primary Portfolio Property (Seq: 1)] - [Forecast Financials (Seq: 9)] - [Forecast Financial Line Items (Seq: 1)] L4 -06390 -001 - Other Administrative Expense - Both]&gt;</t>
        </r>
      </text>
    </comment>
    <comment ref="N911" authorId="0" shapeId="0" xr:uid="{467A0614-CAB8-4854-B9DA-F022B05C133B}">
      <text>
        <r>
          <rPr>
            <b/>
            <sz val="9"/>
            <color indexed="81"/>
            <rFont val="Tahoma"/>
            <family val="2"/>
          </rPr>
          <t>&lt;[[DEVDeals] - [Primary Portfolio Property (Seq: 1)] - [Forecast Financials (Seq: 10)] - [Forecast Financial Line Items (Seq: 1)] L4 -06390 -001 - Other Administrative Expense - Both]&gt;</t>
        </r>
      </text>
    </comment>
    <comment ref="O911" authorId="0" shapeId="0" xr:uid="{3E348E05-D387-4E25-9C4F-9AB4CCA1405A}">
      <text>
        <r>
          <rPr>
            <b/>
            <sz val="9"/>
            <color indexed="81"/>
            <rFont val="Tahoma"/>
            <family val="2"/>
          </rPr>
          <t>&lt;[[DEVDeals] - [Primary Portfolio Property (Seq: 1)] - [Forecast Financials (Seq: 11)] - [Forecast Financial Line Items (Seq: 1)] L4 -06390 -001 - Other Administrative Expense - Both]&gt;</t>
        </r>
      </text>
    </comment>
    <comment ref="P911" authorId="0" shapeId="0" xr:uid="{BCE6E4F0-B48A-4180-BE1D-9E9B446C2132}">
      <text>
        <r>
          <rPr>
            <b/>
            <sz val="9"/>
            <color indexed="81"/>
            <rFont val="Tahoma"/>
            <family val="2"/>
          </rPr>
          <t>&lt;[[DEVDeals] - [Primary Portfolio Property (Seq: 1)] - [Forecast Financials (Seq: 12)] - [Forecast Financial Line Items (Seq: 1)] L4 -06390 -001 - Other Administrative Expense - Both]&gt;</t>
        </r>
      </text>
    </comment>
    <comment ref="Q911" authorId="0" shapeId="0" xr:uid="{91A1FBCC-3BE0-42D3-904D-2526A4E330E5}">
      <text>
        <r>
          <rPr>
            <b/>
            <sz val="9"/>
            <color indexed="81"/>
            <rFont val="Tahoma"/>
            <family val="2"/>
          </rPr>
          <t>&lt;[[DEVDeals] - [Primary Portfolio Property (Seq: 1)] - [Forecast Financials (Seq: 13)] - [Forecast Financial Line Items (Seq: 1)] L4 -06390 -001 - Other Administrative Expense - Both]&gt;</t>
        </r>
      </text>
    </comment>
    <comment ref="R911" authorId="0" shapeId="0" xr:uid="{215D26E8-0AEA-4528-AB14-C8BF6C51CD72}">
      <text>
        <r>
          <rPr>
            <b/>
            <sz val="9"/>
            <color indexed="81"/>
            <rFont val="Tahoma"/>
            <family val="2"/>
          </rPr>
          <t>&lt;[[DEVDeals] - [Primary Portfolio Property (Seq: 1)] - [Forecast Financials (Seq: 14)] - [Forecast Financial Line Items (Seq: 1)] L4 -06390 -001 - Other Administrative Expense - Both]&gt;</t>
        </r>
      </text>
    </comment>
    <comment ref="S911" authorId="0" shapeId="0" xr:uid="{E21D3396-39B1-4D7B-B343-708010BEDE23}">
      <text>
        <r>
          <rPr>
            <b/>
            <sz val="9"/>
            <color indexed="81"/>
            <rFont val="Tahoma"/>
            <family val="2"/>
          </rPr>
          <t>&lt;[[DEVDeals] - [Primary Portfolio Property (Seq: 1)] - [Forecast Financials (Seq: 15)] - [Forecast Financial Line Items (Seq: 1)] L4 -06390 -001 - Other Administrative Expense - Both]&gt;</t>
        </r>
      </text>
    </comment>
    <comment ref="T911" authorId="0" shapeId="0" xr:uid="{9FEE4E7D-C4A2-4C14-8339-2CD5DEC7B3FA}">
      <text>
        <r>
          <rPr>
            <b/>
            <sz val="9"/>
            <color indexed="81"/>
            <rFont val="Tahoma"/>
            <family val="2"/>
          </rPr>
          <t>&lt;[[DEVDeals] - [Primary Portfolio Property (Seq: 1)] - [Forecast Financials (Seq: 16)] - [Forecast Financial Line Items (Seq: 1)] L4 -06390 -001 - Other Administrative Expense - Both]&gt;</t>
        </r>
      </text>
    </comment>
    <comment ref="U911" authorId="0" shapeId="0" xr:uid="{5516E748-9D81-40AA-BB15-4ECEEFF0CE98}">
      <text>
        <r>
          <rPr>
            <b/>
            <sz val="9"/>
            <color indexed="81"/>
            <rFont val="Tahoma"/>
            <family val="2"/>
          </rPr>
          <t>&lt;[[DEVDeals] - [Primary Portfolio Property (Seq: 1)] - [Forecast Financials (Seq: 17)] - [Forecast Financial Line Items (Seq: 1)] L4 -06390 -001 - Other Administrative Expense - Both]&gt;</t>
        </r>
      </text>
    </comment>
    <comment ref="V911" authorId="0" shapeId="0" xr:uid="{94CBC9F2-D478-466F-8D3A-F7A703AB09E7}">
      <text>
        <r>
          <rPr>
            <b/>
            <sz val="9"/>
            <color indexed="81"/>
            <rFont val="Tahoma"/>
            <family val="2"/>
          </rPr>
          <t>&lt;[[DEVDeals] - [Primary Portfolio Property (Seq: 1)] - [Forecast Financials (Seq: 18)] - [Forecast Financial Line Items (Seq: 1)] L4 -06390 -001 - Other Administrative Expense - Both]&gt;</t>
        </r>
      </text>
    </comment>
    <comment ref="W911" authorId="0" shapeId="0" xr:uid="{6BE7D890-E044-4182-A067-6974CE4CA6AD}">
      <text>
        <r>
          <rPr>
            <b/>
            <sz val="9"/>
            <color indexed="81"/>
            <rFont val="Tahoma"/>
            <family val="2"/>
          </rPr>
          <t>&lt;[[DEVDeals] - [Primary Portfolio Property (Seq: 1)] - [Forecast Financials (Seq: 19)] - [Forecast Financial Line Items (Seq: 1)] L4 -06390 -001 - Other Administrative Expense - Both]&gt;</t>
        </r>
      </text>
    </comment>
    <comment ref="X911" authorId="0" shapeId="0" xr:uid="{88DF3CCB-4FB9-4EC4-9E8B-A4FD53D9CCFC}">
      <text>
        <r>
          <rPr>
            <b/>
            <sz val="9"/>
            <color indexed="81"/>
            <rFont val="Tahoma"/>
            <family val="2"/>
          </rPr>
          <t>&lt;[[DEVDeals] - [Primary Portfolio Property (Seq: 1)] - [Forecast Financials (Seq: 20)] - [Forecast Financial Line Items (Seq: 1)] L4 -06390 -001 - Other Administrative Expense - Both]&gt;</t>
        </r>
      </text>
    </comment>
    <comment ref="E912" authorId="0" shapeId="0" xr:uid="{14752B56-373B-42D6-8AE8-2530413D7CAA}">
      <text>
        <r>
          <rPr>
            <b/>
            <sz val="9"/>
            <color indexed="81"/>
            <rFont val="Tahoma"/>
            <family val="2"/>
          </rPr>
          <t>&lt;[[DEVDeals] - [Primary Portfolio Property (Seq: 1)] - [Forecast Financials (Seq: 1)] - [Forecast Financial Line Items (Seq: 1)] L4 -06205 -091 - Admin General Other - Both]&gt;</t>
        </r>
      </text>
    </comment>
    <comment ref="F912" authorId="0" shapeId="0" xr:uid="{3795D3F0-2C6F-408F-A01D-4AD4BB5E2BC0}">
      <text>
        <r>
          <rPr>
            <b/>
            <sz val="9"/>
            <color indexed="81"/>
            <rFont val="Tahoma"/>
            <family val="2"/>
          </rPr>
          <t>&lt;[[DEVDeals] - [Primary Portfolio Property (Seq: 1)] - [Forecast Financials (Seq: 2)] - [Forecast Financial Line Items (Seq: 1)] L4 -06205 -091 - Admin General Other - Both]&gt;</t>
        </r>
      </text>
    </comment>
    <comment ref="G912" authorId="0" shapeId="0" xr:uid="{A3902E76-5D89-41B4-8122-1631182587DB}">
      <text>
        <r>
          <rPr>
            <b/>
            <sz val="9"/>
            <color indexed="81"/>
            <rFont val="Tahoma"/>
            <family val="2"/>
          </rPr>
          <t>&lt;[[DEVDeals] - [Primary Portfolio Property (Seq: 1)] - [Forecast Financials (Seq: 3)] - [Forecast Financial Line Items (Seq: 1)] L4 -06205 -091 - Admin General Other - Both]&gt;</t>
        </r>
      </text>
    </comment>
    <comment ref="H912" authorId="0" shapeId="0" xr:uid="{E3E04054-55AC-429A-817E-5E4BF4868E07}">
      <text>
        <r>
          <rPr>
            <b/>
            <sz val="9"/>
            <color indexed="81"/>
            <rFont val="Tahoma"/>
            <family val="2"/>
          </rPr>
          <t>&lt;[[DEVDeals] - [Primary Portfolio Property (Seq: 1)] - [Forecast Financials (Seq: 4)] - [Forecast Financial Line Items (Seq: 1)] L4 -06205 -091 - Admin General Other - Both]&gt;</t>
        </r>
      </text>
    </comment>
    <comment ref="I912" authorId="0" shapeId="0" xr:uid="{5DAFC10F-E4BF-4329-B7B1-422301E5D21E}">
      <text>
        <r>
          <rPr>
            <b/>
            <sz val="9"/>
            <color indexed="81"/>
            <rFont val="Tahoma"/>
            <family val="2"/>
          </rPr>
          <t>&lt;[[DEVDeals] - [Primary Portfolio Property (Seq: 1)] - [Forecast Financials (Seq: 5)] - [Forecast Financial Line Items (Seq: 1)] L4 -06205 -091 - Admin General Other - Both]&gt;</t>
        </r>
      </text>
    </comment>
    <comment ref="J912" authorId="0" shapeId="0" xr:uid="{7C3DE157-3A53-447C-9A3F-487C07E007A6}">
      <text>
        <r>
          <rPr>
            <b/>
            <sz val="9"/>
            <color indexed="81"/>
            <rFont val="Tahoma"/>
            <family val="2"/>
          </rPr>
          <t>&lt;[[DEVDeals] - [Primary Portfolio Property (Seq: 1)] - [Forecast Financials (Seq: 6)] - [Forecast Financial Line Items (Seq: 1)] L4 -06205 -091 - Admin General Other - Both]&gt;</t>
        </r>
      </text>
    </comment>
    <comment ref="K912" authorId="0" shapeId="0" xr:uid="{3DD40364-EA83-43A6-8A10-40213CAF1664}">
      <text>
        <r>
          <rPr>
            <b/>
            <sz val="9"/>
            <color indexed="81"/>
            <rFont val="Tahoma"/>
            <family val="2"/>
          </rPr>
          <t>&lt;[[DEVDeals] - [Primary Portfolio Property (Seq: 1)] - [Forecast Financials (Seq: 7)] - [Forecast Financial Line Items (Seq: 1)] L4 -06205 -091 - Admin General Other - Both]&gt;</t>
        </r>
      </text>
    </comment>
    <comment ref="L912" authorId="0" shapeId="0" xr:uid="{BC2FC855-CD69-4C19-A3C2-D193764214D1}">
      <text>
        <r>
          <rPr>
            <b/>
            <sz val="9"/>
            <color indexed="81"/>
            <rFont val="Tahoma"/>
            <family val="2"/>
          </rPr>
          <t>&lt;[[DEVDeals] - [Primary Portfolio Property (Seq: 1)] - [Forecast Financials (Seq: 8)] - [Forecast Financial Line Items (Seq: 1)] L4 -06205 -091 - Admin General Other - Both]&gt;</t>
        </r>
      </text>
    </comment>
    <comment ref="M912" authorId="0" shapeId="0" xr:uid="{E2EAB808-1CD6-476A-B094-614F26F2C330}">
      <text>
        <r>
          <rPr>
            <b/>
            <sz val="9"/>
            <color indexed="81"/>
            <rFont val="Tahoma"/>
            <family val="2"/>
          </rPr>
          <t>&lt;[[DEVDeals] - [Primary Portfolio Property (Seq: 1)] - [Forecast Financials (Seq: 9)] - [Forecast Financial Line Items (Seq: 1)] L4 -06205 -091 - Admin General Other - Both]&gt;</t>
        </r>
      </text>
    </comment>
    <comment ref="N912" authorId="0" shapeId="0" xr:uid="{9E6396D1-B70D-4634-8FF5-E653D03FAD53}">
      <text>
        <r>
          <rPr>
            <b/>
            <sz val="9"/>
            <color indexed="81"/>
            <rFont val="Tahoma"/>
            <family val="2"/>
          </rPr>
          <t>&lt;[[DEVDeals] - [Primary Portfolio Property (Seq: 1)] - [Forecast Financials (Seq: 10)] - [Forecast Financial Line Items (Seq: 1)] L4 -06205 -091 - Admin General Other - Both]&gt;</t>
        </r>
      </text>
    </comment>
    <comment ref="O912" authorId="0" shapeId="0" xr:uid="{37D82C56-78F3-4667-9165-E46DEA1F9E1C}">
      <text>
        <r>
          <rPr>
            <b/>
            <sz val="9"/>
            <color indexed="81"/>
            <rFont val="Tahoma"/>
            <family val="2"/>
          </rPr>
          <t>&lt;[[DEVDeals] - [Primary Portfolio Property (Seq: 1)] - [Forecast Financials (Seq: 11)] - [Forecast Financial Line Items (Seq: 1)] L4 -06205 -091 - Admin General Other - Both]&gt;</t>
        </r>
      </text>
    </comment>
    <comment ref="P912" authorId="0" shapeId="0" xr:uid="{D71CD338-32F2-40BB-B126-513DCA017BAC}">
      <text>
        <r>
          <rPr>
            <b/>
            <sz val="9"/>
            <color indexed="81"/>
            <rFont val="Tahoma"/>
            <family val="2"/>
          </rPr>
          <t>&lt;[[DEVDeals] - [Primary Portfolio Property (Seq: 1)] - [Forecast Financials (Seq: 12)] - [Forecast Financial Line Items (Seq: 1)] L4 -06205 -091 - Admin General Other - Both]&gt;</t>
        </r>
      </text>
    </comment>
    <comment ref="Q912" authorId="0" shapeId="0" xr:uid="{AEA97C81-8E18-4F83-961B-4E1933FA79EB}">
      <text>
        <r>
          <rPr>
            <b/>
            <sz val="9"/>
            <color indexed="81"/>
            <rFont val="Tahoma"/>
            <family val="2"/>
          </rPr>
          <t>&lt;[[DEVDeals] - [Primary Portfolio Property (Seq: 1)] - [Forecast Financials (Seq: 13)] - [Forecast Financial Line Items (Seq: 1)] L4 -06205 -091 - Admin General Other - Both]&gt;</t>
        </r>
      </text>
    </comment>
    <comment ref="R912" authorId="0" shapeId="0" xr:uid="{D427BB10-4766-4EE3-9EBA-448307BF9AA5}">
      <text>
        <r>
          <rPr>
            <b/>
            <sz val="9"/>
            <color indexed="81"/>
            <rFont val="Tahoma"/>
            <family val="2"/>
          </rPr>
          <t>&lt;[[DEVDeals] - [Primary Portfolio Property (Seq: 1)] - [Forecast Financials (Seq: 14)] - [Forecast Financial Line Items (Seq: 1)] L4 -06205 -091 - Admin General Other - Both]&gt;</t>
        </r>
      </text>
    </comment>
    <comment ref="S912" authorId="0" shapeId="0" xr:uid="{A9841333-73C3-48B5-97AF-B3BD1A81E302}">
      <text>
        <r>
          <rPr>
            <b/>
            <sz val="9"/>
            <color indexed="81"/>
            <rFont val="Tahoma"/>
            <family val="2"/>
          </rPr>
          <t>&lt;[[DEVDeals] - [Primary Portfolio Property (Seq: 1)] - [Forecast Financials (Seq: 15)] - [Forecast Financial Line Items (Seq: 1)] L4 -06205 -091 - Admin General Other - Both]&gt;</t>
        </r>
      </text>
    </comment>
    <comment ref="T912" authorId="0" shapeId="0" xr:uid="{3DCE8DC3-6A36-4046-8C80-12A1508D5FF0}">
      <text>
        <r>
          <rPr>
            <b/>
            <sz val="9"/>
            <color indexed="81"/>
            <rFont val="Tahoma"/>
            <family val="2"/>
          </rPr>
          <t>&lt;[[DEVDeals] - [Primary Portfolio Property (Seq: 1)] - [Forecast Financials (Seq: 16)] - [Forecast Financial Line Items (Seq: 1)] L4 -06205 -091 - Admin General Other - Both]&gt;</t>
        </r>
      </text>
    </comment>
    <comment ref="U912" authorId="0" shapeId="0" xr:uid="{8FB83624-C074-4EAC-8484-98F2AC2D075E}">
      <text>
        <r>
          <rPr>
            <b/>
            <sz val="9"/>
            <color indexed="81"/>
            <rFont val="Tahoma"/>
            <family val="2"/>
          </rPr>
          <t>&lt;[[DEVDeals] - [Primary Portfolio Property (Seq: 1)] - [Forecast Financials (Seq: 17)] - [Forecast Financial Line Items (Seq: 1)] L4 -06205 -091 - Admin General Other - Both]&gt;</t>
        </r>
      </text>
    </comment>
    <comment ref="V912" authorId="0" shapeId="0" xr:uid="{9D1C0BDC-A47B-4D7E-BCDE-D9F4A76DBF6B}">
      <text>
        <r>
          <rPr>
            <b/>
            <sz val="9"/>
            <color indexed="81"/>
            <rFont val="Tahoma"/>
            <family val="2"/>
          </rPr>
          <t>&lt;[[DEVDeals] - [Primary Portfolio Property (Seq: 1)] - [Forecast Financials (Seq: 18)] - [Forecast Financial Line Items (Seq: 1)] L4 -06205 -091 - Admin General Other - Both]&gt;</t>
        </r>
      </text>
    </comment>
    <comment ref="W912" authorId="0" shapeId="0" xr:uid="{7CAE326C-D247-44E6-A0DD-A53DAE019216}">
      <text>
        <r>
          <rPr>
            <b/>
            <sz val="9"/>
            <color indexed="81"/>
            <rFont val="Tahoma"/>
            <family val="2"/>
          </rPr>
          <t>&lt;[[DEVDeals] - [Primary Portfolio Property (Seq: 1)] - [Forecast Financials (Seq: 19)] - [Forecast Financial Line Items (Seq: 1)] L4 -06205 -091 - Admin General Other - Both]&gt;</t>
        </r>
      </text>
    </comment>
    <comment ref="X912" authorId="0" shapeId="0" xr:uid="{C73109D7-4446-4056-8C06-D72D42BF81EC}">
      <text>
        <r>
          <rPr>
            <b/>
            <sz val="9"/>
            <color indexed="81"/>
            <rFont val="Tahoma"/>
            <family val="2"/>
          </rPr>
          <t>&lt;[[DEVDeals] - [Primary Portfolio Property (Seq: 1)] - [Forecast Financials (Seq: 20)] - [Forecast Financial Line Items (Seq: 1)] L4 -06205 -091 - Admin General Other - Both]&gt;</t>
        </r>
      </text>
    </comment>
    <comment ref="E913" authorId="0" shapeId="0" xr:uid="{19C17B63-9110-4481-925F-42F450DF2918}">
      <text>
        <r>
          <rPr>
            <b/>
            <sz val="9"/>
            <color indexed="81"/>
            <rFont val="Tahoma"/>
            <family val="2"/>
          </rPr>
          <t>&lt;[[DEVDeals] - [Primary Portfolio Property (Seq: 1)] - [Forecast Financials (Seq: 1)] - [Forecast Financial Line Items (Seq: 1)] L4 -06420 -001 - Fuel Oil Coal - Both]&gt;</t>
        </r>
      </text>
    </comment>
    <comment ref="F913" authorId="0" shapeId="0" xr:uid="{CE083841-2E38-4068-8D96-D097E8181021}">
      <text>
        <r>
          <rPr>
            <b/>
            <sz val="9"/>
            <color indexed="81"/>
            <rFont val="Tahoma"/>
            <family val="2"/>
          </rPr>
          <t>&lt;[[DEVDeals] - [Primary Portfolio Property (Seq: 1)] - [Forecast Financials (Seq: 2)] - [Forecast Financial Line Items (Seq: 1)] L4 -06420 -001 - Fuel Oil Coal - Both]&gt;</t>
        </r>
      </text>
    </comment>
    <comment ref="G913" authorId="0" shapeId="0" xr:uid="{E2ED7B04-EF0D-477E-81ED-F2ADE88D0C8B}">
      <text>
        <r>
          <rPr>
            <b/>
            <sz val="9"/>
            <color indexed="81"/>
            <rFont val="Tahoma"/>
            <family val="2"/>
          </rPr>
          <t>&lt;[[DEVDeals] - [Primary Portfolio Property (Seq: 1)] - [Forecast Financials (Seq: 3)] - [Forecast Financial Line Items (Seq: 1)] L4 -06420 -001 - Fuel Oil Coal - Both]&gt;</t>
        </r>
      </text>
    </comment>
    <comment ref="H913" authorId="0" shapeId="0" xr:uid="{8E4BE475-D507-4C0B-B425-73F2CCB116BE}">
      <text>
        <r>
          <rPr>
            <b/>
            <sz val="9"/>
            <color indexed="81"/>
            <rFont val="Tahoma"/>
            <family val="2"/>
          </rPr>
          <t>&lt;[[DEVDeals] - [Primary Portfolio Property (Seq: 1)] - [Forecast Financials (Seq: 4)] - [Forecast Financial Line Items (Seq: 1)] L4 -06420 -001 - Fuel Oil Coal - Both]&gt;</t>
        </r>
      </text>
    </comment>
    <comment ref="I913" authorId="0" shapeId="0" xr:uid="{2C7FAE44-105F-4B6A-8B87-7CD286CDF16B}">
      <text>
        <r>
          <rPr>
            <b/>
            <sz val="9"/>
            <color indexed="81"/>
            <rFont val="Tahoma"/>
            <family val="2"/>
          </rPr>
          <t>&lt;[[DEVDeals] - [Primary Portfolio Property (Seq: 1)] - [Forecast Financials (Seq: 5)] - [Forecast Financial Line Items (Seq: 1)] L4 -06420 -001 - Fuel Oil Coal - Both]&gt;</t>
        </r>
      </text>
    </comment>
    <comment ref="J913" authorId="0" shapeId="0" xr:uid="{AFBE93EC-6FC2-4FBB-B53F-FAB1F07237C3}">
      <text>
        <r>
          <rPr>
            <b/>
            <sz val="9"/>
            <color indexed="81"/>
            <rFont val="Tahoma"/>
            <family val="2"/>
          </rPr>
          <t>&lt;[[DEVDeals] - [Primary Portfolio Property (Seq: 1)] - [Forecast Financials (Seq: 6)] - [Forecast Financial Line Items (Seq: 1)] L4 -06420 -001 - Fuel Oil Coal - Both]&gt;</t>
        </r>
      </text>
    </comment>
    <comment ref="K913" authorId="0" shapeId="0" xr:uid="{7F3594DC-8C3D-4B7D-AB07-CF6579FA8E75}">
      <text>
        <r>
          <rPr>
            <b/>
            <sz val="9"/>
            <color indexed="81"/>
            <rFont val="Tahoma"/>
            <family val="2"/>
          </rPr>
          <t>&lt;[[DEVDeals] - [Primary Portfolio Property (Seq: 1)] - [Forecast Financials (Seq: 7)] - [Forecast Financial Line Items (Seq: 1)] L4 -06420 -001 - Fuel Oil Coal - Both]&gt;</t>
        </r>
      </text>
    </comment>
    <comment ref="L913" authorId="0" shapeId="0" xr:uid="{6742EAF8-5ED8-4B2E-8945-66CE0BAC5C18}">
      <text>
        <r>
          <rPr>
            <b/>
            <sz val="9"/>
            <color indexed="81"/>
            <rFont val="Tahoma"/>
            <family val="2"/>
          </rPr>
          <t>&lt;[[DEVDeals] - [Primary Portfolio Property (Seq: 1)] - [Forecast Financials (Seq: 8)] - [Forecast Financial Line Items (Seq: 1)] L4 -06420 -001 - Fuel Oil Coal - Both]&gt;</t>
        </r>
      </text>
    </comment>
    <comment ref="M913" authorId="0" shapeId="0" xr:uid="{DC32C2EB-1CB7-44AE-8082-945F2B306FA0}">
      <text>
        <r>
          <rPr>
            <b/>
            <sz val="9"/>
            <color indexed="81"/>
            <rFont val="Tahoma"/>
            <family val="2"/>
          </rPr>
          <t>&lt;[[DEVDeals] - [Primary Portfolio Property (Seq: 1)] - [Forecast Financials (Seq: 9)] - [Forecast Financial Line Items (Seq: 1)] L4 -06420 -001 - Fuel Oil Coal - Both]&gt;</t>
        </r>
      </text>
    </comment>
    <comment ref="N913" authorId="0" shapeId="0" xr:uid="{96B328FE-01D4-495D-B6FE-F20FB5C848C3}">
      <text>
        <r>
          <rPr>
            <b/>
            <sz val="9"/>
            <color indexed="81"/>
            <rFont val="Tahoma"/>
            <family val="2"/>
          </rPr>
          <t>&lt;[[DEVDeals] - [Primary Portfolio Property (Seq: 1)] - [Forecast Financials (Seq: 10)] - [Forecast Financial Line Items (Seq: 1)] L4 -06420 -001 - Fuel Oil Coal - Both]&gt;</t>
        </r>
      </text>
    </comment>
    <comment ref="O913" authorId="0" shapeId="0" xr:uid="{3A4F85C3-3C29-4202-A114-EA26AB7D6870}">
      <text>
        <r>
          <rPr>
            <b/>
            <sz val="9"/>
            <color indexed="81"/>
            <rFont val="Tahoma"/>
            <family val="2"/>
          </rPr>
          <t>&lt;[[DEVDeals] - [Primary Portfolio Property (Seq: 1)] - [Forecast Financials (Seq: 11)] - [Forecast Financial Line Items (Seq: 1)] L4 -06420 -001 - Fuel Oil Coal - Both]&gt;</t>
        </r>
      </text>
    </comment>
    <comment ref="P913" authorId="0" shapeId="0" xr:uid="{03D24B72-A22A-482C-8F5C-64BD7C5AFA10}">
      <text>
        <r>
          <rPr>
            <b/>
            <sz val="9"/>
            <color indexed="81"/>
            <rFont val="Tahoma"/>
            <family val="2"/>
          </rPr>
          <t>&lt;[[DEVDeals] - [Primary Portfolio Property (Seq: 1)] - [Forecast Financials (Seq: 12)] - [Forecast Financial Line Items (Seq: 1)] L4 -06420 -001 - Fuel Oil Coal - Both]&gt;</t>
        </r>
      </text>
    </comment>
    <comment ref="Q913" authorId="0" shapeId="0" xr:uid="{37C193D9-9DAE-41A7-AFB6-079CA4208F97}">
      <text>
        <r>
          <rPr>
            <b/>
            <sz val="9"/>
            <color indexed="81"/>
            <rFont val="Tahoma"/>
            <family val="2"/>
          </rPr>
          <t>&lt;[[DEVDeals] - [Primary Portfolio Property (Seq: 1)] - [Forecast Financials (Seq: 13)] - [Forecast Financial Line Items (Seq: 1)] L4 -06420 -001 - Fuel Oil Coal - Both]&gt;</t>
        </r>
      </text>
    </comment>
    <comment ref="R913" authorId="0" shapeId="0" xr:uid="{168BA8B9-64AC-4C8F-988F-0F4CC82A4210}">
      <text>
        <r>
          <rPr>
            <b/>
            <sz val="9"/>
            <color indexed="81"/>
            <rFont val="Tahoma"/>
            <family val="2"/>
          </rPr>
          <t>&lt;[[DEVDeals] - [Primary Portfolio Property (Seq: 1)] - [Forecast Financials (Seq: 14)] - [Forecast Financial Line Items (Seq: 1)] L4 -06420 -001 - Fuel Oil Coal - Both]&gt;</t>
        </r>
      </text>
    </comment>
    <comment ref="S913" authorId="0" shapeId="0" xr:uid="{FF71BC3F-0CC5-414B-8EF7-DC4658F7A167}">
      <text>
        <r>
          <rPr>
            <b/>
            <sz val="9"/>
            <color indexed="81"/>
            <rFont val="Tahoma"/>
            <family val="2"/>
          </rPr>
          <t>&lt;[[DEVDeals] - [Primary Portfolio Property (Seq: 1)] - [Forecast Financials (Seq: 15)] - [Forecast Financial Line Items (Seq: 1)] L4 -06420 -001 - Fuel Oil Coal - Both]&gt;</t>
        </r>
      </text>
    </comment>
    <comment ref="T913" authorId="0" shapeId="0" xr:uid="{1BE8EB46-2886-4BCB-90B0-E2D022869489}">
      <text>
        <r>
          <rPr>
            <b/>
            <sz val="9"/>
            <color indexed="81"/>
            <rFont val="Tahoma"/>
            <family val="2"/>
          </rPr>
          <t>&lt;[[DEVDeals] - [Primary Portfolio Property (Seq: 1)] - [Forecast Financials (Seq: 16)] - [Forecast Financial Line Items (Seq: 1)] L4 -06420 -001 - Fuel Oil Coal - Both]&gt;</t>
        </r>
      </text>
    </comment>
    <comment ref="U913" authorId="0" shapeId="0" xr:uid="{4F2B9B94-03F2-4CAE-8201-6E735E69A096}">
      <text>
        <r>
          <rPr>
            <b/>
            <sz val="9"/>
            <color indexed="81"/>
            <rFont val="Tahoma"/>
            <family val="2"/>
          </rPr>
          <t>&lt;[[DEVDeals] - [Primary Portfolio Property (Seq: 1)] - [Forecast Financials (Seq: 17)] - [Forecast Financial Line Items (Seq: 1)] L4 -06420 -001 - Fuel Oil Coal - Both]&gt;</t>
        </r>
      </text>
    </comment>
    <comment ref="V913" authorId="0" shapeId="0" xr:uid="{DACE7ECF-62F7-43EB-B2E4-030F995BE486}">
      <text>
        <r>
          <rPr>
            <b/>
            <sz val="9"/>
            <color indexed="81"/>
            <rFont val="Tahoma"/>
            <family val="2"/>
          </rPr>
          <t>&lt;[[DEVDeals] - [Primary Portfolio Property (Seq: 1)] - [Forecast Financials (Seq: 18)] - [Forecast Financial Line Items (Seq: 1)] L4 -06420 -001 - Fuel Oil Coal - Both]&gt;</t>
        </r>
      </text>
    </comment>
    <comment ref="W913" authorId="0" shapeId="0" xr:uid="{8370A2AF-8CC2-4F68-AF52-088CDC4856CF}">
      <text>
        <r>
          <rPr>
            <b/>
            <sz val="9"/>
            <color indexed="81"/>
            <rFont val="Tahoma"/>
            <family val="2"/>
          </rPr>
          <t>&lt;[[DEVDeals] - [Primary Portfolio Property (Seq: 1)] - [Forecast Financials (Seq: 19)] - [Forecast Financial Line Items (Seq: 1)] L4 -06420 -001 - Fuel Oil Coal - Both]&gt;</t>
        </r>
      </text>
    </comment>
    <comment ref="X913" authorId="0" shapeId="0" xr:uid="{D387379F-29A6-4F29-82EE-38C5088DFDA9}">
      <text>
        <r>
          <rPr>
            <b/>
            <sz val="9"/>
            <color indexed="81"/>
            <rFont val="Tahoma"/>
            <family val="2"/>
          </rPr>
          <t>&lt;[[DEVDeals] - [Primary Portfolio Property (Seq: 1)] - [Forecast Financials (Seq: 20)] - [Forecast Financial Line Items (Seq: 1)] L4 -06420 -001 - Fuel Oil Coal - Both]&gt;</t>
        </r>
      </text>
    </comment>
    <comment ref="E914" authorId="0" shapeId="0" xr:uid="{0BC16170-795B-463E-957C-66EA1D4C010A}">
      <text>
        <r>
          <rPr>
            <b/>
            <sz val="9"/>
            <color indexed="81"/>
            <rFont val="Tahoma"/>
            <family val="2"/>
          </rPr>
          <t>&lt;[[DEVDeals] - [Primary Portfolio Property (Seq: 1)] - [Forecast Financials (Seq: 1)] - [Forecast Financial Line Items (Seq: 1)] L4 -06450 -011 - Electricity - Both]&gt;</t>
        </r>
      </text>
    </comment>
    <comment ref="F914" authorId="0" shapeId="0" xr:uid="{49BB9F54-0A62-4E2B-A220-E12C775FAAD9}">
      <text>
        <r>
          <rPr>
            <b/>
            <sz val="9"/>
            <color indexed="81"/>
            <rFont val="Tahoma"/>
            <family val="2"/>
          </rPr>
          <t>&lt;[[DEVDeals] - [Primary Portfolio Property (Seq: 1)] - [Forecast Financials (Seq: 2)] - [Forecast Financial Line Items (Seq: 1)] L4 -06450 -011 - Electricity - Both]&gt;</t>
        </r>
      </text>
    </comment>
    <comment ref="G914" authorId="0" shapeId="0" xr:uid="{8930876D-754C-438B-9DC1-E050FE1DA9E2}">
      <text>
        <r>
          <rPr>
            <b/>
            <sz val="9"/>
            <color indexed="81"/>
            <rFont val="Tahoma"/>
            <family val="2"/>
          </rPr>
          <t>&lt;[[DEVDeals] - [Primary Portfolio Property (Seq: 1)] - [Forecast Financials (Seq: 3)] - [Forecast Financial Line Items (Seq: 1)] L4 -06450 -011 - Electricity - Both]&gt;</t>
        </r>
      </text>
    </comment>
    <comment ref="H914" authorId="0" shapeId="0" xr:uid="{009BCE62-DE59-47FE-934D-39C3815E63EE}">
      <text>
        <r>
          <rPr>
            <b/>
            <sz val="9"/>
            <color indexed="81"/>
            <rFont val="Tahoma"/>
            <family val="2"/>
          </rPr>
          <t>&lt;[[DEVDeals] - [Primary Portfolio Property (Seq: 1)] - [Forecast Financials (Seq: 4)] - [Forecast Financial Line Items (Seq: 1)] L4 -06450 -011 - Electricity - Both]&gt;</t>
        </r>
      </text>
    </comment>
    <comment ref="I914" authorId="0" shapeId="0" xr:uid="{C5A3F02D-F9E2-40F2-B8FF-81C4109D54F6}">
      <text>
        <r>
          <rPr>
            <b/>
            <sz val="9"/>
            <color indexed="81"/>
            <rFont val="Tahoma"/>
            <family val="2"/>
          </rPr>
          <t>&lt;[[DEVDeals] - [Primary Portfolio Property (Seq: 1)] - [Forecast Financials (Seq: 5)] - [Forecast Financial Line Items (Seq: 1)] L4 -06450 -011 - Electricity - Both]&gt;</t>
        </r>
      </text>
    </comment>
    <comment ref="J914" authorId="0" shapeId="0" xr:uid="{2ADDB224-A4D1-4F69-AE5C-158DF4C59EBA}">
      <text>
        <r>
          <rPr>
            <b/>
            <sz val="9"/>
            <color indexed="81"/>
            <rFont val="Tahoma"/>
            <family val="2"/>
          </rPr>
          <t>&lt;[[DEVDeals] - [Primary Portfolio Property (Seq: 1)] - [Forecast Financials (Seq: 6)] - [Forecast Financial Line Items (Seq: 1)] L4 -06450 -011 - Electricity - Both]&gt;</t>
        </r>
      </text>
    </comment>
    <comment ref="K914" authorId="0" shapeId="0" xr:uid="{633B42BC-509F-490F-9255-483031881CA0}">
      <text>
        <r>
          <rPr>
            <b/>
            <sz val="9"/>
            <color indexed="81"/>
            <rFont val="Tahoma"/>
            <family val="2"/>
          </rPr>
          <t>&lt;[[DEVDeals] - [Primary Portfolio Property (Seq: 1)] - [Forecast Financials (Seq: 7)] - [Forecast Financial Line Items (Seq: 1)] L4 -06450 -011 - Electricity - Both]&gt;</t>
        </r>
      </text>
    </comment>
    <comment ref="L914" authorId="0" shapeId="0" xr:uid="{1C387BA6-2B8C-4969-989C-BCF4A2C1DC15}">
      <text>
        <r>
          <rPr>
            <b/>
            <sz val="9"/>
            <color indexed="81"/>
            <rFont val="Tahoma"/>
            <family val="2"/>
          </rPr>
          <t>&lt;[[DEVDeals] - [Primary Portfolio Property (Seq: 1)] - [Forecast Financials (Seq: 8)] - [Forecast Financial Line Items (Seq: 1)] L4 -06450 -011 - Electricity - Both]&gt;</t>
        </r>
      </text>
    </comment>
    <comment ref="M914" authorId="0" shapeId="0" xr:uid="{7BA75732-01C4-4F9E-B498-69B9021BECF0}">
      <text>
        <r>
          <rPr>
            <b/>
            <sz val="9"/>
            <color indexed="81"/>
            <rFont val="Tahoma"/>
            <family val="2"/>
          </rPr>
          <t>&lt;[[DEVDeals] - [Primary Portfolio Property (Seq: 1)] - [Forecast Financials (Seq: 9)] - [Forecast Financial Line Items (Seq: 1)] L4 -06450 -011 - Electricity - Both]&gt;</t>
        </r>
      </text>
    </comment>
    <comment ref="N914" authorId="0" shapeId="0" xr:uid="{A69196FE-E9F5-4436-9269-49D455BBBCDE}">
      <text>
        <r>
          <rPr>
            <b/>
            <sz val="9"/>
            <color indexed="81"/>
            <rFont val="Tahoma"/>
            <family val="2"/>
          </rPr>
          <t>&lt;[[DEVDeals] - [Primary Portfolio Property (Seq: 1)] - [Forecast Financials (Seq: 10)] - [Forecast Financial Line Items (Seq: 1)] L4 -06450 -011 - Electricity - Both]&gt;</t>
        </r>
      </text>
    </comment>
    <comment ref="O914" authorId="0" shapeId="0" xr:uid="{CE841D07-E24E-497C-A1A9-0BDB29DFC541}">
      <text>
        <r>
          <rPr>
            <b/>
            <sz val="9"/>
            <color indexed="81"/>
            <rFont val="Tahoma"/>
            <family val="2"/>
          </rPr>
          <t>&lt;[[DEVDeals] - [Primary Portfolio Property (Seq: 1)] - [Forecast Financials (Seq: 11)] - [Forecast Financial Line Items (Seq: 1)] L4 -06450 -011 - Electricity - Both]&gt;</t>
        </r>
      </text>
    </comment>
    <comment ref="P914" authorId="0" shapeId="0" xr:uid="{C4A388A2-6C1C-45B3-85F2-DD941C16ABA7}">
      <text>
        <r>
          <rPr>
            <b/>
            <sz val="9"/>
            <color indexed="81"/>
            <rFont val="Tahoma"/>
            <family val="2"/>
          </rPr>
          <t>&lt;[[DEVDeals] - [Primary Portfolio Property (Seq: 1)] - [Forecast Financials (Seq: 12)] - [Forecast Financial Line Items (Seq: 1)] L4 -06450 -011 - Electricity - Both]&gt;</t>
        </r>
      </text>
    </comment>
    <comment ref="Q914" authorId="0" shapeId="0" xr:uid="{09B8877F-6765-4CF8-9F83-641036A9FCC9}">
      <text>
        <r>
          <rPr>
            <b/>
            <sz val="9"/>
            <color indexed="81"/>
            <rFont val="Tahoma"/>
            <family val="2"/>
          </rPr>
          <t>&lt;[[DEVDeals] - [Primary Portfolio Property (Seq: 1)] - [Forecast Financials (Seq: 13)] - [Forecast Financial Line Items (Seq: 1)] L4 -06450 -011 - Electricity - Both]&gt;</t>
        </r>
      </text>
    </comment>
    <comment ref="R914" authorId="0" shapeId="0" xr:uid="{44E25660-BF3B-4436-B67B-FEB74616A17D}">
      <text>
        <r>
          <rPr>
            <b/>
            <sz val="9"/>
            <color indexed="81"/>
            <rFont val="Tahoma"/>
            <family val="2"/>
          </rPr>
          <t>&lt;[[DEVDeals] - [Primary Portfolio Property (Seq: 1)] - [Forecast Financials (Seq: 14)] - [Forecast Financial Line Items (Seq: 1)] L4 -06450 -011 - Electricity - Both]&gt;</t>
        </r>
      </text>
    </comment>
    <comment ref="S914" authorId="0" shapeId="0" xr:uid="{7BFA3F1F-B046-4184-A1F5-7EDE7EAF80D5}">
      <text>
        <r>
          <rPr>
            <b/>
            <sz val="9"/>
            <color indexed="81"/>
            <rFont val="Tahoma"/>
            <family val="2"/>
          </rPr>
          <t>&lt;[[DEVDeals] - [Primary Portfolio Property (Seq: 1)] - [Forecast Financials (Seq: 15)] - [Forecast Financial Line Items (Seq: 1)] L4 -06450 -011 - Electricity - Both]&gt;</t>
        </r>
      </text>
    </comment>
    <comment ref="T914" authorId="0" shapeId="0" xr:uid="{F10C5480-F88B-4011-8A52-2DAF0210AA2B}">
      <text>
        <r>
          <rPr>
            <b/>
            <sz val="9"/>
            <color indexed="81"/>
            <rFont val="Tahoma"/>
            <family val="2"/>
          </rPr>
          <t>&lt;[[DEVDeals] - [Primary Portfolio Property (Seq: 1)] - [Forecast Financials (Seq: 16)] - [Forecast Financial Line Items (Seq: 1)] L4 -06450 -011 - Electricity - Both]&gt;</t>
        </r>
      </text>
    </comment>
    <comment ref="U914" authorId="0" shapeId="0" xr:uid="{5D352DE7-6B91-499A-827A-06712B4F81A1}">
      <text>
        <r>
          <rPr>
            <b/>
            <sz val="9"/>
            <color indexed="81"/>
            <rFont val="Tahoma"/>
            <family val="2"/>
          </rPr>
          <t>&lt;[[DEVDeals] - [Primary Portfolio Property (Seq: 1)] - [Forecast Financials (Seq: 17)] - [Forecast Financial Line Items (Seq: 1)] L4 -06450 -011 - Electricity - Both]&gt;</t>
        </r>
      </text>
    </comment>
    <comment ref="V914" authorId="0" shapeId="0" xr:uid="{5054514E-043C-4013-A04A-C0C5595EB1BD}">
      <text>
        <r>
          <rPr>
            <b/>
            <sz val="9"/>
            <color indexed="81"/>
            <rFont val="Tahoma"/>
            <family val="2"/>
          </rPr>
          <t>&lt;[[DEVDeals] - [Primary Portfolio Property (Seq: 1)] - [Forecast Financials (Seq: 18)] - [Forecast Financial Line Items (Seq: 1)] L4 -06450 -011 - Electricity - Both]&gt;</t>
        </r>
      </text>
    </comment>
    <comment ref="W914" authorId="0" shapeId="0" xr:uid="{DD4CAD16-489F-45A0-8EA5-36B4D22C80A1}">
      <text>
        <r>
          <rPr>
            <b/>
            <sz val="9"/>
            <color indexed="81"/>
            <rFont val="Tahoma"/>
            <family val="2"/>
          </rPr>
          <t>&lt;[[DEVDeals] - [Primary Portfolio Property (Seq: 1)] - [Forecast Financials (Seq: 19)] - [Forecast Financial Line Items (Seq: 1)] L4 -06450 -011 - Electricity - Both]&gt;</t>
        </r>
      </text>
    </comment>
    <comment ref="X914" authorId="0" shapeId="0" xr:uid="{1508F2FB-9147-4ABD-8F1D-0F1AEABF3ADA}">
      <text>
        <r>
          <rPr>
            <b/>
            <sz val="9"/>
            <color indexed="81"/>
            <rFont val="Tahoma"/>
            <family val="2"/>
          </rPr>
          <t>&lt;[[DEVDeals] - [Primary Portfolio Property (Seq: 1)] - [Forecast Financials (Seq: 20)] - [Forecast Financial Line Items (Seq: 1)] L4 -06450 -011 - Electricity - Both]&gt;</t>
        </r>
      </text>
    </comment>
    <comment ref="E915" authorId="0" shapeId="0" xr:uid="{1ACF514E-5D75-49BB-BD4C-E465854491BE}">
      <text>
        <r>
          <rPr>
            <b/>
            <sz val="9"/>
            <color indexed="81"/>
            <rFont val="Tahoma"/>
            <family val="2"/>
          </rPr>
          <t>&lt;[[DEVDeals] - [Primary Portfolio Property (Seq: 1)] - [Forecast Financials (Seq: 1)] - [Forecast Financial Line Items (Seq: 1)] L4 -06450 -021 - Gas - Both]&gt;</t>
        </r>
      </text>
    </comment>
    <comment ref="F915" authorId="0" shapeId="0" xr:uid="{4ED513A9-8977-41ED-AF19-20E1A17F8F8B}">
      <text>
        <r>
          <rPr>
            <b/>
            <sz val="9"/>
            <color indexed="81"/>
            <rFont val="Tahoma"/>
            <family val="2"/>
          </rPr>
          <t>&lt;[[DEVDeals] - [Primary Portfolio Property (Seq: 1)] - [Forecast Financials (Seq: 2)] - [Forecast Financial Line Items (Seq: 1)] L4 -06450 -021 - Gas - Both]&gt;</t>
        </r>
      </text>
    </comment>
    <comment ref="G915" authorId="0" shapeId="0" xr:uid="{AA9F5444-99CE-407F-8D79-5618525B4DF6}">
      <text>
        <r>
          <rPr>
            <b/>
            <sz val="9"/>
            <color indexed="81"/>
            <rFont val="Tahoma"/>
            <family val="2"/>
          </rPr>
          <t>&lt;[[DEVDeals] - [Primary Portfolio Property (Seq: 1)] - [Forecast Financials (Seq: 3)] - [Forecast Financial Line Items (Seq: 1)] L4 -06450 -021 - Gas - Both]&gt;</t>
        </r>
      </text>
    </comment>
    <comment ref="H915" authorId="0" shapeId="0" xr:uid="{E8F50281-E5BE-458A-A1C3-E3EB4C387D5F}">
      <text>
        <r>
          <rPr>
            <b/>
            <sz val="9"/>
            <color indexed="81"/>
            <rFont val="Tahoma"/>
            <family val="2"/>
          </rPr>
          <t>&lt;[[DEVDeals] - [Primary Portfolio Property (Seq: 1)] - [Forecast Financials (Seq: 4)] - [Forecast Financial Line Items (Seq: 1)] L4 -06450 -021 - Gas - Both]&gt;</t>
        </r>
      </text>
    </comment>
    <comment ref="I915" authorId="0" shapeId="0" xr:uid="{6778A822-EBB9-416F-8C0E-617BD3548FDA}">
      <text>
        <r>
          <rPr>
            <b/>
            <sz val="9"/>
            <color indexed="81"/>
            <rFont val="Tahoma"/>
            <family val="2"/>
          </rPr>
          <t>&lt;[[DEVDeals] - [Primary Portfolio Property (Seq: 1)] - [Forecast Financials (Seq: 5)] - [Forecast Financial Line Items (Seq: 1)] L4 -06450 -021 - Gas - Both]&gt;</t>
        </r>
      </text>
    </comment>
    <comment ref="J915" authorId="0" shapeId="0" xr:uid="{E1DA66E3-861E-4E48-A404-E97C700B86B9}">
      <text>
        <r>
          <rPr>
            <b/>
            <sz val="9"/>
            <color indexed="81"/>
            <rFont val="Tahoma"/>
            <family val="2"/>
          </rPr>
          <t>&lt;[[DEVDeals] - [Primary Portfolio Property (Seq: 1)] - [Forecast Financials (Seq: 6)] - [Forecast Financial Line Items (Seq: 1)] L4 -06450 -021 - Gas - Both]&gt;</t>
        </r>
      </text>
    </comment>
    <comment ref="K915" authorId="0" shapeId="0" xr:uid="{CC2DE5F5-3B22-4D41-B3DD-DF051327CF99}">
      <text>
        <r>
          <rPr>
            <b/>
            <sz val="9"/>
            <color indexed="81"/>
            <rFont val="Tahoma"/>
            <family val="2"/>
          </rPr>
          <t>&lt;[[DEVDeals] - [Primary Portfolio Property (Seq: 1)] - [Forecast Financials (Seq: 7)] - [Forecast Financial Line Items (Seq: 1)] L4 -06450 -021 - Gas - Both]&gt;</t>
        </r>
      </text>
    </comment>
    <comment ref="L915" authorId="0" shapeId="0" xr:uid="{5D7EC1E0-4639-4990-B034-937214ECDE48}">
      <text>
        <r>
          <rPr>
            <b/>
            <sz val="9"/>
            <color indexed="81"/>
            <rFont val="Tahoma"/>
            <family val="2"/>
          </rPr>
          <t>&lt;[[DEVDeals] - [Primary Portfolio Property (Seq: 1)] - [Forecast Financials (Seq: 8)] - [Forecast Financial Line Items (Seq: 1)] L4 -06450 -021 - Gas - Both]&gt;</t>
        </r>
      </text>
    </comment>
    <comment ref="M915" authorId="0" shapeId="0" xr:uid="{6AAAF1F6-5C64-40AD-94DF-D54F5211C6B3}">
      <text>
        <r>
          <rPr>
            <b/>
            <sz val="9"/>
            <color indexed="81"/>
            <rFont val="Tahoma"/>
            <family val="2"/>
          </rPr>
          <t>&lt;[[DEVDeals] - [Primary Portfolio Property (Seq: 1)] - [Forecast Financials (Seq: 9)] - [Forecast Financial Line Items (Seq: 1)] L4 -06450 -021 - Gas - Both]&gt;</t>
        </r>
      </text>
    </comment>
    <comment ref="N915" authorId="0" shapeId="0" xr:uid="{411518C8-A747-4924-A39A-7593AAA7AE06}">
      <text>
        <r>
          <rPr>
            <b/>
            <sz val="9"/>
            <color indexed="81"/>
            <rFont val="Tahoma"/>
            <family val="2"/>
          </rPr>
          <t>&lt;[[DEVDeals] - [Primary Portfolio Property (Seq: 1)] - [Forecast Financials (Seq: 10)] - [Forecast Financial Line Items (Seq: 1)] L4 -06450 -021 - Gas - Both]&gt;</t>
        </r>
      </text>
    </comment>
    <comment ref="O915" authorId="0" shapeId="0" xr:uid="{8352679E-C255-4977-889C-190E190EF9EF}">
      <text>
        <r>
          <rPr>
            <b/>
            <sz val="9"/>
            <color indexed="81"/>
            <rFont val="Tahoma"/>
            <family val="2"/>
          </rPr>
          <t>&lt;[[DEVDeals] - [Primary Portfolio Property (Seq: 1)] - [Forecast Financials (Seq: 11)] - [Forecast Financial Line Items (Seq: 1)] L4 -06450 -021 - Gas - Both]&gt;</t>
        </r>
      </text>
    </comment>
    <comment ref="P915" authorId="0" shapeId="0" xr:uid="{E749415F-1E60-44BA-846C-3BA478083429}">
      <text>
        <r>
          <rPr>
            <b/>
            <sz val="9"/>
            <color indexed="81"/>
            <rFont val="Tahoma"/>
            <family val="2"/>
          </rPr>
          <t>&lt;[[DEVDeals] - [Primary Portfolio Property (Seq: 1)] - [Forecast Financials (Seq: 12)] - [Forecast Financial Line Items (Seq: 1)] L4 -06450 -021 - Gas - Both]&gt;</t>
        </r>
      </text>
    </comment>
    <comment ref="Q915" authorId="0" shapeId="0" xr:uid="{CD631374-C8A6-4F5D-9115-9F798E1B3677}">
      <text>
        <r>
          <rPr>
            <b/>
            <sz val="9"/>
            <color indexed="81"/>
            <rFont val="Tahoma"/>
            <family val="2"/>
          </rPr>
          <t>&lt;[[DEVDeals] - [Primary Portfolio Property (Seq: 1)] - [Forecast Financials (Seq: 13)] - [Forecast Financial Line Items (Seq: 1)] L4 -06450 -021 - Gas - Both]&gt;</t>
        </r>
      </text>
    </comment>
    <comment ref="R915" authorId="0" shapeId="0" xr:uid="{26800949-C5F9-409B-BAE7-161B34BBA75B}">
      <text>
        <r>
          <rPr>
            <b/>
            <sz val="9"/>
            <color indexed="81"/>
            <rFont val="Tahoma"/>
            <family val="2"/>
          </rPr>
          <t>&lt;[[DEVDeals] - [Primary Portfolio Property (Seq: 1)] - [Forecast Financials (Seq: 14)] - [Forecast Financial Line Items (Seq: 1)] L4 -06450 -021 - Gas - Both]&gt;</t>
        </r>
      </text>
    </comment>
    <comment ref="S915" authorId="0" shapeId="0" xr:uid="{D20B5601-DAD7-44DF-B3DF-0259B056A098}">
      <text>
        <r>
          <rPr>
            <b/>
            <sz val="9"/>
            <color indexed="81"/>
            <rFont val="Tahoma"/>
            <family val="2"/>
          </rPr>
          <t>&lt;[[DEVDeals] - [Primary Portfolio Property (Seq: 1)] - [Forecast Financials (Seq: 15)] - [Forecast Financial Line Items (Seq: 1)] L4 -06450 -021 - Gas - Both]&gt;</t>
        </r>
      </text>
    </comment>
    <comment ref="T915" authorId="0" shapeId="0" xr:uid="{7B2826A3-885E-4AC9-B4D3-3C463D731823}">
      <text>
        <r>
          <rPr>
            <b/>
            <sz val="9"/>
            <color indexed="81"/>
            <rFont val="Tahoma"/>
            <family val="2"/>
          </rPr>
          <t>&lt;[[DEVDeals] - [Primary Portfolio Property (Seq: 1)] - [Forecast Financials (Seq: 16)] - [Forecast Financial Line Items (Seq: 1)] L4 -06450 -021 - Gas - Both]&gt;</t>
        </r>
      </text>
    </comment>
    <comment ref="U915" authorId="0" shapeId="0" xr:uid="{017C4BDE-CA71-4CC1-89D6-174C5D054A8F}">
      <text>
        <r>
          <rPr>
            <b/>
            <sz val="9"/>
            <color indexed="81"/>
            <rFont val="Tahoma"/>
            <family val="2"/>
          </rPr>
          <t>&lt;[[DEVDeals] - [Primary Portfolio Property (Seq: 1)] - [Forecast Financials (Seq: 17)] - [Forecast Financial Line Items (Seq: 1)] L4 -06450 -021 - Gas - Both]&gt;</t>
        </r>
      </text>
    </comment>
    <comment ref="V915" authorId="0" shapeId="0" xr:uid="{9394AC38-E175-4351-9560-8E90FB74478A}">
      <text>
        <r>
          <rPr>
            <b/>
            <sz val="9"/>
            <color indexed="81"/>
            <rFont val="Tahoma"/>
            <family val="2"/>
          </rPr>
          <t>&lt;[[DEVDeals] - [Primary Portfolio Property (Seq: 1)] - [Forecast Financials (Seq: 18)] - [Forecast Financial Line Items (Seq: 1)] L4 -06450 -021 - Gas - Both]&gt;</t>
        </r>
      </text>
    </comment>
    <comment ref="W915" authorId="0" shapeId="0" xr:uid="{E2CE0382-8EEA-439D-B725-6613BB0F2A3E}">
      <text>
        <r>
          <rPr>
            <b/>
            <sz val="9"/>
            <color indexed="81"/>
            <rFont val="Tahoma"/>
            <family val="2"/>
          </rPr>
          <t>&lt;[[DEVDeals] - [Primary Portfolio Property (Seq: 1)] - [Forecast Financials (Seq: 19)] - [Forecast Financial Line Items (Seq: 1)] L4 -06450 -021 - Gas - Both]&gt;</t>
        </r>
      </text>
    </comment>
    <comment ref="X915" authorId="0" shapeId="0" xr:uid="{2D9719D2-415F-4FA2-AE4A-B96205C553CD}">
      <text>
        <r>
          <rPr>
            <b/>
            <sz val="9"/>
            <color indexed="81"/>
            <rFont val="Tahoma"/>
            <family val="2"/>
          </rPr>
          <t>&lt;[[DEVDeals] - [Primary Portfolio Property (Seq: 1)] - [Forecast Financials (Seq: 20)] - [Forecast Financial Line Items (Seq: 1)] L4 -06450 -021 - Gas - Both]&gt;</t>
        </r>
      </text>
    </comment>
    <comment ref="E916" authorId="0" shapeId="0" xr:uid="{A39ACC74-5953-4841-96DF-D8C24A442599}">
      <text>
        <r>
          <rPr>
            <b/>
            <sz val="9"/>
            <color indexed="81"/>
            <rFont val="Tahoma"/>
            <family val="2"/>
          </rPr>
          <t>&lt;[[DEVDeals] - [Primary Portfolio Property (Seq: 1)] - [Forecast Financials (Seq: 1)] - [Forecast Financial Line Items (Seq: 1)] L4 -06450 -032 - Water - Both]&gt;</t>
        </r>
      </text>
    </comment>
    <comment ref="F916" authorId="0" shapeId="0" xr:uid="{196B81A7-3EEB-4409-A5AE-9131C9F65616}">
      <text>
        <r>
          <rPr>
            <b/>
            <sz val="9"/>
            <color indexed="81"/>
            <rFont val="Tahoma"/>
            <family val="2"/>
          </rPr>
          <t>&lt;[[DEVDeals] - [Primary Portfolio Property (Seq: 1)] - [Forecast Financials (Seq: 2)] - [Forecast Financial Line Items (Seq: 1)] L4 -06450 -032 - Water - Both]&gt;</t>
        </r>
      </text>
    </comment>
    <comment ref="G916" authorId="0" shapeId="0" xr:uid="{A6687DD5-B976-459B-AD68-151393E95BA9}">
      <text>
        <r>
          <rPr>
            <b/>
            <sz val="9"/>
            <color indexed="81"/>
            <rFont val="Tahoma"/>
            <family val="2"/>
          </rPr>
          <t>&lt;[[DEVDeals] - [Primary Portfolio Property (Seq: 1)] - [Forecast Financials (Seq: 3)] - [Forecast Financial Line Items (Seq: 1)] L4 -06450 -032 - Water - Both]&gt;</t>
        </r>
      </text>
    </comment>
    <comment ref="H916" authorId="0" shapeId="0" xr:uid="{AEC3AC3D-37A8-4AF2-83CD-9B82F12CE51D}">
      <text>
        <r>
          <rPr>
            <b/>
            <sz val="9"/>
            <color indexed="81"/>
            <rFont val="Tahoma"/>
            <family val="2"/>
          </rPr>
          <t>&lt;[[DEVDeals] - [Primary Portfolio Property (Seq: 1)] - [Forecast Financials (Seq: 4)] - [Forecast Financial Line Items (Seq: 1)] L4 -06450 -032 - Water - Both]&gt;</t>
        </r>
      </text>
    </comment>
    <comment ref="I916" authorId="0" shapeId="0" xr:uid="{F882DD15-A387-4D14-ACAC-DD638DB209AC}">
      <text>
        <r>
          <rPr>
            <b/>
            <sz val="9"/>
            <color indexed="81"/>
            <rFont val="Tahoma"/>
            <family val="2"/>
          </rPr>
          <t>&lt;[[DEVDeals] - [Primary Portfolio Property (Seq: 1)] - [Forecast Financials (Seq: 5)] - [Forecast Financial Line Items (Seq: 1)] L4 -06450 -032 - Water - Both]&gt;</t>
        </r>
      </text>
    </comment>
    <comment ref="J916" authorId="0" shapeId="0" xr:uid="{96F29D1C-7DAA-4A3A-AE71-0F3464291BE7}">
      <text>
        <r>
          <rPr>
            <b/>
            <sz val="9"/>
            <color indexed="81"/>
            <rFont val="Tahoma"/>
            <family val="2"/>
          </rPr>
          <t>&lt;[[DEVDeals] - [Primary Portfolio Property (Seq: 1)] - [Forecast Financials (Seq: 6)] - [Forecast Financial Line Items (Seq: 1)] L4 -06450 -032 - Water - Both]&gt;</t>
        </r>
      </text>
    </comment>
    <comment ref="K916" authorId="0" shapeId="0" xr:uid="{AB6056F0-F8A3-47E7-BF0E-D767CA1AAA0B}">
      <text>
        <r>
          <rPr>
            <b/>
            <sz val="9"/>
            <color indexed="81"/>
            <rFont val="Tahoma"/>
            <family val="2"/>
          </rPr>
          <t>&lt;[[DEVDeals] - [Primary Portfolio Property (Seq: 1)] - [Forecast Financials (Seq: 7)] - [Forecast Financial Line Items (Seq: 1)] L4 -06450 -032 - Water - Both]&gt;</t>
        </r>
      </text>
    </comment>
    <comment ref="L916" authorId="0" shapeId="0" xr:uid="{84F2B46E-55FE-4CE8-AC18-78118CB63479}">
      <text>
        <r>
          <rPr>
            <b/>
            <sz val="9"/>
            <color indexed="81"/>
            <rFont val="Tahoma"/>
            <family val="2"/>
          </rPr>
          <t>&lt;[[DEVDeals] - [Primary Portfolio Property (Seq: 1)] - [Forecast Financials (Seq: 8)] - [Forecast Financial Line Items (Seq: 1)] L4 -06450 -032 - Water - Both]&gt;</t>
        </r>
      </text>
    </comment>
    <comment ref="M916" authorId="0" shapeId="0" xr:uid="{74DBAC7F-C78F-4EA9-AA38-4940FAA4E60B}">
      <text>
        <r>
          <rPr>
            <b/>
            <sz val="9"/>
            <color indexed="81"/>
            <rFont val="Tahoma"/>
            <family val="2"/>
          </rPr>
          <t>&lt;[[DEVDeals] - [Primary Portfolio Property (Seq: 1)] - [Forecast Financials (Seq: 9)] - [Forecast Financial Line Items (Seq: 1)] L4 -06450 -032 - Water - Both]&gt;</t>
        </r>
      </text>
    </comment>
    <comment ref="N916" authorId="0" shapeId="0" xr:uid="{2C919EE2-F61F-49F8-A840-2B96AF25DE4F}">
      <text>
        <r>
          <rPr>
            <b/>
            <sz val="9"/>
            <color indexed="81"/>
            <rFont val="Tahoma"/>
            <family val="2"/>
          </rPr>
          <t>&lt;[[DEVDeals] - [Primary Portfolio Property (Seq: 1)] - [Forecast Financials (Seq: 10)] - [Forecast Financial Line Items (Seq: 1)] L4 -06450 -032 - Water - Both]&gt;</t>
        </r>
      </text>
    </comment>
    <comment ref="O916" authorId="0" shapeId="0" xr:uid="{43EE791B-C87B-4B44-996F-F9F545A7CF67}">
      <text>
        <r>
          <rPr>
            <b/>
            <sz val="9"/>
            <color indexed="81"/>
            <rFont val="Tahoma"/>
            <family val="2"/>
          </rPr>
          <t>&lt;[[DEVDeals] - [Primary Portfolio Property (Seq: 1)] - [Forecast Financials (Seq: 11)] - [Forecast Financial Line Items (Seq: 1)] L4 -06450 -032 - Water - Both]&gt;</t>
        </r>
      </text>
    </comment>
    <comment ref="P916" authorId="0" shapeId="0" xr:uid="{26EEF580-C769-4473-B9CB-7DE855B3CF37}">
      <text>
        <r>
          <rPr>
            <b/>
            <sz val="9"/>
            <color indexed="81"/>
            <rFont val="Tahoma"/>
            <family val="2"/>
          </rPr>
          <t>&lt;[[DEVDeals] - [Primary Portfolio Property (Seq: 1)] - [Forecast Financials (Seq: 12)] - [Forecast Financial Line Items (Seq: 1)] L4 -06450 -032 - Water - Both]&gt;</t>
        </r>
      </text>
    </comment>
    <comment ref="Q916" authorId="0" shapeId="0" xr:uid="{FC4FDE99-DFA3-4BA7-A6D4-D8419D34915D}">
      <text>
        <r>
          <rPr>
            <b/>
            <sz val="9"/>
            <color indexed="81"/>
            <rFont val="Tahoma"/>
            <family val="2"/>
          </rPr>
          <t>&lt;[[DEVDeals] - [Primary Portfolio Property (Seq: 1)] - [Forecast Financials (Seq: 13)] - [Forecast Financial Line Items (Seq: 1)] L4 -06450 -032 - Water - Both]&gt;</t>
        </r>
      </text>
    </comment>
    <comment ref="R916" authorId="0" shapeId="0" xr:uid="{9F2249CF-F2AB-42C9-B36B-0FF933A74DFE}">
      <text>
        <r>
          <rPr>
            <b/>
            <sz val="9"/>
            <color indexed="81"/>
            <rFont val="Tahoma"/>
            <family val="2"/>
          </rPr>
          <t>&lt;[[DEVDeals] - [Primary Portfolio Property (Seq: 1)] - [Forecast Financials (Seq: 14)] - [Forecast Financial Line Items (Seq: 1)] L4 -06450 -032 - Water - Both]&gt;</t>
        </r>
      </text>
    </comment>
    <comment ref="S916" authorId="0" shapeId="0" xr:uid="{A8F68B23-DA9A-4784-8180-E35A8E6903F4}">
      <text>
        <r>
          <rPr>
            <b/>
            <sz val="9"/>
            <color indexed="81"/>
            <rFont val="Tahoma"/>
            <family val="2"/>
          </rPr>
          <t>&lt;[[DEVDeals] - [Primary Portfolio Property (Seq: 1)] - [Forecast Financials (Seq: 15)] - [Forecast Financial Line Items (Seq: 1)] L4 -06450 -032 - Water - Both]&gt;</t>
        </r>
      </text>
    </comment>
    <comment ref="T916" authorId="0" shapeId="0" xr:uid="{B41CF6CD-39A9-4896-9CFB-8574D0266EA7}">
      <text>
        <r>
          <rPr>
            <b/>
            <sz val="9"/>
            <color indexed="81"/>
            <rFont val="Tahoma"/>
            <family val="2"/>
          </rPr>
          <t>&lt;[[DEVDeals] - [Primary Portfolio Property (Seq: 1)] - [Forecast Financials (Seq: 16)] - [Forecast Financial Line Items (Seq: 1)] L4 -06450 -032 - Water - Both]&gt;</t>
        </r>
      </text>
    </comment>
    <comment ref="U916" authorId="0" shapeId="0" xr:uid="{8BAEC1A8-A524-4FAD-9F8B-A7CD41BF5B44}">
      <text>
        <r>
          <rPr>
            <b/>
            <sz val="9"/>
            <color indexed="81"/>
            <rFont val="Tahoma"/>
            <family val="2"/>
          </rPr>
          <t>&lt;[[DEVDeals] - [Primary Portfolio Property (Seq: 1)] - [Forecast Financials (Seq: 17)] - [Forecast Financial Line Items (Seq: 1)] L4 -06450 -032 - Water - Both]&gt;</t>
        </r>
      </text>
    </comment>
    <comment ref="V916" authorId="0" shapeId="0" xr:uid="{727A93D6-61A9-40F0-9715-E56E6A59ABB2}">
      <text>
        <r>
          <rPr>
            <b/>
            <sz val="9"/>
            <color indexed="81"/>
            <rFont val="Tahoma"/>
            <family val="2"/>
          </rPr>
          <t>&lt;[[DEVDeals] - [Primary Portfolio Property (Seq: 1)] - [Forecast Financials (Seq: 18)] - [Forecast Financial Line Items (Seq: 1)] L4 -06450 -032 - Water - Both]&gt;</t>
        </r>
      </text>
    </comment>
    <comment ref="W916" authorId="0" shapeId="0" xr:uid="{F851B657-9607-484D-961E-4A9040A70677}">
      <text>
        <r>
          <rPr>
            <b/>
            <sz val="9"/>
            <color indexed="81"/>
            <rFont val="Tahoma"/>
            <family val="2"/>
          </rPr>
          <t>&lt;[[DEVDeals] - [Primary Portfolio Property (Seq: 1)] - [Forecast Financials (Seq: 19)] - [Forecast Financial Line Items (Seq: 1)] L4 -06450 -032 - Water - Both]&gt;</t>
        </r>
      </text>
    </comment>
    <comment ref="X916" authorId="0" shapeId="0" xr:uid="{D4D8E529-C25E-4649-95BD-6961C7D805A9}">
      <text>
        <r>
          <rPr>
            <b/>
            <sz val="9"/>
            <color indexed="81"/>
            <rFont val="Tahoma"/>
            <family val="2"/>
          </rPr>
          <t>&lt;[[DEVDeals] - [Primary Portfolio Property (Seq: 1)] - [Forecast Financials (Seq: 20)] - [Forecast Financial Line Items (Seq: 1)] L4 -06450 -032 - Water - Both]&gt;</t>
        </r>
      </text>
    </comment>
    <comment ref="E917" authorId="0" shapeId="0" xr:uid="{B9ED04F3-3C76-4A00-B309-33EF0AF6DAD4}">
      <text>
        <r>
          <rPr>
            <b/>
            <sz val="9"/>
            <color indexed="81"/>
            <rFont val="Tahoma"/>
            <family val="2"/>
          </rPr>
          <t>&lt;[[DEVDeals] - [Primary Portfolio Property (Seq: 1)] - [Forecast Financials (Seq: 1)] - [Forecast Financial Line Items (Seq: 1)] L4 -06450 -033 - Sewer - Both]&gt;</t>
        </r>
      </text>
    </comment>
    <comment ref="F917" authorId="0" shapeId="0" xr:uid="{C6F932BE-63DD-45FC-B6B2-558798661C75}">
      <text>
        <r>
          <rPr>
            <b/>
            <sz val="9"/>
            <color indexed="81"/>
            <rFont val="Tahoma"/>
            <family val="2"/>
          </rPr>
          <t>&lt;[[DEVDeals] - [Primary Portfolio Property (Seq: 1)] - [Forecast Financials (Seq: 2)] - [Forecast Financial Line Items (Seq: 1)] L4 -06450 -033 - Sewer - Both]&gt;</t>
        </r>
      </text>
    </comment>
    <comment ref="G917" authorId="0" shapeId="0" xr:uid="{A3A2DC0C-31BB-4407-B6CA-596A3A4CF6EE}">
      <text>
        <r>
          <rPr>
            <b/>
            <sz val="9"/>
            <color indexed="81"/>
            <rFont val="Tahoma"/>
            <family val="2"/>
          </rPr>
          <t>&lt;[[DEVDeals] - [Primary Portfolio Property (Seq: 1)] - [Forecast Financials (Seq: 3)] - [Forecast Financial Line Items (Seq: 1)] L4 -06450 -033 - Sewer - Both]&gt;</t>
        </r>
      </text>
    </comment>
    <comment ref="H917" authorId="0" shapeId="0" xr:uid="{0F5D1AE1-4FC7-4F87-B617-46CF030A081E}">
      <text>
        <r>
          <rPr>
            <b/>
            <sz val="9"/>
            <color indexed="81"/>
            <rFont val="Tahoma"/>
            <family val="2"/>
          </rPr>
          <t>&lt;[[DEVDeals] - [Primary Portfolio Property (Seq: 1)] - [Forecast Financials (Seq: 4)] - [Forecast Financial Line Items (Seq: 1)] L4 -06450 -033 - Sewer - Both]&gt;</t>
        </r>
      </text>
    </comment>
    <comment ref="I917" authorId="0" shapeId="0" xr:uid="{C6F88935-5B46-417D-8B96-264961EB5469}">
      <text>
        <r>
          <rPr>
            <b/>
            <sz val="9"/>
            <color indexed="81"/>
            <rFont val="Tahoma"/>
            <family val="2"/>
          </rPr>
          <t>&lt;[[DEVDeals] - [Primary Portfolio Property (Seq: 1)] - [Forecast Financials (Seq: 5)] - [Forecast Financial Line Items (Seq: 1)] L4 -06450 -033 - Sewer - Both]&gt;</t>
        </r>
      </text>
    </comment>
    <comment ref="J917" authorId="0" shapeId="0" xr:uid="{B0631EF9-3B96-42B7-B4EC-50B27E5AC7CD}">
      <text>
        <r>
          <rPr>
            <b/>
            <sz val="9"/>
            <color indexed="81"/>
            <rFont val="Tahoma"/>
            <family val="2"/>
          </rPr>
          <t>&lt;[[DEVDeals] - [Primary Portfolio Property (Seq: 1)] - [Forecast Financials (Seq: 6)] - [Forecast Financial Line Items (Seq: 1)] L4 -06450 -033 - Sewer - Both]&gt;</t>
        </r>
      </text>
    </comment>
    <comment ref="K917" authorId="0" shapeId="0" xr:uid="{DC07239C-1D88-42EF-9128-3201AA4DA7AE}">
      <text>
        <r>
          <rPr>
            <b/>
            <sz val="9"/>
            <color indexed="81"/>
            <rFont val="Tahoma"/>
            <family val="2"/>
          </rPr>
          <t>&lt;[[DEVDeals] - [Primary Portfolio Property (Seq: 1)] - [Forecast Financials (Seq: 7)] - [Forecast Financial Line Items (Seq: 1)] L4 -06450 -033 - Sewer - Both]&gt;</t>
        </r>
      </text>
    </comment>
    <comment ref="L917" authorId="0" shapeId="0" xr:uid="{3DAA3C58-40FE-4586-A8E4-8F01870B1E74}">
      <text>
        <r>
          <rPr>
            <b/>
            <sz val="9"/>
            <color indexed="81"/>
            <rFont val="Tahoma"/>
            <family val="2"/>
          </rPr>
          <t>&lt;[[DEVDeals] - [Primary Portfolio Property (Seq: 1)] - [Forecast Financials (Seq: 8)] - [Forecast Financial Line Items (Seq: 1)] L4 -06450 -033 - Sewer - Both]&gt;</t>
        </r>
      </text>
    </comment>
    <comment ref="M917" authorId="0" shapeId="0" xr:uid="{384CE088-A45B-49C7-A3B4-534C8AFC3A59}">
      <text>
        <r>
          <rPr>
            <b/>
            <sz val="9"/>
            <color indexed="81"/>
            <rFont val="Tahoma"/>
            <family val="2"/>
          </rPr>
          <t>&lt;[[DEVDeals] - [Primary Portfolio Property (Seq: 1)] - [Forecast Financials (Seq: 9)] - [Forecast Financial Line Items (Seq: 1)] L4 -06450 -033 - Sewer - Both]&gt;</t>
        </r>
      </text>
    </comment>
    <comment ref="N917" authorId="0" shapeId="0" xr:uid="{D46ECBB3-161C-430D-A44B-F1F6584152EE}">
      <text>
        <r>
          <rPr>
            <b/>
            <sz val="9"/>
            <color indexed="81"/>
            <rFont val="Tahoma"/>
            <family val="2"/>
          </rPr>
          <t>&lt;[[DEVDeals] - [Primary Portfolio Property (Seq: 1)] - [Forecast Financials (Seq: 10)] - [Forecast Financial Line Items (Seq: 1)] L4 -06450 -033 - Sewer - Both]&gt;</t>
        </r>
      </text>
    </comment>
    <comment ref="O917" authorId="0" shapeId="0" xr:uid="{05FF8534-BB42-485A-B525-43F47C2D3DE2}">
      <text>
        <r>
          <rPr>
            <b/>
            <sz val="9"/>
            <color indexed="81"/>
            <rFont val="Tahoma"/>
            <family val="2"/>
          </rPr>
          <t>&lt;[[DEVDeals] - [Primary Portfolio Property (Seq: 1)] - [Forecast Financials (Seq: 11)] - [Forecast Financial Line Items (Seq: 1)] L4 -06450 -033 - Sewer - Both]&gt;</t>
        </r>
      </text>
    </comment>
    <comment ref="P917" authorId="0" shapeId="0" xr:uid="{1DE914F4-B08D-47C3-AC50-AE9A4856DD66}">
      <text>
        <r>
          <rPr>
            <b/>
            <sz val="9"/>
            <color indexed="81"/>
            <rFont val="Tahoma"/>
            <family val="2"/>
          </rPr>
          <t>&lt;[[DEVDeals] - [Primary Portfolio Property (Seq: 1)] - [Forecast Financials (Seq: 12)] - [Forecast Financial Line Items (Seq: 1)] L4 -06450 -033 - Sewer - Both]&gt;</t>
        </r>
      </text>
    </comment>
    <comment ref="Q917" authorId="0" shapeId="0" xr:uid="{980317FA-9438-464B-8FD3-81DA6EE88864}">
      <text>
        <r>
          <rPr>
            <b/>
            <sz val="9"/>
            <color indexed="81"/>
            <rFont val="Tahoma"/>
            <family val="2"/>
          </rPr>
          <t>&lt;[[DEVDeals] - [Primary Portfolio Property (Seq: 1)] - [Forecast Financials (Seq: 13)] - [Forecast Financial Line Items (Seq: 1)] L4 -06450 -033 - Sewer - Both]&gt;</t>
        </r>
      </text>
    </comment>
    <comment ref="R917" authorId="0" shapeId="0" xr:uid="{D284E7FB-61DF-435E-AB7B-1E837F212C66}">
      <text>
        <r>
          <rPr>
            <b/>
            <sz val="9"/>
            <color indexed="81"/>
            <rFont val="Tahoma"/>
            <family val="2"/>
          </rPr>
          <t>&lt;[[DEVDeals] - [Primary Portfolio Property (Seq: 1)] - [Forecast Financials (Seq: 14)] - [Forecast Financial Line Items (Seq: 1)] L4 -06450 -033 - Sewer - Both]&gt;</t>
        </r>
      </text>
    </comment>
    <comment ref="S917" authorId="0" shapeId="0" xr:uid="{7BA92D93-F1CE-4789-9C47-AD2592ED4DFC}">
      <text>
        <r>
          <rPr>
            <b/>
            <sz val="9"/>
            <color indexed="81"/>
            <rFont val="Tahoma"/>
            <family val="2"/>
          </rPr>
          <t>&lt;[[DEVDeals] - [Primary Portfolio Property (Seq: 1)] - [Forecast Financials (Seq: 15)] - [Forecast Financial Line Items (Seq: 1)] L4 -06450 -033 - Sewer - Both]&gt;</t>
        </r>
      </text>
    </comment>
    <comment ref="T917" authorId="0" shapeId="0" xr:uid="{1C85A794-69A3-4E0C-AAEB-A39ABECF84D5}">
      <text>
        <r>
          <rPr>
            <b/>
            <sz val="9"/>
            <color indexed="81"/>
            <rFont val="Tahoma"/>
            <family val="2"/>
          </rPr>
          <t>&lt;[[DEVDeals] - [Primary Portfolio Property (Seq: 1)] - [Forecast Financials (Seq: 16)] - [Forecast Financial Line Items (Seq: 1)] L4 -06450 -033 - Sewer - Both]&gt;</t>
        </r>
      </text>
    </comment>
    <comment ref="U917" authorId="0" shapeId="0" xr:uid="{B7F5EE0E-F815-4032-B611-ABBCB6DB3AA1}">
      <text>
        <r>
          <rPr>
            <b/>
            <sz val="9"/>
            <color indexed="81"/>
            <rFont val="Tahoma"/>
            <family val="2"/>
          </rPr>
          <t>&lt;[[DEVDeals] - [Primary Portfolio Property (Seq: 1)] - [Forecast Financials (Seq: 17)] - [Forecast Financial Line Items (Seq: 1)] L4 -06450 -033 - Sewer - Both]&gt;</t>
        </r>
      </text>
    </comment>
    <comment ref="V917" authorId="0" shapeId="0" xr:uid="{27F99D35-E39B-445D-B501-E216D729A0E3}">
      <text>
        <r>
          <rPr>
            <b/>
            <sz val="9"/>
            <color indexed="81"/>
            <rFont val="Tahoma"/>
            <family val="2"/>
          </rPr>
          <t>&lt;[[DEVDeals] - [Primary Portfolio Property (Seq: 1)] - [Forecast Financials (Seq: 18)] - [Forecast Financial Line Items (Seq: 1)] L4 -06450 -033 - Sewer - Both]&gt;</t>
        </r>
      </text>
    </comment>
    <comment ref="W917" authorId="0" shapeId="0" xr:uid="{E2419892-33DE-4038-AEB7-E9F8AB0C3DE3}">
      <text>
        <r>
          <rPr>
            <b/>
            <sz val="9"/>
            <color indexed="81"/>
            <rFont val="Tahoma"/>
            <family val="2"/>
          </rPr>
          <t>&lt;[[DEVDeals] - [Primary Portfolio Property (Seq: 1)] - [Forecast Financials (Seq: 19)] - [Forecast Financial Line Items (Seq: 1)] L4 -06450 -033 - Sewer - Both]&gt;</t>
        </r>
      </text>
    </comment>
    <comment ref="X917" authorId="0" shapeId="0" xr:uid="{E20789D7-0195-4F8F-A2A2-C5D0EBDA7671}">
      <text>
        <r>
          <rPr>
            <b/>
            <sz val="9"/>
            <color indexed="81"/>
            <rFont val="Tahoma"/>
            <family val="2"/>
          </rPr>
          <t>&lt;[[DEVDeals] - [Primary Portfolio Property (Seq: 1)] - [Forecast Financials (Seq: 20)] - [Forecast Financial Line Items (Seq: 1)] L4 -06450 -033 - Sewer - Both]&gt;</t>
        </r>
      </text>
    </comment>
    <comment ref="E918" authorId="0" shapeId="0" xr:uid="{8B7A7B5B-EBF4-4664-A8F7-D161E6EADFDC}">
      <text>
        <r>
          <rPr>
            <b/>
            <sz val="9"/>
            <color indexed="81"/>
            <rFont val="Tahoma"/>
            <family val="2"/>
          </rPr>
          <t>&lt;[[DEVDeals] - [Primary Portfolio Property (Seq: 1)] - [Forecast Financials (Seq: 1)] - [Forecast Financial Line Items (Seq: 1)] L4 -06510 -012 - Janitorialand Cleaning Payroll - Both]&gt;</t>
        </r>
      </text>
    </comment>
    <comment ref="F918" authorId="0" shapeId="0" xr:uid="{3086E0B3-071C-4BB3-A16A-749CB0BF181F}">
      <text>
        <r>
          <rPr>
            <b/>
            <sz val="9"/>
            <color indexed="81"/>
            <rFont val="Tahoma"/>
            <family val="2"/>
          </rPr>
          <t>&lt;[[DEVDeals] - [Primary Portfolio Property (Seq: 1)] - [Forecast Financials (Seq: 2)] - [Forecast Financial Line Items (Seq: 1)] L4 -06510 -012 - Janitorialand Cleaning Payroll - Both]&gt;</t>
        </r>
      </text>
    </comment>
    <comment ref="G918" authorId="0" shapeId="0" xr:uid="{E23144F0-C1A8-4FD0-9403-A5E494EAC8F1}">
      <text>
        <r>
          <rPr>
            <b/>
            <sz val="9"/>
            <color indexed="81"/>
            <rFont val="Tahoma"/>
            <family val="2"/>
          </rPr>
          <t>&lt;[[DEVDeals] - [Primary Portfolio Property (Seq: 1)] - [Forecast Financials (Seq: 3)] - [Forecast Financial Line Items (Seq: 1)] L4 -06510 -012 - Janitorialand Cleaning Payroll - Both]&gt;</t>
        </r>
      </text>
    </comment>
    <comment ref="H918" authorId="0" shapeId="0" xr:uid="{637CBFA3-9338-4FC1-962F-24B5708AF9E2}">
      <text>
        <r>
          <rPr>
            <b/>
            <sz val="9"/>
            <color indexed="81"/>
            <rFont val="Tahoma"/>
            <family val="2"/>
          </rPr>
          <t>&lt;[[DEVDeals] - [Primary Portfolio Property (Seq: 1)] - [Forecast Financials (Seq: 4)] - [Forecast Financial Line Items (Seq: 1)] L4 -06510 -012 - Janitorialand Cleaning Payroll - Both]&gt;</t>
        </r>
      </text>
    </comment>
    <comment ref="I918" authorId="0" shapeId="0" xr:uid="{3B13ACAC-B27E-4697-9EB8-D69E66A8C1C4}">
      <text>
        <r>
          <rPr>
            <b/>
            <sz val="9"/>
            <color indexed="81"/>
            <rFont val="Tahoma"/>
            <family val="2"/>
          </rPr>
          <t>&lt;[[DEVDeals] - [Primary Portfolio Property (Seq: 1)] - [Forecast Financials (Seq: 5)] - [Forecast Financial Line Items (Seq: 1)] L4 -06510 -012 - Janitorialand Cleaning Payroll - Both]&gt;</t>
        </r>
      </text>
    </comment>
    <comment ref="J918" authorId="0" shapeId="0" xr:uid="{8661F90C-BB0F-4B1A-815A-34152F755873}">
      <text>
        <r>
          <rPr>
            <b/>
            <sz val="9"/>
            <color indexed="81"/>
            <rFont val="Tahoma"/>
            <family val="2"/>
          </rPr>
          <t>&lt;[[DEVDeals] - [Primary Portfolio Property (Seq: 1)] - [Forecast Financials (Seq: 6)] - [Forecast Financial Line Items (Seq: 1)] L4 -06510 -012 - Janitorialand Cleaning Payroll - Both]&gt;</t>
        </r>
      </text>
    </comment>
    <comment ref="K918" authorId="0" shapeId="0" xr:uid="{43745A49-BDD1-4907-A04B-7BA38DE641EE}">
      <text>
        <r>
          <rPr>
            <b/>
            <sz val="9"/>
            <color indexed="81"/>
            <rFont val="Tahoma"/>
            <family val="2"/>
          </rPr>
          <t>&lt;[[DEVDeals] - [Primary Portfolio Property (Seq: 1)] - [Forecast Financials (Seq: 7)] - [Forecast Financial Line Items (Seq: 1)] L4 -06510 -012 - Janitorialand Cleaning Payroll - Both]&gt;</t>
        </r>
      </text>
    </comment>
    <comment ref="L918" authorId="0" shapeId="0" xr:uid="{74AD9E66-86E3-4C9A-A899-7B338045205A}">
      <text>
        <r>
          <rPr>
            <b/>
            <sz val="9"/>
            <color indexed="81"/>
            <rFont val="Tahoma"/>
            <family val="2"/>
          </rPr>
          <t>&lt;[[DEVDeals] - [Primary Portfolio Property (Seq: 1)] - [Forecast Financials (Seq: 8)] - [Forecast Financial Line Items (Seq: 1)] L4 -06510 -012 - Janitorialand Cleaning Payroll - Both]&gt;</t>
        </r>
      </text>
    </comment>
    <comment ref="M918" authorId="0" shapeId="0" xr:uid="{76B0BC9D-C2C6-444D-85E8-FFA6E30E9817}">
      <text>
        <r>
          <rPr>
            <b/>
            <sz val="9"/>
            <color indexed="81"/>
            <rFont val="Tahoma"/>
            <family val="2"/>
          </rPr>
          <t>&lt;[[DEVDeals] - [Primary Portfolio Property (Seq: 1)] - [Forecast Financials (Seq: 9)] - [Forecast Financial Line Items (Seq: 1)] L4 -06510 -012 - Janitorialand Cleaning Payroll - Both]&gt;</t>
        </r>
      </text>
    </comment>
    <comment ref="N918" authorId="0" shapeId="0" xr:uid="{94880BD6-B40E-4E16-A627-DB4FEF2148B4}">
      <text>
        <r>
          <rPr>
            <b/>
            <sz val="9"/>
            <color indexed="81"/>
            <rFont val="Tahoma"/>
            <family val="2"/>
          </rPr>
          <t>&lt;[[DEVDeals] - [Primary Portfolio Property (Seq: 1)] - [Forecast Financials (Seq: 10)] - [Forecast Financial Line Items (Seq: 1)] L4 -06510 -012 - Janitorialand Cleaning Payroll - Both]&gt;</t>
        </r>
      </text>
    </comment>
    <comment ref="O918" authorId="0" shapeId="0" xr:uid="{902E7335-4CAC-4F9E-AF3E-AF4BCD0C4B8E}">
      <text>
        <r>
          <rPr>
            <b/>
            <sz val="9"/>
            <color indexed="81"/>
            <rFont val="Tahoma"/>
            <family val="2"/>
          </rPr>
          <t>&lt;[[DEVDeals] - [Primary Portfolio Property (Seq: 1)] - [Forecast Financials (Seq: 11)] - [Forecast Financial Line Items (Seq: 1)] L4 -06510 -012 - Janitorialand Cleaning Payroll - Both]&gt;</t>
        </r>
      </text>
    </comment>
    <comment ref="P918" authorId="0" shapeId="0" xr:uid="{7ED81C1F-2B0A-40C6-81D2-F5CED5F0AA12}">
      <text>
        <r>
          <rPr>
            <b/>
            <sz val="9"/>
            <color indexed="81"/>
            <rFont val="Tahoma"/>
            <family val="2"/>
          </rPr>
          <t>&lt;[[DEVDeals] - [Primary Portfolio Property (Seq: 1)] - [Forecast Financials (Seq: 12)] - [Forecast Financial Line Items (Seq: 1)] L4 -06510 -012 - Janitorialand Cleaning Payroll - Both]&gt;</t>
        </r>
      </text>
    </comment>
    <comment ref="Q918" authorId="0" shapeId="0" xr:uid="{34A89F7D-9C0C-4085-B429-D48067337C10}">
      <text>
        <r>
          <rPr>
            <b/>
            <sz val="9"/>
            <color indexed="81"/>
            <rFont val="Tahoma"/>
            <family val="2"/>
          </rPr>
          <t>&lt;[[DEVDeals] - [Primary Portfolio Property (Seq: 1)] - [Forecast Financials (Seq: 13)] - [Forecast Financial Line Items (Seq: 1)] L4 -06510 -012 - Janitorialand Cleaning Payroll - Both]&gt;</t>
        </r>
      </text>
    </comment>
    <comment ref="R918" authorId="0" shapeId="0" xr:uid="{1EAEACB6-DE09-45A5-B6A0-9723C068B1C2}">
      <text>
        <r>
          <rPr>
            <b/>
            <sz val="9"/>
            <color indexed="81"/>
            <rFont val="Tahoma"/>
            <family val="2"/>
          </rPr>
          <t>&lt;[[DEVDeals] - [Primary Portfolio Property (Seq: 1)] - [Forecast Financials (Seq: 14)] - [Forecast Financial Line Items (Seq: 1)] L4 -06510 -012 - Janitorialand Cleaning Payroll - Both]&gt;</t>
        </r>
      </text>
    </comment>
    <comment ref="S918" authorId="0" shapeId="0" xr:uid="{55945E35-D22B-473B-A2A0-EC283BDD3AA5}">
      <text>
        <r>
          <rPr>
            <b/>
            <sz val="9"/>
            <color indexed="81"/>
            <rFont val="Tahoma"/>
            <family val="2"/>
          </rPr>
          <t>&lt;[[DEVDeals] - [Primary Portfolio Property (Seq: 1)] - [Forecast Financials (Seq: 15)] - [Forecast Financial Line Items (Seq: 1)] L4 -06510 -012 - Janitorialand Cleaning Payroll - Both]&gt;</t>
        </r>
      </text>
    </comment>
    <comment ref="T918" authorId="0" shapeId="0" xr:uid="{B3B04180-4BC5-4283-976A-0204C92F54C2}">
      <text>
        <r>
          <rPr>
            <b/>
            <sz val="9"/>
            <color indexed="81"/>
            <rFont val="Tahoma"/>
            <family val="2"/>
          </rPr>
          <t>&lt;[[DEVDeals] - [Primary Portfolio Property (Seq: 1)] - [Forecast Financials (Seq: 16)] - [Forecast Financial Line Items (Seq: 1)] L4 -06510 -012 - Janitorialand Cleaning Payroll - Both]&gt;</t>
        </r>
      </text>
    </comment>
    <comment ref="U918" authorId="0" shapeId="0" xr:uid="{6BB3FE96-54F1-49B2-BB9F-DE8DB5344CA2}">
      <text>
        <r>
          <rPr>
            <b/>
            <sz val="9"/>
            <color indexed="81"/>
            <rFont val="Tahoma"/>
            <family val="2"/>
          </rPr>
          <t>&lt;[[DEVDeals] - [Primary Portfolio Property (Seq: 1)] - [Forecast Financials (Seq: 17)] - [Forecast Financial Line Items (Seq: 1)] L4 -06510 -012 - Janitorialand Cleaning Payroll - Both]&gt;</t>
        </r>
      </text>
    </comment>
    <comment ref="V918" authorId="0" shapeId="0" xr:uid="{D241A64E-B92F-414A-9808-F3958920048B}">
      <text>
        <r>
          <rPr>
            <b/>
            <sz val="9"/>
            <color indexed="81"/>
            <rFont val="Tahoma"/>
            <family val="2"/>
          </rPr>
          <t>&lt;[[DEVDeals] - [Primary Portfolio Property (Seq: 1)] - [Forecast Financials (Seq: 18)] - [Forecast Financial Line Items (Seq: 1)] L4 -06510 -012 - Janitorialand Cleaning Payroll - Both]&gt;</t>
        </r>
      </text>
    </comment>
    <comment ref="W918" authorId="0" shapeId="0" xr:uid="{7B01C417-2D8E-4CAE-A829-BFE361CBBE22}">
      <text>
        <r>
          <rPr>
            <b/>
            <sz val="9"/>
            <color indexed="81"/>
            <rFont val="Tahoma"/>
            <family val="2"/>
          </rPr>
          <t>&lt;[[DEVDeals] - [Primary Portfolio Property (Seq: 1)] - [Forecast Financials (Seq: 19)] - [Forecast Financial Line Items (Seq: 1)] L4 -06510 -012 - Janitorialand Cleaning Payroll - Both]&gt;</t>
        </r>
      </text>
    </comment>
    <comment ref="X918" authorId="0" shapeId="0" xr:uid="{77097550-4353-456A-BB6B-88385D01B60C}">
      <text>
        <r>
          <rPr>
            <b/>
            <sz val="9"/>
            <color indexed="81"/>
            <rFont val="Tahoma"/>
            <family val="2"/>
          </rPr>
          <t>&lt;[[DEVDeals] - [Primary Portfolio Property (Seq: 1)] - [Forecast Financials (Seq: 20)] - [Forecast Financial Line Items (Seq: 1)] L4 -06510 -012 - Janitorialand Cleaning Payroll - Both]&gt;</t>
        </r>
      </text>
    </comment>
    <comment ref="E919" authorId="0" shapeId="0" xr:uid="{CCCEA4EE-F9A3-4258-A776-85AA0B787FCC}">
      <text>
        <r>
          <rPr>
            <b/>
            <sz val="9"/>
            <color indexed="81"/>
            <rFont val="Tahoma"/>
            <family val="2"/>
          </rPr>
          <t>&lt;[[DEVDeals] - [Primary Portfolio Property (Seq: 1)] - [Forecast Financials (Seq: 1)] - [Forecast Financial Line Items (Seq: 1)] L4 -06515 -012 - Janitorialand Cleaning Supply - Both]&gt;</t>
        </r>
      </text>
    </comment>
    <comment ref="F919" authorId="0" shapeId="0" xr:uid="{0A7BB947-DAAB-49B6-9AD0-335E54222C3F}">
      <text>
        <r>
          <rPr>
            <b/>
            <sz val="9"/>
            <color indexed="81"/>
            <rFont val="Tahoma"/>
            <family val="2"/>
          </rPr>
          <t>&lt;[[DEVDeals] - [Primary Portfolio Property (Seq: 1)] - [Forecast Financials (Seq: 2)] - [Forecast Financial Line Items (Seq: 1)] L4 -06515 -012 - Janitorialand Cleaning Supply - Both]&gt;</t>
        </r>
      </text>
    </comment>
    <comment ref="G919" authorId="0" shapeId="0" xr:uid="{FCD04A17-399B-420D-9C18-4457C981E724}">
      <text>
        <r>
          <rPr>
            <b/>
            <sz val="9"/>
            <color indexed="81"/>
            <rFont val="Tahoma"/>
            <family val="2"/>
          </rPr>
          <t>&lt;[[DEVDeals] - [Primary Portfolio Property (Seq: 1)] - [Forecast Financials (Seq: 3)] - [Forecast Financial Line Items (Seq: 1)] L4 -06515 -012 - Janitorialand Cleaning Supply - Both]&gt;</t>
        </r>
      </text>
    </comment>
    <comment ref="H919" authorId="0" shapeId="0" xr:uid="{6FB16249-5993-4F15-BDDA-E8F37093D70A}">
      <text>
        <r>
          <rPr>
            <b/>
            <sz val="9"/>
            <color indexed="81"/>
            <rFont val="Tahoma"/>
            <family val="2"/>
          </rPr>
          <t>&lt;[[DEVDeals] - [Primary Portfolio Property (Seq: 1)] - [Forecast Financials (Seq: 4)] - [Forecast Financial Line Items (Seq: 1)] L4 -06515 -012 - Janitorialand Cleaning Supply - Both]&gt;</t>
        </r>
      </text>
    </comment>
    <comment ref="I919" authorId="0" shapeId="0" xr:uid="{B63EE2CC-FF0B-4887-A421-7E2B23210EDC}">
      <text>
        <r>
          <rPr>
            <b/>
            <sz val="9"/>
            <color indexed="81"/>
            <rFont val="Tahoma"/>
            <family val="2"/>
          </rPr>
          <t>&lt;[[DEVDeals] - [Primary Portfolio Property (Seq: 1)] - [Forecast Financials (Seq: 5)] - [Forecast Financial Line Items (Seq: 1)] L4 -06515 -012 - Janitorialand Cleaning Supply - Both]&gt;</t>
        </r>
      </text>
    </comment>
    <comment ref="J919" authorId="0" shapeId="0" xr:uid="{BD926F3E-54FE-4108-B470-0D6C9A775696}">
      <text>
        <r>
          <rPr>
            <b/>
            <sz val="9"/>
            <color indexed="81"/>
            <rFont val="Tahoma"/>
            <family val="2"/>
          </rPr>
          <t>&lt;[[DEVDeals] - [Primary Portfolio Property (Seq: 1)] - [Forecast Financials (Seq: 6)] - [Forecast Financial Line Items (Seq: 1)] L4 -06515 -012 - Janitorialand Cleaning Supply - Both]&gt;</t>
        </r>
      </text>
    </comment>
    <comment ref="K919" authorId="0" shapeId="0" xr:uid="{D4DF28EB-DDA7-47D1-9C09-0B80BFA048CF}">
      <text>
        <r>
          <rPr>
            <b/>
            <sz val="9"/>
            <color indexed="81"/>
            <rFont val="Tahoma"/>
            <family val="2"/>
          </rPr>
          <t>&lt;[[DEVDeals] - [Primary Portfolio Property (Seq: 1)] - [Forecast Financials (Seq: 7)] - [Forecast Financial Line Items (Seq: 1)] L4 -06515 -012 - Janitorialand Cleaning Supply - Both]&gt;</t>
        </r>
      </text>
    </comment>
    <comment ref="L919" authorId="0" shapeId="0" xr:uid="{E050729D-F583-4D91-BD09-EAE647553FD0}">
      <text>
        <r>
          <rPr>
            <b/>
            <sz val="9"/>
            <color indexed="81"/>
            <rFont val="Tahoma"/>
            <family val="2"/>
          </rPr>
          <t>&lt;[[DEVDeals] - [Primary Portfolio Property (Seq: 1)] - [Forecast Financials (Seq: 8)] - [Forecast Financial Line Items (Seq: 1)] L4 -06515 -012 - Janitorialand Cleaning Supply - Both]&gt;</t>
        </r>
      </text>
    </comment>
    <comment ref="M919" authorId="0" shapeId="0" xr:uid="{7C0B09A9-4E4A-4EEE-85E9-5ECCEA1656D8}">
      <text>
        <r>
          <rPr>
            <b/>
            <sz val="9"/>
            <color indexed="81"/>
            <rFont val="Tahoma"/>
            <family val="2"/>
          </rPr>
          <t>&lt;[[DEVDeals] - [Primary Portfolio Property (Seq: 1)] - [Forecast Financials (Seq: 9)] - [Forecast Financial Line Items (Seq: 1)] L4 -06515 -012 - Janitorialand Cleaning Supply - Both]&gt;</t>
        </r>
      </text>
    </comment>
    <comment ref="N919" authorId="0" shapeId="0" xr:uid="{634D703C-089E-4306-9FC4-BCFAEEAED85E}">
      <text>
        <r>
          <rPr>
            <b/>
            <sz val="9"/>
            <color indexed="81"/>
            <rFont val="Tahoma"/>
            <family val="2"/>
          </rPr>
          <t>&lt;[[DEVDeals] - [Primary Portfolio Property (Seq: 1)] - [Forecast Financials (Seq: 10)] - [Forecast Financial Line Items (Seq: 1)] L4 -06515 -012 - Janitorialand Cleaning Supply - Both]&gt;</t>
        </r>
      </text>
    </comment>
    <comment ref="O919" authorId="0" shapeId="0" xr:uid="{533E1CCB-374F-4642-A0BA-6A8C278BDF97}">
      <text>
        <r>
          <rPr>
            <b/>
            <sz val="9"/>
            <color indexed="81"/>
            <rFont val="Tahoma"/>
            <family val="2"/>
          </rPr>
          <t>&lt;[[DEVDeals] - [Primary Portfolio Property (Seq: 1)] - [Forecast Financials (Seq: 11)] - [Forecast Financial Line Items (Seq: 1)] L4 -06515 -012 - Janitorialand Cleaning Supply - Both]&gt;</t>
        </r>
      </text>
    </comment>
    <comment ref="P919" authorId="0" shapeId="0" xr:uid="{E263EFE3-33D3-4487-8539-A5BF7EC68BFC}">
      <text>
        <r>
          <rPr>
            <b/>
            <sz val="9"/>
            <color indexed="81"/>
            <rFont val="Tahoma"/>
            <family val="2"/>
          </rPr>
          <t>&lt;[[DEVDeals] - [Primary Portfolio Property (Seq: 1)] - [Forecast Financials (Seq: 12)] - [Forecast Financial Line Items (Seq: 1)] L4 -06515 -012 - Janitorialand Cleaning Supply - Both]&gt;</t>
        </r>
      </text>
    </comment>
    <comment ref="Q919" authorId="0" shapeId="0" xr:uid="{CF5360C3-835F-4509-815B-720A35E501B8}">
      <text>
        <r>
          <rPr>
            <b/>
            <sz val="9"/>
            <color indexed="81"/>
            <rFont val="Tahoma"/>
            <family val="2"/>
          </rPr>
          <t>&lt;[[DEVDeals] - [Primary Portfolio Property (Seq: 1)] - [Forecast Financials (Seq: 13)] - [Forecast Financial Line Items (Seq: 1)] L4 -06515 -012 - Janitorialand Cleaning Supply - Both]&gt;</t>
        </r>
      </text>
    </comment>
    <comment ref="R919" authorId="0" shapeId="0" xr:uid="{05B762A4-0BC2-4A20-8EB0-C6764F664106}">
      <text>
        <r>
          <rPr>
            <b/>
            <sz val="9"/>
            <color indexed="81"/>
            <rFont val="Tahoma"/>
            <family val="2"/>
          </rPr>
          <t>&lt;[[DEVDeals] - [Primary Portfolio Property (Seq: 1)] - [Forecast Financials (Seq: 14)] - [Forecast Financial Line Items (Seq: 1)] L4 -06515 -012 - Janitorialand Cleaning Supply - Both]&gt;</t>
        </r>
      </text>
    </comment>
    <comment ref="S919" authorId="0" shapeId="0" xr:uid="{5B1B22E9-02A6-4F3D-B70D-F23FF943053B}">
      <text>
        <r>
          <rPr>
            <b/>
            <sz val="9"/>
            <color indexed="81"/>
            <rFont val="Tahoma"/>
            <family val="2"/>
          </rPr>
          <t>&lt;[[DEVDeals] - [Primary Portfolio Property (Seq: 1)] - [Forecast Financials (Seq: 15)] - [Forecast Financial Line Items (Seq: 1)] L4 -06515 -012 - Janitorialand Cleaning Supply - Both]&gt;</t>
        </r>
      </text>
    </comment>
    <comment ref="T919" authorId="0" shapeId="0" xr:uid="{B4DE77F9-AEE3-41F4-BECC-69DCB54E5AE2}">
      <text>
        <r>
          <rPr>
            <b/>
            <sz val="9"/>
            <color indexed="81"/>
            <rFont val="Tahoma"/>
            <family val="2"/>
          </rPr>
          <t>&lt;[[DEVDeals] - [Primary Portfolio Property (Seq: 1)] - [Forecast Financials (Seq: 16)] - [Forecast Financial Line Items (Seq: 1)] L4 -06515 -012 - Janitorialand Cleaning Supply - Both]&gt;</t>
        </r>
      </text>
    </comment>
    <comment ref="U919" authorId="0" shapeId="0" xr:uid="{7786B408-2BC5-42E1-8EB6-5BD061079FD2}">
      <text>
        <r>
          <rPr>
            <b/>
            <sz val="9"/>
            <color indexed="81"/>
            <rFont val="Tahoma"/>
            <family val="2"/>
          </rPr>
          <t>&lt;[[DEVDeals] - [Primary Portfolio Property (Seq: 1)] - [Forecast Financials (Seq: 17)] - [Forecast Financial Line Items (Seq: 1)] L4 -06515 -012 - Janitorialand Cleaning Supply - Both]&gt;</t>
        </r>
      </text>
    </comment>
    <comment ref="V919" authorId="0" shapeId="0" xr:uid="{843812D4-C004-4882-B7C1-17B86A27074F}">
      <text>
        <r>
          <rPr>
            <b/>
            <sz val="9"/>
            <color indexed="81"/>
            <rFont val="Tahoma"/>
            <family val="2"/>
          </rPr>
          <t>&lt;[[DEVDeals] - [Primary Portfolio Property (Seq: 1)] - [Forecast Financials (Seq: 18)] - [Forecast Financial Line Items (Seq: 1)] L4 -06515 -012 - Janitorialand Cleaning Supply - Both]&gt;</t>
        </r>
      </text>
    </comment>
    <comment ref="W919" authorId="0" shapeId="0" xr:uid="{14337EEC-6F90-442C-85E5-CCE9BA1A0613}">
      <text>
        <r>
          <rPr>
            <b/>
            <sz val="9"/>
            <color indexed="81"/>
            <rFont val="Tahoma"/>
            <family val="2"/>
          </rPr>
          <t>&lt;[[DEVDeals] - [Primary Portfolio Property (Seq: 1)] - [Forecast Financials (Seq: 19)] - [Forecast Financial Line Items (Seq: 1)] L4 -06515 -012 - Janitorialand Cleaning Supply - Both]&gt;</t>
        </r>
      </text>
    </comment>
    <comment ref="X919" authorId="0" shapeId="0" xr:uid="{A7BF2BEA-AFB0-4A88-9631-995854878E47}">
      <text>
        <r>
          <rPr>
            <b/>
            <sz val="9"/>
            <color indexed="81"/>
            <rFont val="Tahoma"/>
            <family val="2"/>
          </rPr>
          <t>&lt;[[DEVDeals] - [Primary Portfolio Property (Seq: 1)] - [Forecast Financials (Seq: 20)] - [Forecast Financial Line Items (Seq: 1)] L4 -06515 -012 - Janitorialand Cleaning Supply - Both]&gt;</t>
        </r>
      </text>
    </comment>
    <comment ref="E920" authorId="0" shapeId="0" xr:uid="{177D5761-09D3-403C-96C0-A061086AE757}">
      <text>
        <r>
          <rPr>
            <b/>
            <sz val="9"/>
            <color indexed="81"/>
            <rFont val="Tahoma"/>
            <family val="2"/>
          </rPr>
          <t>&lt;[[DEVDeals] - [Primary Portfolio Property (Seq: 1)] - [Forecast Financials (Seq: 1)] - [Forecast Financial Line Items (Seq: 1)] L4 -06520 -012 - Janitorialand Cleaning Contract - Both]&gt;</t>
        </r>
      </text>
    </comment>
    <comment ref="F920" authorId="0" shapeId="0" xr:uid="{00718280-BE7B-481F-B187-31DD8DF3C480}">
      <text>
        <r>
          <rPr>
            <b/>
            <sz val="9"/>
            <color indexed="81"/>
            <rFont val="Tahoma"/>
            <family val="2"/>
          </rPr>
          <t>&lt;[[DEVDeals] - [Primary Portfolio Property (Seq: 1)] - [Forecast Financials (Seq: 2)] - [Forecast Financial Line Items (Seq: 1)] L4 -06520 -012 - Janitorialand Cleaning Contract - Both]&gt;</t>
        </r>
      </text>
    </comment>
    <comment ref="G920" authorId="0" shapeId="0" xr:uid="{E8FAC073-3947-4812-8244-61DFA88BF146}">
      <text>
        <r>
          <rPr>
            <b/>
            <sz val="9"/>
            <color indexed="81"/>
            <rFont val="Tahoma"/>
            <family val="2"/>
          </rPr>
          <t>&lt;[[DEVDeals] - [Primary Portfolio Property (Seq: 1)] - [Forecast Financials (Seq: 3)] - [Forecast Financial Line Items (Seq: 1)] L4 -06520 -012 - Janitorialand Cleaning Contract - Both]&gt;</t>
        </r>
      </text>
    </comment>
    <comment ref="H920" authorId="0" shapeId="0" xr:uid="{4B8B459B-0AC6-4C03-80C0-C0054C1456B1}">
      <text>
        <r>
          <rPr>
            <b/>
            <sz val="9"/>
            <color indexed="81"/>
            <rFont val="Tahoma"/>
            <family val="2"/>
          </rPr>
          <t>&lt;[[DEVDeals] - [Primary Portfolio Property (Seq: 1)] - [Forecast Financials (Seq: 4)] - [Forecast Financial Line Items (Seq: 1)] L4 -06520 -012 - Janitorialand Cleaning Contract - Both]&gt;</t>
        </r>
      </text>
    </comment>
    <comment ref="I920" authorId="0" shapeId="0" xr:uid="{22AD52FF-9813-41C1-A82A-786F81026052}">
      <text>
        <r>
          <rPr>
            <b/>
            <sz val="9"/>
            <color indexed="81"/>
            <rFont val="Tahoma"/>
            <family val="2"/>
          </rPr>
          <t>&lt;[[DEVDeals] - [Primary Portfolio Property (Seq: 1)] - [Forecast Financials (Seq: 5)] - [Forecast Financial Line Items (Seq: 1)] L4 -06520 -012 - Janitorialand Cleaning Contract - Both]&gt;</t>
        </r>
      </text>
    </comment>
    <comment ref="J920" authorId="0" shapeId="0" xr:uid="{4AF9988A-58BF-445D-A064-6C3848854233}">
      <text>
        <r>
          <rPr>
            <b/>
            <sz val="9"/>
            <color indexed="81"/>
            <rFont val="Tahoma"/>
            <family val="2"/>
          </rPr>
          <t>&lt;[[DEVDeals] - [Primary Portfolio Property (Seq: 1)] - [Forecast Financials (Seq: 6)] - [Forecast Financial Line Items (Seq: 1)] L4 -06520 -012 - Janitorialand Cleaning Contract - Both]&gt;</t>
        </r>
      </text>
    </comment>
    <comment ref="K920" authorId="0" shapeId="0" xr:uid="{147DF06E-B465-4118-86C3-F3CF1546BC41}">
      <text>
        <r>
          <rPr>
            <b/>
            <sz val="9"/>
            <color indexed="81"/>
            <rFont val="Tahoma"/>
            <family val="2"/>
          </rPr>
          <t>&lt;[[DEVDeals] - [Primary Portfolio Property (Seq: 1)] - [Forecast Financials (Seq: 7)] - [Forecast Financial Line Items (Seq: 1)] L4 -06520 -012 - Janitorialand Cleaning Contract - Both]&gt;</t>
        </r>
      </text>
    </comment>
    <comment ref="L920" authorId="0" shapeId="0" xr:uid="{8C9662B8-3649-4D46-AFF5-C7CB9166DC26}">
      <text>
        <r>
          <rPr>
            <b/>
            <sz val="9"/>
            <color indexed="81"/>
            <rFont val="Tahoma"/>
            <family val="2"/>
          </rPr>
          <t>&lt;[[DEVDeals] - [Primary Portfolio Property (Seq: 1)] - [Forecast Financials (Seq: 8)] - [Forecast Financial Line Items (Seq: 1)] L4 -06520 -012 - Janitorialand Cleaning Contract - Both]&gt;</t>
        </r>
      </text>
    </comment>
    <comment ref="M920" authorId="0" shapeId="0" xr:uid="{8857BBB6-5208-452F-9842-BBCB8EA13E51}">
      <text>
        <r>
          <rPr>
            <b/>
            <sz val="9"/>
            <color indexed="81"/>
            <rFont val="Tahoma"/>
            <family val="2"/>
          </rPr>
          <t>&lt;[[DEVDeals] - [Primary Portfolio Property (Seq: 1)] - [Forecast Financials (Seq: 9)] - [Forecast Financial Line Items (Seq: 1)] L4 -06520 -012 - Janitorialand Cleaning Contract - Both]&gt;</t>
        </r>
      </text>
    </comment>
    <comment ref="N920" authorId="0" shapeId="0" xr:uid="{F2EE0DF0-815E-4AF7-BFD6-C45A76BAE110}">
      <text>
        <r>
          <rPr>
            <b/>
            <sz val="9"/>
            <color indexed="81"/>
            <rFont val="Tahoma"/>
            <family val="2"/>
          </rPr>
          <t>&lt;[[DEVDeals] - [Primary Portfolio Property (Seq: 1)] - [Forecast Financials (Seq: 10)] - [Forecast Financial Line Items (Seq: 1)] L4 -06520 -012 - Janitorialand Cleaning Contract - Both]&gt;</t>
        </r>
      </text>
    </comment>
    <comment ref="O920" authorId="0" shapeId="0" xr:uid="{01F499D1-0320-49F1-A2D4-3A990165AD46}">
      <text>
        <r>
          <rPr>
            <b/>
            <sz val="9"/>
            <color indexed="81"/>
            <rFont val="Tahoma"/>
            <family val="2"/>
          </rPr>
          <t>&lt;[[DEVDeals] - [Primary Portfolio Property (Seq: 1)] - [Forecast Financials (Seq: 11)] - [Forecast Financial Line Items (Seq: 1)] L4 -06520 -012 - Janitorialand Cleaning Contract - Both]&gt;</t>
        </r>
      </text>
    </comment>
    <comment ref="P920" authorId="0" shapeId="0" xr:uid="{179A3CDA-50F5-4415-9CCA-E917A91E63B4}">
      <text>
        <r>
          <rPr>
            <b/>
            <sz val="9"/>
            <color indexed="81"/>
            <rFont val="Tahoma"/>
            <family val="2"/>
          </rPr>
          <t>&lt;[[DEVDeals] - [Primary Portfolio Property (Seq: 1)] - [Forecast Financials (Seq: 12)] - [Forecast Financial Line Items (Seq: 1)] L4 -06520 -012 - Janitorialand Cleaning Contract - Both]&gt;</t>
        </r>
      </text>
    </comment>
    <comment ref="Q920" authorId="0" shapeId="0" xr:uid="{F7000DF1-DDE0-4EC7-BC8A-A04B27976172}">
      <text>
        <r>
          <rPr>
            <b/>
            <sz val="9"/>
            <color indexed="81"/>
            <rFont val="Tahoma"/>
            <family val="2"/>
          </rPr>
          <t>&lt;[[DEVDeals] - [Primary Portfolio Property (Seq: 1)] - [Forecast Financials (Seq: 13)] - [Forecast Financial Line Items (Seq: 1)] L4 -06520 -012 - Janitorialand Cleaning Contract - Both]&gt;</t>
        </r>
      </text>
    </comment>
    <comment ref="R920" authorId="0" shapeId="0" xr:uid="{160D93FB-C8F2-4F26-8593-E2A5FDF77225}">
      <text>
        <r>
          <rPr>
            <b/>
            <sz val="9"/>
            <color indexed="81"/>
            <rFont val="Tahoma"/>
            <family val="2"/>
          </rPr>
          <t>&lt;[[DEVDeals] - [Primary Portfolio Property (Seq: 1)] - [Forecast Financials (Seq: 14)] - [Forecast Financial Line Items (Seq: 1)] L4 -06520 -012 - Janitorialand Cleaning Contract - Both]&gt;</t>
        </r>
      </text>
    </comment>
    <comment ref="S920" authorId="0" shapeId="0" xr:uid="{CDDFE4A1-EF37-4454-B46F-0B500FCD509D}">
      <text>
        <r>
          <rPr>
            <b/>
            <sz val="9"/>
            <color indexed="81"/>
            <rFont val="Tahoma"/>
            <family val="2"/>
          </rPr>
          <t>&lt;[[DEVDeals] - [Primary Portfolio Property (Seq: 1)] - [Forecast Financials (Seq: 15)] - [Forecast Financial Line Items (Seq: 1)] L4 -06520 -012 - Janitorialand Cleaning Contract - Both]&gt;</t>
        </r>
      </text>
    </comment>
    <comment ref="T920" authorId="0" shapeId="0" xr:uid="{645409EC-1D29-4F6A-ABC6-A4BFCA56D6AE}">
      <text>
        <r>
          <rPr>
            <b/>
            <sz val="9"/>
            <color indexed="81"/>
            <rFont val="Tahoma"/>
            <family val="2"/>
          </rPr>
          <t>&lt;[[DEVDeals] - [Primary Portfolio Property (Seq: 1)] - [Forecast Financials (Seq: 16)] - [Forecast Financial Line Items (Seq: 1)] L4 -06520 -012 - Janitorialand Cleaning Contract - Both]&gt;</t>
        </r>
      </text>
    </comment>
    <comment ref="U920" authorId="0" shapeId="0" xr:uid="{21B8AEAF-0B06-42D4-B65F-A1EA686EBBD5}">
      <text>
        <r>
          <rPr>
            <b/>
            <sz val="9"/>
            <color indexed="81"/>
            <rFont val="Tahoma"/>
            <family val="2"/>
          </rPr>
          <t>&lt;[[DEVDeals] - [Primary Portfolio Property (Seq: 1)] - [Forecast Financials (Seq: 17)] - [Forecast Financial Line Items (Seq: 1)] L4 -06520 -012 - Janitorialand Cleaning Contract - Both]&gt;</t>
        </r>
      </text>
    </comment>
    <comment ref="V920" authorId="0" shapeId="0" xr:uid="{7673239A-65AA-463F-8648-27E0E90897B1}">
      <text>
        <r>
          <rPr>
            <b/>
            <sz val="9"/>
            <color indexed="81"/>
            <rFont val="Tahoma"/>
            <family val="2"/>
          </rPr>
          <t>&lt;[[DEVDeals] - [Primary Portfolio Property (Seq: 1)] - [Forecast Financials (Seq: 18)] - [Forecast Financial Line Items (Seq: 1)] L4 -06520 -012 - Janitorialand Cleaning Contract - Both]&gt;</t>
        </r>
      </text>
    </comment>
    <comment ref="W920" authorId="0" shapeId="0" xr:uid="{00DC1B1D-EA01-45B2-BB99-DBBD7D7E08A0}">
      <text>
        <r>
          <rPr>
            <b/>
            <sz val="9"/>
            <color indexed="81"/>
            <rFont val="Tahoma"/>
            <family val="2"/>
          </rPr>
          <t>&lt;[[DEVDeals] - [Primary Portfolio Property (Seq: 1)] - [Forecast Financials (Seq: 19)] - [Forecast Financial Line Items (Seq: 1)] L4 -06520 -012 - Janitorialand Cleaning Contract - Both]&gt;</t>
        </r>
      </text>
    </comment>
    <comment ref="X920" authorId="0" shapeId="0" xr:uid="{74A633F6-EEF0-49D3-8093-E1BC2B080A16}">
      <text>
        <r>
          <rPr>
            <b/>
            <sz val="9"/>
            <color indexed="81"/>
            <rFont val="Tahoma"/>
            <family val="2"/>
          </rPr>
          <t>&lt;[[DEVDeals] - [Primary Portfolio Property (Seq: 1)] - [Forecast Financials (Seq: 20)] - [Forecast Financial Line Items (Seq: 1)] L4 -06520 -012 - Janitorialand Cleaning Contract - Both]&gt;</t>
        </r>
      </text>
    </comment>
    <comment ref="E921" authorId="0" shapeId="0" xr:uid="{6F204194-F276-4AA4-897D-FCAD44C11AED}">
      <text>
        <r>
          <rPr>
            <b/>
            <sz val="9"/>
            <color indexed="81"/>
            <rFont val="Tahoma"/>
            <family val="2"/>
          </rPr>
          <t>&lt;[[DEVDeals] - [Primary Portfolio Property (Seq: 1)] - [Forecast Financials (Seq: 1)] - [Forecast Financial Line Items (Seq: 1)] L4 -06520 -013 - Exterminating Contract - Both]&gt;</t>
        </r>
      </text>
    </comment>
    <comment ref="F921" authorId="0" shapeId="0" xr:uid="{8C336C3E-544F-4CDF-A22C-3372276816E4}">
      <text>
        <r>
          <rPr>
            <b/>
            <sz val="9"/>
            <color indexed="81"/>
            <rFont val="Tahoma"/>
            <family val="2"/>
          </rPr>
          <t>&lt;[[DEVDeals] - [Primary Portfolio Property (Seq: 1)] - [Forecast Financials (Seq: 2)] - [Forecast Financial Line Items (Seq: 1)] L4 -06520 -013 - Exterminating Contract - Both]&gt;</t>
        </r>
      </text>
    </comment>
    <comment ref="G921" authorId="0" shapeId="0" xr:uid="{5F424B65-6311-4FE3-ACD3-2BD295198E17}">
      <text>
        <r>
          <rPr>
            <b/>
            <sz val="9"/>
            <color indexed="81"/>
            <rFont val="Tahoma"/>
            <family val="2"/>
          </rPr>
          <t>&lt;[[DEVDeals] - [Primary Portfolio Property (Seq: 1)] - [Forecast Financials (Seq: 3)] - [Forecast Financial Line Items (Seq: 1)] L4 -06520 -013 - Exterminating Contract - Both]&gt;</t>
        </r>
      </text>
    </comment>
    <comment ref="H921" authorId="0" shapeId="0" xr:uid="{8EA17FDB-1D8F-4429-8930-FBCB2A0B81BE}">
      <text>
        <r>
          <rPr>
            <b/>
            <sz val="9"/>
            <color indexed="81"/>
            <rFont val="Tahoma"/>
            <family val="2"/>
          </rPr>
          <t>&lt;[[DEVDeals] - [Primary Portfolio Property (Seq: 1)] - [Forecast Financials (Seq: 4)] - [Forecast Financial Line Items (Seq: 1)] L4 -06520 -013 - Exterminating Contract - Both]&gt;</t>
        </r>
      </text>
    </comment>
    <comment ref="I921" authorId="0" shapeId="0" xr:uid="{DB5D0935-A139-4351-93A9-6596A6B7DFA5}">
      <text>
        <r>
          <rPr>
            <b/>
            <sz val="9"/>
            <color indexed="81"/>
            <rFont val="Tahoma"/>
            <family val="2"/>
          </rPr>
          <t>&lt;[[DEVDeals] - [Primary Portfolio Property (Seq: 1)] - [Forecast Financials (Seq: 5)] - [Forecast Financial Line Items (Seq: 1)] L4 -06520 -013 - Exterminating Contract - Both]&gt;</t>
        </r>
      </text>
    </comment>
    <comment ref="J921" authorId="0" shapeId="0" xr:uid="{A1DDA37B-36AF-49B7-868B-CF775607E109}">
      <text>
        <r>
          <rPr>
            <b/>
            <sz val="9"/>
            <color indexed="81"/>
            <rFont val="Tahoma"/>
            <family val="2"/>
          </rPr>
          <t>&lt;[[DEVDeals] - [Primary Portfolio Property (Seq: 1)] - [Forecast Financials (Seq: 6)] - [Forecast Financial Line Items (Seq: 1)] L4 -06520 -013 - Exterminating Contract - Both]&gt;</t>
        </r>
      </text>
    </comment>
    <comment ref="K921" authorId="0" shapeId="0" xr:uid="{43F309A2-BD52-40A5-B00D-C9C15A0EA98F}">
      <text>
        <r>
          <rPr>
            <b/>
            <sz val="9"/>
            <color indexed="81"/>
            <rFont val="Tahoma"/>
            <family val="2"/>
          </rPr>
          <t>&lt;[[DEVDeals] - [Primary Portfolio Property (Seq: 1)] - [Forecast Financials (Seq: 7)] - [Forecast Financial Line Items (Seq: 1)] L4 -06520 -013 - Exterminating Contract - Both]&gt;</t>
        </r>
      </text>
    </comment>
    <comment ref="L921" authorId="0" shapeId="0" xr:uid="{79EEF892-6541-4DD2-B4FC-BB05D7D48428}">
      <text>
        <r>
          <rPr>
            <b/>
            <sz val="9"/>
            <color indexed="81"/>
            <rFont val="Tahoma"/>
            <family val="2"/>
          </rPr>
          <t>&lt;[[DEVDeals] - [Primary Portfolio Property (Seq: 1)] - [Forecast Financials (Seq: 8)] - [Forecast Financial Line Items (Seq: 1)] L4 -06520 -013 - Exterminating Contract - Both]&gt;</t>
        </r>
      </text>
    </comment>
    <comment ref="M921" authorId="0" shapeId="0" xr:uid="{71A27E05-4CC2-4FB5-9755-0EBF1C67C774}">
      <text>
        <r>
          <rPr>
            <b/>
            <sz val="9"/>
            <color indexed="81"/>
            <rFont val="Tahoma"/>
            <family val="2"/>
          </rPr>
          <t>&lt;[[DEVDeals] - [Primary Portfolio Property (Seq: 1)] - [Forecast Financials (Seq: 9)] - [Forecast Financial Line Items (Seq: 1)] L4 -06520 -013 - Exterminating Contract - Both]&gt;</t>
        </r>
      </text>
    </comment>
    <comment ref="N921" authorId="0" shapeId="0" xr:uid="{91D679A2-6318-4CC8-82F2-F9C3DD618DC1}">
      <text>
        <r>
          <rPr>
            <b/>
            <sz val="9"/>
            <color indexed="81"/>
            <rFont val="Tahoma"/>
            <family val="2"/>
          </rPr>
          <t>&lt;[[DEVDeals] - [Primary Portfolio Property (Seq: 1)] - [Forecast Financials (Seq: 10)] - [Forecast Financial Line Items (Seq: 1)] L4 -06520 -013 - Exterminating Contract - Both]&gt;</t>
        </r>
      </text>
    </comment>
    <comment ref="O921" authorId="0" shapeId="0" xr:uid="{2D264032-CCBE-473E-9CC0-C58D5A3D3969}">
      <text>
        <r>
          <rPr>
            <b/>
            <sz val="9"/>
            <color indexed="81"/>
            <rFont val="Tahoma"/>
            <family val="2"/>
          </rPr>
          <t>&lt;[[DEVDeals] - [Primary Portfolio Property (Seq: 1)] - [Forecast Financials (Seq: 11)] - [Forecast Financial Line Items (Seq: 1)] L4 -06520 -013 - Exterminating Contract - Both]&gt;</t>
        </r>
      </text>
    </comment>
    <comment ref="P921" authorId="0" shapeId="0" xr:uid="{D026A796-1FCF-43DA-94FB-1C9D44C1EF68}">
      <text>
        <r>
          <rPr>
            <b/>
            <sz val="9"/>
            <color indexed="81"/>
            <rFont val="Tahoma"/>
            <family val="2"/>
          </rPr>
          <t>&lt;[[DEVDeals] - [Primary Portfolio Property (Seq: 1)] - [Forecast Financials (Seq: 12)] - [Forecast Financial Line Items (Seq: 1)] L4 -06520 -013 - Exterminating Contract - Both]&gt;</t>
        </r>
      </text>
    </comment>
    <comment ref="Q921" authorId="0" shapeId="0" xr:uid="{213945AC-5AC9-4B28-8BCC-8560B8AF851C}">
      <text>
        <r>
          <rPr>
            <b/>
            <sz val="9"/>
            <color indexed="81"/>
            <rFont val="Tahoma"/>
            <family val="2"/>
          </rPr>
          <t>&lt;[[DEVDeals] - [Primary Portfolio Property (Seq: 1)] - [Forecast Financials (Seq: 13)] - [Forecast Financial Line Items (Seq: 1)] L4 -06520 -013 - Exterminating Contract - Both]&gt;</t>
        </r>
      </text>
    </comment>
    <comment ref="R921" authorId="0" shapeId="0" xr:uid="{83AF9BF5-3F7A-4719-BD44-7E86FD9323B3}">
      <text>
        <r>
          <rPr>
            <b/>
            <sz val="9"/>
            <color indexed="81"/>
            <rFont val="Tahoma"/>
            <family val="2"/>
          </rPr>
          <t>&lt;[[DEVDeals] - [Primary Portfolio Property (Seq: 1)] - [Forecast Financials (Seq: 14)] - [Forecast Financial Line Items (Seq: 1)] L4 -06520 -013 - Exterminating Contract - Both]&gt;</t>
        </r>
      </text>
    </comment>
    <comment ref="S921" authorId="0" shapeId="0" xr:uid="{A783EC02-7D9C-482D-ABEF-8E13B0B8874A}">
      <text>
        <r>
          <rPr>
            <b/>
            <sz val="9"/>
            <color indexed="81"/>
            <rFont val="Tahoma"/>
            <family val="2"/>
          </rPr>
          <t>&lt;[[DEVDeals] - [Primary Portfolio Property (Seq: 1)] - [Forecast Financials (Seq: 15)] - [Forecast Financial Line Items (Seq: 1)] L4 -06520 -013 - Exterminating Contract - Both]&gt;</t>
        </r>
      </text>
    </comment>
    <comment ref="T921" authorId="0" shapeId="0" xr:uid="{CA482619-BC01-495F-8945-7BE5A5EFABFC}">
      <text>
        <r>
          <rPr>
            <b/>
            <sz val="9"/>
            <color indexed="81"/>
            <rFont val="Tahoma"/>
            <family val="2"/>
          </rPr>
          <t>&lt;[[DEVDeals] - [Primary Portfolio Property (Seq: 1)] - [Forecast Financials (Seq: 16)] - [Forecast Financial Line Items (Seq: 1)] L4 -06520 -013 - Exterminating Contract - Both]&gt;</t>
        </r>
      </text>
    </comment>
    <comment ref="U921" authorId="0" shapeId="0" xr:uid="{0CA29810-CFC8-4327-BDF0-97F2BBE2CD4E}">
      <text>
        <r>
          <rPr>
            <b/>
            <sz val="9"/>
            <color indexed="81"/>
            <rFont val="Tahoma"/>
            <family val="2"/>
          </rPr>
          <t>&lt;[[DEVDeals] - [Primary Portfolio Property (Seq: 1)] - [Forecast Financials (Seq: 17)] - [Forecast Financial Line Items (Seq: 1)] L4 -06520 -013 - Exterminating Contract - Both]&gt;</t>
        </r>
      </text>
    </comment>
    <comment ref="V921" authorId="0" shapeId="0" xr:uid="{86A3E1E2-48E6-42C1-83DC-7ED4F1682A53}">
      <text>
        <r>
          <rPr>
            <b/>
            <sz val="9"/>
            <color indexed="81"/>
            <rFont val="Tahoma"/>
            <family val="2"/>
          </rPr>
          <t>&lt;[[DEVDeals] - [Primary Portfolio Property (Seq: 1)] - [Forecast Financials (Seq: 18)] - [Forecast Financial Line Items (Seq: 1)] L4 -06520 -013 - Exterminating Contract - Both]&gt;</t>
        </r>
      </text>
    </comment>
    <comment ref="W921" authorId="0" shapeId="0" xr:uid="{6E26DD18-7935-408E-A65B-14A98F418EB7}">
      <text>
        <r>
          <rPr>
            <b/>
            <sz val="9"/>
            <color indexed="81"/>
            <rFont val="Tahoma"/>
            <family val="2"/>
          </rPr>
          <t>&lt;[[DEVDeals] - [Primary Portfolio Property (Seq: 1)] - [Forecast Financials (Seq: 19)] - [Forecast Financial Line Items (Seq: 1)] L4 -06520 -013 - Exterminating Contract - Both]&gt;</t>
        </r>
      </text>
    </comment>
    <comment ref="X921" authorId="0" shapeId="0" xr:uid="{9846E097-676A-4D85-8014-4AF5807BE439}">
      <text>
        <r>
          <rPr>
            <b/>
            <sz val="9"/>
            <color indexed="81"/>
            <rFont val="Tahoma"/>
            <family val="2"/>
          </rPr>
          <t>&lt;[[DEVDeals] - [Primary Portfolio Property (Seq: 1)] - [Forecast Financials (Seq: 20)] - [Forecast Financial Line Items (Seq: 1)] L4 -06520 -013 - Exterminating Contract - Both]&gt;</t>
        </r>
      </text>
    </comment>
    <comment ref="E922" authorId="0" shapeId="0" xr:uid="{36F93065-E1CD-4D5A-99BD-B174E0E52C93}">
      <text>
        <r>
          <rPr>
            <b/>
            <sz val="9"/>
            <color indexed="81"/>
            <rFont val="Tahoma"/>
            <family val="2"/>
          </rPr>
          <t>&lt;[[DEVDeals] - [Primary Portfolio Property (Seq: 1)] - [Forecast Financials (Seq: 1)] - [Forecast Financial Line Items (Seq: 1)] L4 -06515 -013 - Exterminating Supply - Both]&gt;</t>
        </r>
      </text>
    </comment>
    <comment ref="F922" authorId="0" shapeId="0" xr:uid="{A93DD54C-F27C-406C-88C0-CD037B2A80ED}">
      <text>
        <r>
          <rPr>
            <b/>
            <sz val="9"/>
            <color indexed="81"/>
            <rFont val="Tahoma"/>
            <family val="2"/>
          </rPr>
          <t>&lt;[[DEVDeals] - [Primary Portfolio Property (Seq: 1)] - [Forecast Financials (Seq: 2)] - [Forecast Financial Line Items (Seq: 1)] L4 -06515 -013 - Exterminating Supply - Both]&gt;</t>
        </r>
      </text>
    </comment>
    <comment ref="G922" authorId="0" shapeId="0" xr:uid="{EBF23A5B-AD47-4561-AB4A-EC3275656951}">
      <text>
        <r>
          <rPr>
            <b/>
            <sz val="9"/>
            <color indexed="81"/>
            <rFont val="Tahoma"/>
            <family val="2"/>
          </rPr>
          <t>&lt;[[DEVDeals] - [Primary Portfolio Property (Seq: 1)] - [Forecast Financials (Seq: 3)] - [Forecast Financial Line Items (Seq: 1)] L4 -06515 -013 - Exterminating Supply - Both]&gt;</t>
        </r>
      </text>
    </comment>
    <comment ref="H922" authorId="0" shapeId="0" xr:uid="{0473BA25-A7CD-4B06-AB2C-CAB7A9EF7C91}">
      <text>
        <r>
          <rPr>
            <b/>
            <sz val="9"/>
            <color indexed="81"/>
            <rFont val="Tahoma"/>
            <family val="2"/>
          </rPr>
          <t>&lt;[[DEVDeals] - [Primary Portfolio Property (Seq: 1)] - [Forecast Financials (Seq: 4)] - [Forecast Financial Line Items (Seq: 1)] L4 -06515 -013 - Exterminating Supply - Both]&gt;</t>
        </r>
      </text>
    </comment>
    <comment ref="I922" authorId="0" shapeId="0" xr:uid="{2B5D1E74-38AD-41AB-A3F8-19BD569A803C}">
      <text>
        <r>
          <rPr>
            <b/>
            <sz val="9"/>
            <color indexed="81"/>
            <rFont val="Tahoma"/>
            <family val="2"/>
          </rPr>
          <t>&lt;[[DEVDeals] - [Primary Portfolio Property (Seq: 1)] - [Forecast Financials (Seq: 5)] - [Forecast Financial Line Items (Seq: 1)] L4 -06515 -013 - Exterminating Supply - Both]&gt;</t>
        </r>
      </text>
    </comment>
    <comment ref="J922" authorId="0" shapeId="0" xr:uid="{CA0AECCC-E526-4404-A3E4-481752E39B1B}">
      <text>
        <r>
          <rPr>
            <b/>
            <sz val="9"/>
            <color indexed="81"/>
            <rFont val="Tahoma"/>
            <family val="2"/>
          </rPr>
          <t>&lt;[[DEVDeals] - [Primary Portfolio Property (Seq: 1)] - [Forecast Financials (Seq: 6)] - [Forecast Financial Line Items (Seq: 1)] L4 -06515 -013 - Exterminating Supply - Both]&gt;</t>
        </r>
      </text>
    </comment>
    <comment ref="K922" authorId="0" shapeId="0" xr:uid="{1D6316D1-6A89-476E-BAFC-7AD0D2C484F8}">
      <text>
        <r>
          <rPr>
            <b/>
            <sz val="9"/>
            <color indexed="81"/>
            <rFont val="Tahoma"/>
            <family val="2"/>
          </rPr>
          <t>&lt;[[DEVDeals] - [Primary Portfolio Property (Seq: 1)] - [Forecast Financials (Seq: 7)] - [Forecast Financial Line Items (Seq: 1)] L4 -06515 -013 - Exterminating Supply - Both]&gt;</t>
        </r>
      </text>
    </comment>
    <comment ref="L922" authorId="0" shapeId="0" xr:uid="{B2A59B38-FCB3-40DF-8209-C813B596BAE3}">
      <text>
        <r>
          <rPr>
            <b/>
            <sz val="9"/>
            <color indexed="81"/>
            <rFont val="Tahoma"/>
            <family val="2"/>
          </rPr>
          <t>&lt;[[DEVDeals] - [Primary Portfolio Property (Seq: 1)] - [Forecast Financials (Seq: 8)] - [Forecast Financial Line Items (Seq: 1)] L4 -06515 -013 - Exterminating Supply - Both]&gt;</t>
        </r>
      </text>
    </comment>
    <comment ref="M922" authorId="0" shapeId="0" xr:uid="{691D2132-52F9-42ED-B066-648546760662}">
      <text>
        <r>
          <rPr>
            <b/>
            <sz val="9"/>
            <color indexed="81"/>
            <rFont val="Tahoma"/>
            <family val="2"/>
          </rPr>
          <t>&lt;[[DEVDeals] - [Primary Portfolio Property (Seq: 1)] - [Forecast Financials (Seq: 9)] - [Forecast Financial Line Items (Seq: 1)] L4 -06515 -013 - Exterminating Supply - Both]&gt;</t>
        </r>
      </text>
    </comment>
    <comment ref="N922" authorId="0" shapeId="0" xr:uid="{0F323A5E-1E1C-49E1-84C3-3067AC3880D0}">
      <text>
        <r>
          <rPr>
            <b/>
            <sz val="9"/>
            <color indexed="81"/>
            <rFont val="Tahoma"/>
            <family val="2"/>
          </rPr>
          <t>&lt;[[DEVDeals] - [Primary Portfolio Property (Seq: 1)] - [Forecast Financials (Seq: 10)] - [Forecast Financial Line Items (Seq: 1)] L4 -06515 -013 - Exterminating Supply - Both]&gt;</t>
        </r>
      </text>
    </comment>
    <comment ref="O922" authorId="0" shapeId="0" xr:uid="{30ADD852-632B-4929-BB0D-77E7EF1DF939}">
      <text>
        <r>
          <rPr>
            <b/>
            <sz val="9"/>
            <color indexed="81"/>
            <rFont val="Tahoma"/>
            <family val="2"/>
          </rPr>
          <t>&lt;[[DEVDeals] - [Primary Portfolio Property (Seq: 1)] - [Forecast Financials (Seq: 11)] - [Forecast Financial Line Items (Seq: 1)] L4 -06515 -013 - Exterminating Supply - Both]&gt;</t>
        </r>
      </text>
    </comment>
    <comment ref="P922" authorId="0" shapeId="0" xr:uid="{967F61CA-8E47-4D2D-B4ED-BEFADB0FC0B7}">
      <text>
        <r>
          <rPr>
            <b/>
            <sz val="9"/>
            <color indexed="81"/>
            <rFont val="Tahoma"/>
            <family val="2"/>
          </rPr>
          <t>&lt;[[DEVDeals] - [Primary Portfolio Property (Seq: 1)] - [Forecast Financials (Seq: 12)] - [Forecast Financial Line Items (Seq: 1)] L4 -06515 -013 - Exterminating Supply - Both]&gt;</t>
        </r>
      </text>
    </comment>
    <comment ref="Q922" authorId="0" shapeId="0" xr:uid="{3DF03506-3A9C-4133-9FD9-8A817C22CAEB}">
      <text>
        <r>
          <rPr>
            <b/>
            <sz val="9"/>
            <color indexed="81"/>
            <rFont val="Tahoma"/>
            <family val="2"/>
          </rPr>
          <t>&lt;[[DEVDeals] - [Primary Portfolio Property (Seq: 1)] - [Forecast Financials (Seq: 13)] - [Forecast Financial Line Items (Seq: 1)] L4 -06515 -013 - Exterminating Supply - Both]&gt;</t>
        </r>
      </text>
    </comment>
    <comment ref="R922" authorId="0" shapeId="0" xr:uid="{AAC11A4C-C94A-4568-98E9-9FEE38BB330D}">
      <text>
        <r>
          <rPr>
            <b/>
            <sz val="9"/>
            <color indexed="81"/>
            <rFont val="Tahoma"/>
            <family val="2"/>
          </rPr>
          <t>&lt;[[DEVDeals] - [Primary Portfolio Property (Seq: 1)] - [Forecast Financials (Seq: 14)] - [Forecast Financial Line Items (Seq: 1)] L4 -06515 -013 - Exterminating Supply - Both]&gt;</t>
        </r>
      </text>
    </comment>
    <comment ref="S922" authorId="0" shapeId="0" xr:uid="{33D1EFB6-F5AC-4701-87F8-AB0DC3C46932}">
      <text>
        <r>
          <rPr>
            <b/>
            <sz val="9"/>
            <color indexed="81"/>
            <rFont val="Tahoma"/>
            <family val="2"/>
          </rPr>
          <t>&lt;[[DEVDeals] - [Primary Portfolio Property (Seq: 1)] - [Forecast Financials (Seq: 15)] - [Forecast Financial Line Items (Seq: 1)] L4 -06515 -013 - Exterminating Supply - Both]&gt;</t>
        </r>
      </text>
    </comment>
    <comment ref="T922" authorId="0" shapeId="0" xr:uid="{7A2B794C-B628-4A07-A611-001E1571C941}">
      <text>
        <r>
          <rPr>
            <b/>
            <sz val="9"/>
            <color indexed="81"/>
            <rFont val="Tahoma"/>
            <family val="2"/>
          </rPr>
          <t>&lt;[[DEVDeals] - [Primary Portfolio Property (Seq: 1)] - [Forecast Financials (Seq: 16)] - [Forecast Financial Line Items (Seq: 1)] L4 -06515 -013 - Exterminating Supply - Both]&gt;</t>
        </r>
      </text>
    </comment>
    <comment ref="U922" authorId="0" shapeId="0" xr:uid="{92500A6F-47C7-4804-B212-0D69D540E3B9}">
      <text>
        <r>
          <rPr>
            <b/>
            <sz val="9"/>
            <color indexed="81"/>
            <rFont val="Tahoma"/>
            <family val="2"/>
          </rPr>
          <t>&lt;[[DEVDeals] - [Primary Portfolio Property (Seq: 1)] - [Forecast Financials (Seq: 17)] - [Forecast Financial Line Items (Seq: 1)] L4 -06515 -013 - Exterminating Supply - Both]&gt;</t>
        </r>
      </text>
    </comment>
    <comment ref="V922" authorId="0" shapeId="0" xr:uid="{9600264B-6201-4D09-9C30-22ABE3A6020B}">
      <text>
        <r>
          <rPr>
            <b/>
            <sz val="9"/>
            <color indexed="81"/>
            <rFont val="Tahoma"/>
            <family val="2"/>
          </rPr>
          <t>&lt;[[DEVDeals] - [Primary Portfolio Property (Seq: 1)] - [Forecast Financials (Seq: 18)] - [Forecast Financial Line Items (Seq: 1)] L4 -06515 -013 - Exterminating Supply - Both]&gt;</t>
        </r>
      </text>
    </comment>
    <comment ref="W922" authorId="0" shapeId="0" xr:uid="{6CF38C24-2C5E-46E5-A7DC-44BE5C1952AC}">
      <text>
        <r>
          <rPr>
            <b/>
            <sz val="9"/>
            <color indexed="81"/>
            <rFont val="Tahoma"/>
            <family val="2"/>
          </rPr>
          <t>&lt;[[DEVDeals] - [Primary Portfolio Property (Seq: 1)] - [Forecast Financials (Seq: 19)] - [Forecast Financial Line Items (Seq: 1)] L4 -06515 -013 - Exterminating Supply - Both]&gt;</t>
        </r>
      </text>
    </comment>
    <comment ref="X922" authorId="0" shapeId="0" xr:uid="{3EA8730C-F3AE-45C1-967C-9230BD88B1C7}">
      <text>
        <r>
          <rPr>
            <b/>
            <sz val="9"/>
            <color indexed="81"/>
            <rFont val="Tahoma"/>
            <family val="2"/>
          </rPr>
          <t>&lt;[[DEVDeals] - [Primary Portfolio Property (Seq: 1)] - [Forecast Financials (Seq: 20)] - [Forecast Financial Line Items (Seq: 1)] L4 -06515 -013 - Exterminating Supply - Both]&gt;</t>
        </r>
      </text>
    </comment>
    <comment ref="E923" authorId="0" shapeId="0" xr:uid="{82EA6368-3FBA-47C5-8CC9-1D68AFECD6A1}">
      <text>
        <r>
          <rPr>
            <b/>
            <sz val="9"/>
            <color indexed="81"/>
            <rFont val="Tahoma"/>
            <family val="2"/>
          </rPr>
          <t>&lt;[[DEVDeals] - [Primary Portfolio Property (Seq: 1)] - [Forecast Financials (Seq: 1)] - [Forecast Financial Line Items (Seq: 1)] L4 -06525 -001 - Garbageand Trash Removal - Both]&gt;</t>
        </r>
      </text>
    </comment>
    <comment ref="F923" authorId="0" shapeId="0" xr:uid="{90C27508-9EA9-4E2F-A967-2290D7E6C210}">
      <text>
        <r>
          <rPr>
            <b/>
            <sz val="9"/>
            <color indexed="81"/>
            <rFont val="Tahoma"/>
            <family val="2"/>
          </rPr>
          <t>&lt;[[DEVDeals] - [Primary Portfolio Property (Seq: 1)] - [Forecast Financials (Seq: 2)] - [Forecast Financial Line Items (Seq: 1)] L4 -06525 -001 - Garbageand Trash Removal - Both]&gt;</t>
        </r>
      </text>
    </comment>
    <comment ref="G923" authorId="0" shapeId="0" xr:uid="{09C5B45B-C6B6-4EAF-B063-BE1CED77E1AD}">
      <text>
        <r>
          <rPr>
            <b/>
            <sz val="9"/>
            <color indexed="81"/>
            <rFont val="Tahoma"/>
            <family val="2"/>
          </rPr>
          <t>&lt;[[DEVDeals] - [Primary Portfolio Property (Seq: 1)] - [Forecast Financials (Seq: 3)] - [Forecast Financial Line Items (Seq: 1)] L4 -06525 -001 - Garbageand Trash Removal - Both]&gt;</t>
        </r>
      </text>
    </comment>
    <comment ref="H923" authorId="0" shapeId="0" xr:uid="{5AE8D5C9-8C5B-4DDF-929B-EF1FBAC2F55C}">
      <text>
        <r>
          <rPr>
            <b/>
            <sz val="9"/>
            <color indexed="81"/>
            <rFont val="Tahoma"/>
            <family val="2"/>
          </rPr>
          <t>&lt;[[DEVDeals] - [Primary Portfolio Property (Seq: 1)] - [Forecast Financials (Seq: 4)] - [Forecast Financial Line Items (Seq: 1)] L4 -06525 -001 - Garbageand Trash Removal - Both]&gt;</t>
        </r>
      </text>
    </comment>
    <comment ref="I923" authorId="0" shapeId="0" xr:uid="{B5897EE9-7C3F-42AE-8A40-21A7D0AEB57A}">
      <text>
        <r>
          <rPr>
            <b/>
            <sz val="9"/>
            <color indexed="81"/>
            <rFont val="Tahoma"/>
            <family val="2"/>
          </rPr>
          <t>&lt;[[DEVDeals] - [Primary Portfolio Property (Seq: 1)] - [Forecast Financials (Seq: 5)] - [Forecast Financial Line Items (Seq: 1)] L4 -06525 -001 - Garbageand Trash Removal - Both]&gt;</t>
        </r>
      </text>
    </comment>
    <comment ref="J923" authorId="0" shapeId="0" xr:uid="{31E0C8F0-23CE-4C50-A575-D04BA7CD5FB8}">
      <text>
        <r>
          <rPr>
            <b/>
            <sz val="9"/>
            <color indexed="81"/>
            <rFont val="Tahoma"/>
            <family val="2"/>
          </rPr>
          <t>&lt;[[DEVDeals] - [Primary Portfolio Property (Seq: 1)] - [Forecast Financials (Seq: 6)] - [Forecast Financial Line Items (Seq: 1)] L4 -06525 -001 - Garbageand Trash Removal - Both]&gt;</t>
        </r>
      </text>
    </comment>
    <comment ref="K923" authorId="0" shapeId="0" xr:uid="{DE5ED01B-3871-4337-83A8-70599173470B}">
      <text>
        <r>
          <rPr>
            <b/>
            <sz val="9"/>
            <color indexed="81"/>
            <rFont val="Tahoma"/>
            <family val="2"/>
          </rPr>
          <t>&lt;[[DEVDeals] - [Primary Portfolio Property (Seq: 1)] - [Forecast Financials (Seq: 7)] - [Forecast Financial Line Items (Seq: 1)] L4 -06525 -001 - Garbageand Trash Removal - Both]&gt;</t>
        </r>
      </text>
    </comment>
    <comment ref="L923" authorId="0" shapeId="0" xr:uid="{2497173B-A2A2-456E-A370-C5C71C8DC9A9}">
      <text>
        <r>
          <rPr>
            <b/>
            <sz val="9"/>
            <color indexed="81"/>
            <rFont val="Tahoma"/>
            <family val="2"/>
          </rPr>
          <t>&lt;[[DEVDeals] - [Primary Portfolio Property (Seq: 1)] - [Forecast Financials (Seq: 8)] - [Forecast Financial Line Items (Seq: 1)] L4 -06525 -001 - Garbageand Trash Removal - Both]&gt;</t>
        </r>
      </text>
    </comment>
    <comment ref="M923" authorId="0" shapeId="0" xr:uid="{7C9CB6C7-6FC2-4F33-91EF-9B1FDA82844E}">
      <text>
        <r>
          <rPr>
            <b/>
            <sz val="9"/>
            <color indexed="81"/>
            <rFont val="Tahoma"/>
            <family val="2"/>
          </rPr>
          <t>&lt;[[DEVDeals] - [Primary Portfolio Property (Seq: 1)] - [Forecast Financials (Seq: 9)] - [Forecast Financial Line Items (Seq: 1)] L4 -06525 -001 - Garbageand Trash Removal - Both]&gt;</t>
        </r>
      </text>
    </comment>
    <comment ref="N923" authorId="0" shapeId="0" xr:uid="{29A6A2F8-775E-4463-85C0-96E4A843206C}">
      <text>
        <r>
          <rPr>
            <b/>
            <sz val="9"/>
            <color indexed="81"/>
            <rFont val="Tahoma"/>
            <family val="2"/>
          </rPr>
          <t>&lt;[[DEVDeals] - [Primary Portfolio Property (Seq: 1)] - [Forecast Financials (Seq: 10)] - [Forecast Financial Line Items (Seq: 1)] L4 -06525 -001 - Garbageand Trash Removal - Both]&gt;</t>
        </r>
      </text>
    </comment>
    <comment ref="O923" authorId="0" shapeId="0" xr:uid="{56E162F8-0CA1-45B4-9CB8-B403477C403C}">
      <text>
        <r>
          <rPr>
            <b/>
            <sz val="9"/>
            <color indexed="81"/>
            <rFont val="Tahoma"/>
            <family val="2"/>
          </rPr>
          <t>&lt;[[DEVDeals] - [Primary Portfolio Property (Seq: 1)] - [Forecast Financials (Seq: 11)] - [Forecast Financial Line Items (Seq: 1)] L4 -06525 -001 - Garbageand Trash Removal - Both]&gt;</t>
        </r>
      </text>
    </comment>
    <comment ref="P923" authorId="0" shapeId="0" xr:uid="{B733053E-B28A-4490-9134-B17B171F3E6C}">
      <text>
        <r>
          <rPr>
            <b/>
            <sz val="9"/>
            <color indexed="81"/>
            <rFont val="Tahoma"/>
            <family val="2"/>
          </rPr>
          <t>&lt;[[DEVDeals] - [Primary Portfolio Property (Seq: 1)] - [Forecast Financials (Seq: 12)] - [Forecast Financial Line Items (Seq: 1)] L4 -06525 -001 - Garbageand Trash Removal - Both]&gt;</t>
        </r>
      </text>
    </comment>
    <comment ref="Q923" authorId="0" shapeId="0" xr:uid="{6583E8E0-564B-439A-95E4-D9A7B93912AB}">
      <text>
        <r>
          <rPr>
            <b/>
            <sz val="9"/>
            <color indexed="81"/>
            <rFont val="Tahoma"/>
            <family val="2"/>
          </rPr>
          <t>&lt;[[DEVDeals] - [Primary Portfolio Property (Seq: 1)] - [Forecast Financials (Seq: 13)] - [Forecast Financial Line Items (Seq: 1)] L4 -06525 -001 - Garbageand Trash Removal - Both]&gt;</t>
        </r>
      </text>
    </comment>
    <comment ref="R923" authorId="0" shapeId="0" xr:uid="{4267D8EA-80C5-44E3-AEA0-50104709B23F}">
      <text>
        <r>
          <rPr>
            <b/>
            <sz val="9"/>
            <color indexed="81"/>
            <rFont val="Tahoma"/>
            <family val="2"/>
          </rPr>
          <t>&lt;[[DEVDeals] - [Primary Portfolio Property (Seq: 1)] - [Forecast Financials (Seq: 14)] - [Forecast Financial Line Items (Seq: 1)] L4 -06525 -001 - Garbageand Trash Removal - Both]&gt;</t>
        </r>
      </text>
    </comment>
    <comment ref="S923" authorId="0" shapeId="0" xr:uid="{E12490E5-44A8-4E12-B04B-5397097E5E9B}">
      <text>
        <r>
          <rPr>
            <b/>
            <sz val="9"/>
            <color indexed="81"/>
            <rFont val="Tahoma"/>
            <family val="2"/>
          </rPr>
          <t>&lt;[[DEVDeals] - [Primary Portfolio Property (Seq: 1)] - [Forecast Financials (Seq: 15)] - [Forecast Financial Line Items (Seq: 1)] L4 -06525 -001 - Garbageand Trash Removal - Both]&gt;</t>
        </r>
      </text>
    </comment>
    <comment ref="T923" authorId="0" shapeId="0" xr:uid="{78C7DE67-2DDD-463E-85DC-0BDD99B961F0}">
      <text>
        <r>
          <rPr>
            <b/>
            <sz val="9"/>
            <color indexed="81"/>
            <rFont val="Tahoma"/>
            <family val="2"/>
          </rPr>
          <t>&lt;[[DEVDeals] - [Primary Portfolio Property (Seq: 1)] - [Forecast Financials (Seq: 16)] - [Forecast Financial Line Items (Seq: 1)] L4 -06525 -001 - Garbageand Trash Removal - Both]&gt;</t>
        </r>
      </text>
    </comment>
    <comment ref="U923" authorId="0" shapeId="0" xr:uid="{926EFED5-6F82-49E7-95C3-4A46A6B5E2A0}">
      <text>
        <r>
          <rPr>
            <b/>
            <sz val="9"/>
            <color indexed="81"/>
            <rFont val="Tahoma"/>
            <family val="2"/>
          </rPr>
          <t>&lt;[[DEVDeals] - [Primary Portfolio Property (Seq: 1)] - [Forecast Financials (Seq: 17)] - [Forecast Financial Line Items (Seq: 1)] L4 -06525 -001 - Garbageand Trash Removal - Both]&gt;</t>
        </r>
      </text>
    </comment>
    <comment ref="V923" authorId="0" shapeId="0" xr:uid="{3A835ACF-63F3-4E34-B568-DF930546178B}">
      <text>
        <r>
          <rPr>
            <b/>
            <sz val="9"/>
            <color indexed="81"/>
            <rFont val="Tahoma"/>
            <family val="2"/>
          </rPr>
          <t>&lt;[[DEVDeals] - [Primary Portfolio Property (Seq: 1)] - [Forecast Financials (Seq: 18)] - [Forecast Financial Line Items (Seq: 1)] L4 -06525 -001 - Garbageand Trash Removal - Both]&gt;</t>
        </r>
      </text>
    </comment>
    <comment ref="W923" authorId="0" shapeId="0" xr:uid="{91C21D0D-5BA5-4E9C-837F-92C11B499FD4}">
      <text>
        <r>
          <rPr>
            <b/>
            <sz val="9"/>
            <color indexed="81"/>
            <rFont val="Tahoma"/>
            <family val="2"/>
          </rPr>
          <t>&lt;[[DEVDeals] - [Primary Portfolio Property (Seq: 1)] - [Forecast Financials (Seq: 19)] - [Forecast Financial Line Items (Seq: 1)] L4 -06525 -001 - Garbageand Trash Removal - Both]&gt;</t>
        </r>
      </text>
    </comment>
    <comment ref="X923" authorId="0" shapeId="0" xr:uid="{8CA5F50D-CA0C-4F1D-9543-F8E00CD44069}">
      <text>
        <r>
          <rPr>
            <b/>
            <sz val="9"/>
            <color indexed="81"/>
            <rFont val="Tahoma"/>
            <family val="2"/>
          </rPr>
          <t>&lt;[[DEVDeals] - [Primary Portfolio Property (Seq: 1)] - [Forecast Financials (Seq: 20)] - [Forecast Financial Line Items (Seq: 1)] L4 -06525 -001 - Garbageand Trash Removal - Both]&gt;</t>
        </r>
      </text>
    </comment>
    <comment ref="E924" authorId="0" shapeId="0" xr:uid="{366C3814-6514-42BA-B450-C8AC7C72A42F}">
      <text>
        <r>
          <rPr>
            <b/>
            <sz val="9"/>
            <color indexed="81"/>
            <rFont val="Tahoma"/>
            <family val="2"/>
          </rPr>
          <t>&lt;[[DEVDeals] - [Primary Portfolio Property (Seq: 1)] - [Forecast Financials (Seq: 1)] - [Forecast Financial Line Items (Seq: 1)] L4 -06530 -011 - Security Payrollor Contract - Both]&gt;</t>
        </r>
      </text>
    </comment>
    <comment ref="F924" authorId="0" shapeId="0" xr:uid="{93BF56FB-21EB-4214-9705-9C3FC7725534}">
      <text>
        <r>
          <rPr>
            <b/>
            <sz val="9"/>
            <color indexed="81"/>
            <rFont val="Tahoma"/>
            <family val="2"/>
          </rPr>
          <t>&lt;[[DEVDeals] - [Primary Portfolio Property (Seq: 1)] - [Forecast Financials (Seq: 2)] - [Forecast Financial Line Items (Seq: 1)] L4 -06530 -011 - Security Payrollor Contract - Both]&gt;</t>
        </r>
      </text>
    </comment>
    <comment ref="G924" authorId="0" shapeId="0" xr:uid="{3E11303C-3A63-40E0-8A01-1ED3FCFA6097}">
      <text>
        <r>
          <rPr>
            <b/>
            <sz val="9"/>
            <color indexed="81"/>
            <rFont val="Tahoma"/>
            <family val="2"/>
          </rPr>
          <t>&lt;[[DEVDeals] - [Primary Portfolio Property (Seq: 1)] - [Forecast Financials (Seq: 3)] - [Forecast Financial Line Items (Seq: 1)] L4 -06530 -011 - Security Payrollor Contract - Both]&gt;</t>
        </r>
      </text>
    </comment>
    <comment ref="H924" authorId="0" shapeId="0" xr:uid="{A46A10EE-8580-48B1-94B3-A854BF80B3AC}">
      <text>
        <r>
          <rPr>
            <b/>
            <sz val="9"/>
            <color indexed="81"/>
            <rFont val="Tahoma"/>
            <family val="2"/>
          </rPr>
          <t>&lt;[[DEVDeals] - [Primary Portfolio Property (Seq: 1)] - [Forecast Financials (Seq: 4)] - [Forecast Financial Line Items (Seq: 1)] L4 -06530 -011 - Security Payrollor Contract - Both]&gt;</t>
        </r>
      </text>
    </comment>
    <comment ref="I924" authorId="0" shapeId="0" xr:uid="{45F24D16-581C-4138-AA7B-331154D4D688}">
      <text>
        <r>
          <rPr>
            <b/>
            <sz val="9"/>
            <color indexed="81"/>
            <rFont val="Tahoma"/>
            <family val="2"/>
          </rPr>
          <t>&lt;[[DEVDeals] - [Primary Portfolio Property (Seq: 1)] - [Forecast Financials (Seq: 5)] - [Forecast Financial Line Items (Seq: 1)] L4 -06530 -011 - Security Payrollor Contract - Both]&gt;</t>
        </r>
      </text>
    </comment>
    <comment ref="J924" authorId="0" shapeId="0" xr:uid="{898CC595-1A36-4D88-BABD-D266CD8C7FCF}">
      <text>
        <r>
          <rPr>
            <b/>
            <sz val="9"/>
            <color indexed="81"/>
            <rFont val="Tahoma"/>
            <family val="2"/>
          </rPr>
          <t>&lt;[[DEVDeals] - [Primary Portfolio Property (Seq: 1)] - [Forecast Financials (Seq: 6)] - [Forecast Financial Line Items (Seq: 1)] L4 -06530 -011 - Security Payrollor Contract - Both]&gt;</t>
        </r>
      </text>
    </comment>
    <comment ref="K924" authorId="0" shapeId="0" xr:uid="{4D1B0F10-22E9-4C9C-9158-0EE97597B8FE}">
      <text>
        <r>
          <rPr>
            <b/>
            <sz val="9"/>
            <color indexed="81"/>
            <rFont val="Tahoma"/>
            <family val="2"/>
          </rPr>
          <t>&lt;[[DEVDeals] - [Primary Portfolio Property (Seq: 1)] - [Forecast Financials (Seq: 7)] - [Forecast Financial Line Items (Seq: 1)] L4 -06530 -011 - Security Payrollor Contract - Both]&gt;</t>
        </r>
      </text>
    </comment>
    <comment ref="L924" authorId="0" shapeId="0" xr:uid="{5FD5D325-A381-4BDB-ABF3-C4CDBD5B25D8}">
      <text>
        <r>
          <rPr>
            <b/>
            <sz val="9"/>
            <color indexed="81"/>
            <rFont val="Tahoma"/>
            <family val="2"/>
          </rPr>
          <t>&lt;[[DEVDeals] - [Primary Portfolio Property (Seq: 1)] - [Forecast Financials (Seq: 8)] - [Forecast Financial Line Items (Seq: 1)] L4 -06530 -011 - Security Payrollor Contract - Both]&gt;</t>
        </r>
      </text>
    </comment>
    <comment ref="M924" authorId="0" shapeId="0" xr:uid="{914864CA-84AC-49F1-A944-D2AF982103CD}">
      <text>
        <r>
          <rPr>
            <b/>
            <sz val="9"/>
            <color indexed="81"/>
            <rFont val="Tahoma"/>
            <family val="2"/>
          </rPr>
          <t>&lt;[[DEVDeals] - [Primary Portfolio Property (Seq: 1)] - [Forecast Financials (Seq: 9)] - [Forecast Financial Line Items (Seq: 1)] L4 -06530 -011 - Security Payrollor Contract - Both]&gt;</t>
        </r>
      </text>
    </comment>
    <comment ref="N924" authorId="0" shapeId="0" xr:uid="{651B0F93-3AB1-4825-AB3B-F4245E69AD33}">
      <text>
        <r>
          <rPr>
            <b/>
            <sz val="9"/>
            <color indexed="81"/>
            <rFont val="Tahoma"/>
            <family val="2"/>
          </rPr>
          <t>&lt;[[DEVDeals] - [Primary Portfolio Property (Seq: 1)] - [Forecast Financials (Seq: 10)] - [Forecast Financial Line Items (Seq: 1)] L4 -06530 -011 - Security Payrollor Contract - Both]&gt;</t>
        </r>
      </text>
    </comment>
    <comment ref="O924" authorId="0" shapeId="0" xr:uid="{249CF163-6FD1-4DC8-91CB-CC59361AFD81}">
      <text>
        <r>
          <rPr>
            <b/>
            <sz val="9"/>
            <color indexed="81"/>
            <rFont val="Tahoma"/>
            <family val="2"/>
          </rPr>
          <t>&lt;[[DEVDeals] - [Primary Portfolio Property (Seq: 1)] - [Forecast Financials (Seq: 11)] - [Forecast Financial Line Items (Seq: 1)] L4 -06530 -011 - Security Payrollor Contract - Both]&gt;</t>
        </r>
      </text>
    </comment>
    <comment ref="P924" authorId="0" shapeId="0" xr:uid="{6167459D-4E05-4404-BE74-F5D8F1D4AF7E}">
      <text>
        <r>
          <rPr>
            <b/>
            <sz val="9"/>
            <color indexed="81"/>
            <rFont val="Tahoma"/>
            <family val="2"/>
          </rPr>
          <t>&lt;[[DEVDeals] - [Primary Portfolio Property (Seq: 1)] - [Forecast Financials (Seq: 12)] - [Forecast Financial Line Items (Seq: 1)] L4 -06530 -011 - Security Payrollor Contract - Both]&gt;</t>
        </r>
      </text>
    </comment>
    <comment ref="Q924" authorId="0" shapeId="0" xr:uid="{D0C56523-26EA-418C-B1AB-B85B57CF9173}">
      <text>
        <r>
          <rPr>
            <b/>
            <sz val="9"/>
            <color indexed="81"/>
            <rFont val="Tahoma"/>
            <family val="2"/>
          </rPr>
          <t>&lt;[[DEVDeals] - [Primary Portfolio Property (Seq: 1)] - [Forecast Financials (Seq: 13)] - [Forecast Financial Line Items (Seq: 1)] L4 -06530 -011 - Security Payrollor Contract - Both]&gt;</t>
        </r>
      </text>
    </comment>
    <comment ref="R924" authorId="0" shapeId="0" xr:uid="{9312C125-09CF-444D-A955-F5806092ACC7}">
      <text>
        <r>
          <rPr>
            <b/>
            <sz val="9"/>
            <color indexed="81"/>
            <rFont val="Tahoma"/>
            <family val="2"/>
          </rPr>
          <t>&lt;[[DEVDeals] - [Primary Portfolio Property (Seq: 1)] - [Forecast Financials (Seq: 14)] - [Forecast Financial Line Items (Seq: 1)] L4 -06530 -011 - Security Payrollor Contract - Both]&gt;</t>
        </r>
      </text>
    </comment>
    <comment ref="S924" authorId="0" shapeId="0" xr:uid="{7DE02709-0270-4FD7-BCBD-11F5B3468F65}">
      <text>
        <r>
          <rPr>
            <b/>
            <sz val="9"/>
            <color indexed="81"/>
            <rFont val="Tahoma"/>
            <family val="2"/>
          </rPr>
          <t>&lt;[[DEVDeals] - [Primary Portfolio Property (Seq: 1)] - [Forecast Financials (Seq: 15)] - [Forecast Financial Line Items (Seq: 1)] L4 -06530 -011 - Security Payrollor Contract - Both]&gt;</t>
        </r>
      </text>
    </comment>
    <comment ref="T924" authorId="0" shapeId="0" xr:uid="{419C9777-028A-4212-AB28-1C6AEDD0F6CB}">
      <text>
        <r>
          <rPr>
            <b/>
            <sz val="9"/>
            <color indexed="81"/>
            <rFont val="Tahoma"/>
            <family val="2"/>
          </rPr>
          <t>&lt;[[DEVDeals] - [Primary Portfolio Property (Seq: 1)] - [Forecast Financials (Seq: 16)] - [Forecast Financial Line Items (Seq: 1)] L4 -06530 -011 - Security Payrollor Contract - Both]&gt;</t>
        </r>
      </text>
    </comment>
    <comment ref="U924" authorId="0" shapeId="0" xr:uid="{4A28BCF5-0E1E-4E58-9263-B77437B5370D}">
      <text>
        <r>
          <rPr>
            <b/>
            <sz val="9"/>
            <color indexed="81"/>
            <rFont val="Tahoma"/>
            <family val="2"/>
          </rPr>
          <t>&lt;[[DEVDeals] - [Primary Portfolio Property (Seq: 1)] - [Forecast Financials (Seq: 17)] - [Forecast Financial Line Items (Seq: 1)] L4 -06530 -011 - Security Payrollor Contract - Both]&gt;</t>
        </r>
      </text>
    </comment>
    <comment ref="V924" authorId="0" shapeId="0" xr:uid="{81AB1770-CAB2-4637-BBCE-4FB496EFEAE1}">
      <text>
        <r>
          <rPr>
            <b/>
            <sz val="9"/>
            <color indexed="81"/>
            <rFont val="Tahoma"/>
            <family val="2"/>
          </rPr>
          <t>&lt;[[DEVDeals] - [Primary Portfolio Property (Seq: 1)] - [Forecast Financials (Seq: 18)] - [Forecast Financial Line Items (Seq: 1)] L4 -06530 -011 - Security Payrollor Contract - Both]&gt;</t>
        </r>
      </text>
    </comment>
    <comment ref="W924" authorId="0" shapeId="0" xr:uid="{3E3FD442-3593-467F-AF09-D9FF98CB4899}">
      <text>
        <r>
          <rPr>
            <b/>
            <sz val="9"/>
            <color indexed="81"/>
            <rFont val="Tahoma"/>
            <family val="2"/>
          </rPr>
          <t>&lt;[[DEVDeals] - [Primary Portfolio Property (Seq: 1)] - [Forecast Financials (Seq: 19)] - [Forecast Financial Line Items (Seq: 1)] L4 -06530 -011 - Security Payrollor Contract - Both]&gt;</t>
        </r>
      </text>
    </comment>
    <comment ref="X924" authorId="0" shapeId="0" xr:uid="{E1CA5997-FE99-489E-8448-E80CCB8F8FA2}">
      <text>
        <r>
          <rPr>
            <b/>
            <sz val="9"/>
            <color indexed="81"/>
            <rFont val="Tahoma"/>
            <family val="2"/>
          </rPr>
          <t>&lt;[[DEVDeals] - [Primary Portfolio Property (Seq: 1)] - [Forecast Financials (Seq: 20)] - [Forecast Financial Line Items (Seq: 1)] L4 -06530 -011 - Security Payrollor Contract - Both]&gt;</t>
        </r>
      </text>
    </comment>
    <comment ref="E925" authorId="0" shapeId="0" xr:uid="{4EE4BD7C-C6DF-4AE8-A02D-AF09433BF6D1}">
      <text>
        <r>
          <rPr>
            <b/>
            <sz val="9"/>
            <color indexed="81"/>
            <rFont val="Tahoma"/>
            <family val="2"/>
          </rPr>
          <t>&lt;[[DEVDeals] - [Primary Portfolio Property (Seq: 1)] - [Forecast Financials (Seq: 1)] - [Forecast Financial Line Items (Seq: 1)] L4 -06510 -014 - Ground Payroll - Both]&gt;</t>
        </r>
      </text>
    </comment>
    <comment ref="F925" authorId="0" shapeId="0" xr:uid="{8A1CC1CC-30A1-461A-AE7C-34C2540030B1}">
      <text>
        <r>
          <rPr>
            <b/>
            <sz val="9"/>
            <color indexed="81"/>
            <rFont val="Tahoma"/>
            <family val="2"/>
          </rPr>
          <t>&lt;[[DEVDeals] - [Primary Portfolio Property (Seq: 1)] - [Forecast Financials (Seq: 2)] - [Forecast Financial Line Items (Seq: 1)] L4 -06510 -014 - Ground Payroll - Both]&gt;</t>
        </r>
      </text>
    </comment>
    <comment ref="G925" authorId="0" shapeId="0" xr:uid="{2E26E088-783E-4842-A9F3-13861D03653B}">
      <text>
        <r>
          <rPr>
            <b/>
            <sz val="9"/>
            <color indexed="81"/>
            <rFont val="Tahoma"/>
            <family val="2"/>
          </rPr>
          <t>&lt;[[DEVDeals] - [Primary Portfolio Property (Seq: 1)] - [Forecast Financials (Seq: 3)] - [Forecast Financial Line Items (Seq: 1)] L4 -06510 -014 - Ground Payroll - Both]&gt;</t>
        </r>
      </text>
    </comment>
    <comment ref="H925" authorId="0" shapeId="0" xr:uid="{40D6C907-780C-4BC1-9EFD-74B1CEDF7631}">
      <text>
        <r>
          <rPr>
            <b/>
            <sz val="9"/>
            <color indexed="81"/>
            <rFont val="Tahoma"/>
            <family val="2"/>
          </rPr>
          <t>&lt;[[DEVDeals] - [Primary Portfolio Property (Seq: 1)] - [Forecast Financials (Seq: 4)] - [Forecast Financial Line Items (Seq: 1)] L4 -06510 -014 - Ground Payroll - Both]&gt;</t>
        </r>
      </text>
    </comment>
    <comment ref="I925" authorId="0" shapeId="0" xr:uid="{4CCD9AC8-1A00-4EC6-A256-D23274BD56DE}">
      <text>
        <r>
          <rPr>
            <b/>
            <sz val="9"/>
            <color indexed="81"/>
            <rFont val="Tahoma"/>
            <family val="2"/>
          </rPr>
          <t>&lt;[[DEVDeals] - [Primary Portfolio Property (Seq: 1)] - [Forecast Financials (Seq: 5)] - [Forecast Financial Line Items (Seq: 1)] L4 -06510 -014 - Ground Payroll - Both]&gt;</t>
        </r>
      </text>
    </comment>
    <comment ref="J925" authorId="0" shapeId="0" xr:uid="{B40E0D55-8EEB-4F8F-8035-226287B78A2C}">
      <text>
        <r>
          <rPr>
            <b/>
            <sz val="9"/>
            <color indexed="81"/>
            <rFont val="Tahoma"/>
            <family val="2"/>
          </rPr>
          <t>&lt;[[DEVDeals] - [Primary Portfolio Property (Seq: 1)] - [Forecast Financials (Seq: 6)] - [Forecast Financial Line Items (Seq: 1)] L4 -06510 -014 - Ground Payroll - Both]&gt;</t>
        </r>
      </text>
    </comment>
    <comment ref="K925" authorId="0" shapeId="0" xr:uid="{7D1D2BB9-7020-4BCF-987F-D67AE898DC99}">
      <text>
        <r>
          <rPr>
            <b/>
            <sz val="9"/>
            <color indexed="81"/>
            <rFont val="Tahoma"/>
            <family val="2"/>
          </rPr>
          <t>&lt;[[DEVDeals] - [Primary Portfolio Property (Seq: 1)] - [Forecast Financials (Seq: 7)] - [Forecast Financial Line Items (Seq: 1)] L4 -06510 -014 - Ground Payroll - Both]&gt;</t>
        </r>
      </text>
    </comment>
    <comment ref="L925" authorId="0" shapeId="0" xr:uid="{5419CA85-E0D4-46B2-BAF0-63103FDBE9B1}">
      <text>
        <r>
          <rPr>
            <b/>
            <sz val="9"/>
            <color indexed="81"/>
            <rFont val="Tahoma"/>
            <family val="2"/>
          </rPr>
          <t>&lt;[[DEVDeals] - [Primary Portfolio Property (Seq: 1)] - [Forecast Financials (Seq: 8)] - [Forecast Financial Line Items (Seq: 1)] L4 -06510 -014 - Ground Payroll - Both]&gt;</t>
        </r>
      </text>
    </comment>
    <comment ref="M925" authorId="0" shapeId="0" xr:uid="{2CA38197-1872-4837-8729-0B5B8311D66D}">
      <text>
        <r>
          <rPr>
            <b/>
            <sz val="9"/>
            <color indexed="81"/>
            <rFont val="Tahoma"/>
            <family val="2"/>
          </rPr>
          <t>&lt;[[DEVDeals] - [Primary Portfolio Property (Seq: 1)] - [Forecast Financials (Seq: 9)] - [Forecast Financial Line Items (Seq: 1)] L4 -06510 -014 - Ground Payroll - Both]&gt;</t>
        </r>
      </text>
    </comment>
    <comment ref="N925" authorId="0" shapeId="0" xr:uid="{636DD76A-3DC1-42D8-B831-1486D5099EB0}">
      <text>
        <r>
          <rPr>
            <b/>
            <sz val="9"/>
            <color indexed="81"/>
            <rFont val="Tahoma"/>
            <family val="2"/>
          </rPr>
          <t>&lt;[[DEVDeals] - [Primary Portfolio Property (Seq: 1)] - [Forecast Financials (Seq: 10)] - [Forecast Financial Line Items (Seq: 1)] L4 -06510 -014 - Ground Payroll - Both]&gt;</t>
        </r>
      </text>
    </comment>
    <comment ref="O925" authorId="0" shapeId="0" xr:uid="{065683BB-ACB2-4725-86DC-10F5B14A6D7F}">
      <text>
        <r>
          <rPr>
            <b/>
            <sz val="9"/>
            <color indexed="81"/>
            <rFont val="Tahoma"/>
            <family val="2"/>
          </rPr>
          <t>&lt;[[DEVDeals] - [Primary Portfolio Property (Seq: 1)] - [Forecast Financials (Seq: 11)] - [Forecast Financial Line Items (Seq: 1)] L4 -06510 -014 - Ground Payroll - Both]&gt;</t>
        </r>
      </text>
    </comment>
    <comment ref="P925" authorId="0" shapeId="0" xr:uid="{017A6BF9-AF5F-40DD-AA8F-4A5D487C3C19}">
      <text>
        <r>
          <rPr>
            <b/>
            <sz val="9"/>
            <color indexed="81"/>
            <rFont val="Tahoma"/>
            <family val="2"/>
          </rPr>
          <t>&lt;[[DEVDeals] - [Primary Portfolio Property (Seq: 1)] - [Forecast Financials (Seq: 12)] - [Forecast Financial Line Items (Seq: 1)] L4 -06510 -014 - Ground Payroll - Both]&gt;</t>
        </r>
      </text>
    </comment>
    <comment ref="Q925" authorId="0" shapeId="0" xr:uid="{6C5DB93F-D1F3-4D84-80D6-E5230E56371F}">
      <text>
        <r>
          <rPr>
            <b/>
            <sz val="9"/>
            <color indexed="81"/>
            <rFont val="Tahoma"/>
            <family val="2"/>
          </rPr>
          <t>&lt;[[DEVDeals] - [Primary Portfolio Property (Seq: 1)] - [Forecast Financials (Seq: 13)] - [Forecast Financial Line Items (Seq: 1)] L4 -06510 -014 - Ground Payroll - Both]&gt;</t>
        </r>
      </text>
    </comment>
    <comment ref="R925" authorId="0" shapeId="0" xr:uid="{AF5F2E41-3781-48A9-92C8-4CE6FF8176FC}">
      <text>
        <r>
          <rPr>
            <b/>
            <sz val="9"/>
            <color indexed="81"/>
            <rFont val="Tahoma"/>
            <family val="2"/>
          </rPr>
          <t>&lt;[[DEVDeals] - [Primary Portfolio Property (Seq: 1)] - [Forecast Financials (Seq: 14)] - [Forecast Financial Line Items (Seq: 1)] L4 -06510 -014 - Ground Payroll - Both]&gt;</t>
        </r>
      </text>
    </comment>
    <comment ref="S925" authorId="0" shapeId="0" xr:uid="{8465AE0A-E239-4B7F-88F0-60CD8554FB24}">
      <text>
        <r>
          <rPr>
            <b/>
            <sz val="9"/>
            <color indexed="81"/>
            <rFont val="Tahoma"/>
            <family val="2"/>
          </rPr>
          <t>&lt;[[DEVDeals] - [Primary Portfolio Property (Seq: 1)] - [Forecast Financials (Seq: 15)] - [Forecast Financial Line Items (Seq: 1)] L4 -06510 -014 - Ground Payroll - Both]&gt;</t>
        </r>
      </text>
    </comment>
    <comment ref="T925" authorId="0" shapeId="0" xr:uid="{34B3BF9F-0FFB-40CF-B829-03C26F43253F}">
      <text>
        <r>
          <rPr>
            <b/>
            <sz val="9"/>
            <color indexed="81"/>
            <rFont val="Tahoma"/>
            <family val="2"/>
          </rPr>
          <t>&lt;[[DEVDeals] - [Primary Portfolio Property (Seq: 1)] - [Forecast Financials (Seq: 16)] - [Forecast Financial Line Items (Seq: 1)] L4 -06510 -014 - Ground Payroll - Both]&gt;</t>
        </r>
      </text>
    </comment>
    <comment ref="U925" authorId="0" shapeId="0" xr:uid="{76152B06-C61E-4538-8E06-7489ED35B549}">
      <text>
        <r>
          <rPr>
            <b/>
            <sz val="9"/>
            <color indexed="81"/>
            <rFont val="Tahoma"/>
            <family val="2"/>
          </rPr>
          <t>&lt;[[DEVDeals] - [Primary Portfolio Property (Seq: 1)] - [Forecast Financials (Seq: 17)] - [Forecast Financial Line Items (Seq: 1)] L4 -06510 -014 - Ground Payroll - Both]&gt;</t>
        </r>
      </text>
    </comment>
    <comment ref="V925" authorId="0" shapeId="0" xr:uid="{BD70CCFB-B1A5-416B-9143-6A69BDA82A79}">
      <text>
        <r>
          <rPr>
            <b/>
            <sz val="9"/>
            <color indexed="81"/>
            <rFont val="Tahoma"/>
            <family val="2"/>
          </rPr>
          <t>&lt;[[DEVDeals] - [Primary Portfolio Property (Seq: 1)] - [Forecast Financials (Seq: 18)] - [Forecast Financial Line Items (Seq: 1)] L4 -06510 -014 - Ground Payroll - Both]&gt;</t>
        </r>
      </text>
    </comment>
    <comment ref="W925" authorId="0" shapeId="0" xr:uid="{6DB8F96C-ED2D-425B-B9D0-39FA5244333B}">
      <text>
        <r>
          <rPr>
            <b/>
            <sz val="9"/>
            <color indexed="81"/>
            <rFont val="Tahoma"/>
            <family val="2"/>
          </rPr>
          <t>&lt;[[DEVDeals] - [Primary Portfolio Property (Seq: 1)] - [Forecast Financials (Seq: 19)] - [Forecast Financial Line Items (Seq: 1)] L4 -06510 -014 - Ground Payroll - Both]&gt;</t>
        </r>
      </text>
    </comment>
    <comment ref="X925" authorId="0" shapeId="0" xr:uid="{E9F4C681-5E72-4B16-A329-D5C6481E1694}">
      <text>
        <r>
          <rPr>
            <b/>
            <sz val="9"/>
            <color indexed="81"/>
            <rFont val="Tahoma"/>
            <family val="2"/>
          </rPr>
          <t>&lt;[[DEVDeals] - [Primary Portfolio Property (Seq: 1)] - [Forecast Financials (Seq: 20)] - [Forecast Financial Line Items (Seq: 1)] L4 -06510 -014 - Ground Payroll - Both]&gt;</t>
        </r>
      </text>
    </comment>
    <comment ref="E926" authorId="0" shapeId="0" xr:uid="{0B0C6D11-1A8C-452B-96D7-F0F608E9A8D9}">
      <text>
        <r>
          <rPr>
            <b/>
            <sz val="9"/>
            <color indexed="81"/>
            <rFont val="Tahoma"/>
            <family val="2"/>
          </rPr>
          <t>&lt;[[DEVDeals] - [Primary Portfolio Property (Seq: 1)] - [Forecast Financials (Seq: 1)] - [Forecast Financial Line Items (Seq: 1)] L4 -06515 -014 - Ground Supply - Both]&gt;</t>
        </r>
      </text>
    </comment>
    <comment ref="F926" authorId="0" shapeId="0" xr:uid="{E2576AE7-CC65-4F41-A859-7DBE3EA8BB5C}">
      <text>
        <r>
          <rPr>
            <b/>
            <sz val="9"/>
            <color indexed="81"/>
            <rFont val="Tahoma"/>
            <family val="2"/>
          </rPr>
          <t>&lt;[[DEVDeals] - [Primary Portfolio Property (Seq: 1)] - [Forecast Financials (Seq: 2)] - [Forecast Financial Line Items (Seq: 1)] L4 -06515 -014 - Ground Supply - Both]&gt;</t>
        </r>
      </text>
    </comment>
    <comment ref="G926" authorId="0" shapeId="0" xr:uid="{336CCA45-0B80-480E-9151-BB40436FC82A}">
      <text>
        <r>
          <rPr>
            <b/>
            <sz val="9"/>
            <color indexed="81"/>
            <rFont val="Tahoma"/>
            <family val="2"/>
          </rPr>
          <t>&lt;[[DEVDeals] - [Primary Portfolio Property (Seq: 1)] - [Forecast Financials (Seq: 3)] - [Forecast Financial Line Items (Seq: 1)] L4 -06515 -014 - Ground Supply - Both]&gt;</t>
        </r>
      </text>
    </comment>
    <comment ref="H926" authorId="0" shapeId="0" xr:uid="{7F1156B1-BB14-42F9-9CB8-CD8138D1FDDF}">
      <text>
        <r>
          <rPr>
            <b/>
            <sz val="9"/>
            <color indexed="81"/>
            <rFont val="Tahoma"/>
            <family val="2"/>
          </rPr>
          <t>&lt;[[DEVDeals] - [Primary Portfolio Property (Seq: 1)] - [Forecast Financials (Seq: 4)] - [Forecast Financial Line Items (Seq: 1)] L4 -06515 -014 - Ground Supply - Both]&gt;</t>
        </r>
      </text>
    </comment>
    <comment ref="I926" authorId="0" shapeId="0" xr:uid="{E1E2F01E-4D64-4330-9B5D-B55E1FF9447A}">
      <text>
        <r>
          <rPr>
            <b/>
            <sz val="9"/>
            <color indexed="81"/>
            <rFont val="Tahoma"/>
            <family val="2"/>
          </rPr>
          <t>&lt;[[DEVDeals] - [Primary Portfolio Property (Seq: 1)] - [Forecast Financials (Seq: 5)] - [Forecast Financial Line Items (Seq: 1)] L4 -06515 -014 - Ground Supply - Both]&gt;</t>
        </r>
      </text>
    </comment>
    <comment ref="J926" authorId="0" shapeId="0" xr:uid="{ED7BC860-1B17-4321-A843-EB9F0F60FD5B}">
      <text>
        <r>
          <rPr>
            <b/>
            <sz val="9"/>
            <color indexed="81"/>
            <rFont val="Tahoma"/>
            <family val="2"/>
          </rPr>
          <t>&lt;[[DEVDeals] - [Primary Portfolio Property (Seq: 1)] - [Forecast Financials (Seq: 6)] - [Forecast Financial Line Items (Seq: 1)] L4 -06515 -014 - Ground Supply - Both]&gt;</t>
        </r>
      </text>
    </comment>
    <comment ref="K926" authorId="0" shapeId="0" xr:uid="{735CF65D-3538-4596-95E9-F84D610EE2D2}">
      <text>
        <r>
          <rPr>
            <b/>
            <sz val="9"/>
            <color indexed="81"/>
            <rFont val="Tahoma"/>
            <family val="2"/>
          </rPr>
          <t>&lt;[[DEVDeals] - [Primary Portfolio Property (Seq: 1)] - [Forecast Financials (Seq: 7)] - [Forecast Financial Line Items (Seq: 1)] L4 -06515 -014 - Ground Supply - Both]&gt;</t>
        </r>
      </text>
    </comment>
    <comment ref="L926" authorId="0" shapeId="0" xr:uid="{DA01CFD1-370D-4142-B8E0-2126CF7CFB62}">
      <text>
        <r>
          <rPr>
            <b/>
            <sz val="9"/>
            <color indexed="81"/>
            <rFont val="Tahoma"/>
            <family val="2"/>
          </rPr>
          <t>&lt;[[DEVDeals] - [Primary Portfolio Property (Seq: 1)] - [Forecast Financials (Seq: 8)] - [Forecast Financial Line Items (Seq: 1)] L4 -06515 -014 - Ground Supply - Both]&gt;</t>
        </r>
      </text>
    </comment>
    <comment ref="M926" authorId="0" shapeId="0" xr:uid="{1EA2F8C2-68A7-4F89-A826-02A9EDC8701E}">
      <text>
        <r>
          <rPr>
            <b/>
            <sz val="9"/>
            <color indexed="81"/>
            <rFont val="Tahoma"/>
            <family val="2"/>
          </rPr>
          <t>&lt;[[DEVDeals] - [Primary Portfolio Property (Seq: 1)] - [Forecast Financials (Seq: 9)] - [Forecast Financial Line Items (Seq: 1)] L4 -06515 -014 - Ground Supply - Both]&gt;</t>
        </r>
      </text>
    </comment>
    <comment ref="N926" authorId="0" shapeId="0" xr:uid="{86E1FC34-00DD-4C43-BA18-4237B26EBFC3}">
      <text>
        <r>
          <rPr>
            <b/>
            <sz val="9"/>
            <color indexed="81"/>
            <rFont val="Tahoma"/>
            <family val="2"/>
          </rPr>
          <t>&lt;[[DEVDeals] - [Primary Portfolio Property (Seq: 1)] - [Forecast Financials (Seq: 10)] - [Forecast Financial Line Items (Seq: 1)] L4 -06515 -014 - Ground Supply - Both]&gt;</t>
        </r>
      </text>
    </comment>
    <comment ref="O926" authorId="0" shapeId="0" xr:uid="{D41FDF9A-0C8C-4BDD-BDC3-53B6F7A0EA07}">
      <text>
        <r>
          <rPr>
            <b/>
            <sz val="9"/>
            <color indexed="81"/>
            <rFont val="Tahoma"/>
            <family val="2"/>
          </rPr>
          <t>&lt;[[DEVDeals] - [Primary Portfolio Property (Seq: 1)] - [Forecast Financials (Seq: 11)] - [Forecast Financial Line Items (Seq: 1)] L4 -06515 -014 - Ground Supply - Both]&gt;</t>
        </r>
      </text>
    </comment>
    <comment ref="P926" authorId="0" shapeId="0" xr:uid="{29E2CB92-44CD-45BD-8CF2-B572F58DE184}">
      <text>
        <r>
          <rPr>
            <b/>
            <sz val="9"/>
            <color indexed="81"/>
            <rFont val="Tahoma"/>
            <family val="2"/>
          </rPr>
          <t>&lt;[[DEVDeals] - [Primary Portfolio Property (Seq: 1)] - [Forecast Financials (Seq: 12)] - [Forecast Financial Line Items (Seq: 1)] L4 -06515 -014 - Ground Supply - Both]&gt;</t>
        </r>
      </text>
    </comment>
    <comment ref="Q926" authorId="0" shapeId="0" xr:uid="{7BC07D5B-F692-477A-BE01-47C0879E4A2F}">
      <text>
        <r>
          <rPr>
            <b/>
            <sz val="9"/>
            <color indexed="81"/>
            <rFont val="Tahoma"/>
            <family val="2"/>
          </rPr>
          <t>&lt;[[DEVDeals] - [Primary Portfolio Property (Seq: 1)] - [Forecast Financials (Seq: 13)] - [Forecast Financial Line Items (Seq: 1)] L4 -06515 -014 - Ground Supply - Both]&gt;</t>
        </r>
      </text>
    </comment>
    <comment ref="R926" authorId="0" shapeId="0" xr:uid="{EC698DD4-2CD9-4644-9681-DFE270A6E7B0}">
      <text>
        <r>
          <rPr>
            <b/>
            <sz val="9"/>
            <color indexed="81"/>
            <rFont val="Tahoma"/>
            <family val="2"/>
          </rPr>
          <t>&lt;[[DEVDeals] - [Primary Portfolio Property (Seq: 1)] - [Forecast Financials (Seq: 14)] - [Forecast Financial Line Items (Seq: 1)] L4 -06515 -014 - Ground Supply - Both]&gt;</t>
        </r>
      </text>
    </comment>
    <comment ref="S926" authorId="0" shapeId="0" xr:uid="{0CBEC980-DE9B-4AC1-9219-63DD8D670087}">
      <text>
        <r>
          <rPr>
            <b/>
            <sz val="9"/>
            <color indexed="81"/>
            <rFont val="Tahoma"/>
            <family val="2"/>
          </rPr>
          <t>&lt;[[DEVDeals] - [Primary Portfolio Property (Seq: 1)] - [Forecast Financials (Seq: 15)] - [Forecast Financial Line Items (Seq: 1)] L4 -06515 -014 - Ground Supply - Both]&gt;</t>
        </r>
      </text>
    </comment>
    <comment ref="T926" authorId="0" shapeId="0" xr:uid="{A4C377C3-A5F1-4E3D-873F-A9E91E8C77CC}">
      <text>
        <r>
          <rPr>
            <b/>
            <sz val="9"/>
            <color indexed="81"/>
            <rFont val="Tahoma"/>
            <family val="2"/>
          </rPr>
          <t>&lt;[[DEVDeals] - [Primary Portfolio Property (Seq: 1)] - [Forecast Financials (Seq: 16)] - [Forecast Financial Line Items (Seq: 1)] L4 -06515 -014 - Ground Supply - Both]&gt;</t>
        </r>
      </text>
    </comment>
    <comment ref="U926" authorId="0" shapeId="0" xr:uid="{6B48FF2B-1170-4122-BD20-4C7AE2BFA8D3}">
      <text>
        <r>
          <rPr>
            <b/>
            <sz val="9"/>
            <color indexed="81"/>
            <rFont val="Tahoma"/>
            <family val="2"/>
          </rPr>
          <t>&lt;[[DEVDeals] - [Primary Portfolio Property (Seq: 1)] - [Forecast Financials (Seq: 17)] - [Forecast Financial Line Items (Seq: 1)] L4 -06515 -014 - Ground Supply - Both]&gt;</t>
        </r>
      </text>
    </comment>
    <comment ref="V926" authorId="0" shapeId="0" xr:uid="{8C3158A4-B669-4685-9CFB-9BCFD72CCAD2}">
      <text>
        <r>
          <rPr>
            <b/>
            <sz val="9"/>
            <color indexed="81"/>
            <rFont val="Tahoma"/>
            <family val="2"/>
          </rPr>
          <t>&lt;[[DEVDeals] - [Primary Portfolio Property (Seq: 1)] - [Forecast Financials (Seq: 18)] - [Forecast Financial Line Items (Seq: 1)] L4 -06515 -014 - Ground Supply - Both]&gt;</t>
        </r>
      </text>
    </comment>
    <comment ref="W926" authorId="0" shapeId="0" xr:uid="{CEE536E5-6BE2-457C-838D-95D8393FBF67}">
      <text>
        <r>
          <rPr>
            <b/>
            <sz val="9"/>
            <color indexed="81"/>
            <rFont val="Tahoma"/>
            <family val="2"/>
          </rPr>
          <t>&lt;[[DEVDeals] - [Primary Portfolio Property (Seq: 1)] - [Forecast Financials (Seq: 19)] - [Forecast Financial Line Items (Seq: 1)] L4 -06515 -014 - Ground Supply - Both]&gt;</t>
        </r>
      </text>
    </comment>
    <comment ref="X926" authorId="0" shapeId="0" xr:uid="{DE13BF83-5383-4E13-99FF-034D219766AF}">
      <text>
        <r>
          <rPr>
            <b/>
            <sz val="9"/>
            <color indexed="81"/>
            <rFont val="Tahoma"/>
            <family val="2"/>
          </rPr>
          <t>&lt;[[DEVDeals] - [Primary Portfolio Property (Seq: 1)] - [Forecast Financials (Seq: 20)] - [Forecast Financial Line Items (Seq: 1)] L4 -06515 -014 - Ground Supply - Both]&gt;</t>
        </r>
      </text>
    </comment>
    <comment ref="E927" authorId="0" shapeId="0" xr:uid="{A970F45B-8D1C-40BF-BC6D-62780AAC4701}">
      <text>
        <r>
          <rPr>
            <b/>
            <sz val="9"/>
            <color indexed="81"/>
            <rFont val="Tahoma"/>
            <family val="2"/>
          </rPr>
          <t>&lt;[[DEVDeals] - [Primary Portfolio Property (Seq: 1)] - [Forecast Financials (Seq: 1)] - [Forecast Financial Line Items (Seq: 1)] L4 -06520 -014 - Ground Contract - Both]&gt;</t>
        </r>
      </text>
    </comment>
    <comment ref="F927" authorId="0" shapeId="0" xr:uid="{B030322B-EF2A-40BB-8053-2A22D97C4050}">
      <text>
        <r>
          <rPr>
            <b/>
            <sz val="9"/>
            <color indexed="81"/>
            <rFont val="Tahoma"/>
            <family val="2"/>
          </rPr>
          <t>&lt;[[DEVDeals] - [Primary Portfolio Property (Seq: 1)] - [Forecast Financials (Seq: 2)] - [Forecast Financial Line Items (Seq: 1)] L4 -06520 -014 - Ground Contract - Both]&gt;</t>
        </r>
      </text>
    </comment>
    <comment ref="G927" authorId="0" shapeId="0" xr:uid="{1F003BEF-24F1-411C-8874-7EE1B26F0FC9}">
      <text>
        <r>
          <rPr>
            <b/>
            <sz val="9"/>
            <color indexed="81"/>
            <rFont val="Tahoma"/>
            <family val="2"/>
          </rPr>
          <t>&lt;[[DEVDeals] - [Primary Portfolio Property (Seq: 1)] - [Forecast Financials (Seq: 3)] - [Forecast Financial Line Items (Seq: 1)] L4 -06520 -014 - Ground Contract - Both]&gt;</t>
        </r>
      </text>
    </comment>
    <comment ref="H927" authorId="0" shapeId="0" xr:uid="{42DF81C4-9DD2-42C9-9FAA-7E14C97FF646}">
      <text>
        <r>
          <rPr>
            <b/>
            <sz val="9"/>
            <color indexed="81"/>
            <rFont val="Tahoma"/>
            <family val="2"/>
          </rPr>
          <t>&lt;[[DEVDeals] - [Primary Portfolio Property (Seq: 1)] - [Forecast Financials (Seq: 4)] - [Forecast Financial Line Items (Seq: 1)] L4 -06520 -014 - Ground Contract - Both]&gt;</t>
        </r>
      </text>
    </comment>
    <comment ref="I927" authorId="0" shapeId="0" xr:uid="{1CFE4261-C93E-4A38-8621-C316E8121170}">
      <text>
        <r>
          <rPr>
            <b/>
            <sz val="9"/>
            <color indexed="81"/>
            <rFont val="Tahoma"/>
            <family val="2"/>
          </rPr>
          <t>&lt;[[DEVDeals] - [Primary Portfolio Property (Seq: 1)] - [Forecast Financials (Seq: 5)] - [Forecast Financial Line Items (Seq: 1)] L4 -06520 -014 - Ground Contract - Both]&gt;</t>
        </r>
      </text>
    </comment>
    <comment ref="J927" authorId="0" shapeId="0" xr:uid="{253D4FEC-15B5-45C1-B529-3CF7A967B0A3}">
      <text>
        <r>
          <rPr>
            <b/>
            <sz val="9"/>
            <color indexed="81"/>
            <rFont val="Tahoma"/>
            <family val="2"/>
          </rPr>
          <t>&lt;[[DEVDeals] - [Primary Portfolio Property (Seq: 1)] - [Forecast Financials (Seq: 6)] - [Forecast Financial Line Items (Seq: 1)] L4 -06520 -014 - Ground Contract - Both]&gt;</t>
        </r>
      </text>
    </comment>
    <comment ref="K927" authorId="0" shapeId="0" xr:uid="{CEF4D53F-F377-4E34-A845-CB416AE2CC6B}">
      <text>
        <r>
          <rPr>
            <b/>
            <sz val="9"/>
            <color indexed="81"/>
            <rFont val="Tahoma"/>
            <family val="2"/>
          </rPr>
          <t>&lt;[[DEVDeals] - [Primary Portfolio Property (Seq: 1)] - [Forecast Financials (Seq: 7)] - [Forecast Financial Line Items (Seq: 1)] L4 -06520 -014 - Ground Contract - Both]&gt;</t>
        </r>
      </text>
    </comment>
    <comment ref="L927" authorId="0" shapeId="0" xr:uid="{0EF46FF0-FFA1-4740-B679-765D71CEA710}">
      <text>
        <r>
          <rPr>
            <b/>
            <sz val="9"/>
            <color indexed="81"/>
            <rFont val="Tahoma"/>
            <family val="2"/>
          </rPr>
          <t>&lt;[[DEVDeals] - [Primary Portfolio Property (Seq: 1)] - [Forecast Financials (Seq: 8)] - [Forecast Financial Line Items (Seq: 1)] L4 -06520 -014 - Ground Contract - Both]&gt;</t>
        </r>
      </text>
    </comment>
    <comment ref="M927" authorId="0" shapeId="0" xr:uid="{A44CD7EC-CB08-4C8F-A13F-77386E2298F4}">
      <text>
        <r>
          <rPr>
            <b/>
            <sz val="9"/>
            <color indexed="81"/>
            <rFont val="Tahoma"/>
            <family val="2"/>
          </rPr>
          <t>&lt;[[DEVDeals] - [Primary Portfolio Property (Seq: 1)] - [Forecast Financials (Seq: 9)] - [Forecast Financial Line Items (Seq: 1)] L4 -06520 -014 - Ground Contract - Both]&gt;</t>
        </r>
      </text>
    </comment>
    <comment ref="N927" authorId="0" shapeId="0" xr:uid="{F7FB77E6-7B2E-47C1-B421-2DDD47F22701}">
      <text>
        <r>
          <rPr>
            <b/>
            <sz val="9"/>
            <color indexed="81"/>
            <rFont val="Tahoma"/>
            <family val="2"/>
          </rPr>
          <t>&lt;[[DEVDeals] - [Primary Portfolio Property (Seq: 1)] - [Forecast Financials (Seq: 10)] - [Forecast Financial Line Items (Seq: 1)] L4 -06520 -014 - Ground Contract - Both]&gt;</t>
        </r>
      </text>
    </comment>
    <comment ref="O927" authorId="0" shapeId="0" xr:uid="{868AEC05-3319-47BC-80F3-C90BF046F16F}">
      <text>
        <r>
          <rPr>
            <b/>
            <sz val="9"/>
            <color indexed="81"/>
            <rFont val="Tahoma"/>
            <family val="2"/>
          </rPr>
          <t>&lt;[[DEVDeals] - [Primary Portfolio Property (Seq: 1)] - [Forecast Financials (Seq: 11)] - [Forecast Financial Line Items (Seq: 1)] L4 -06520 -014 - Ground Contract - Both]&gt;</t>
        </r>
      </text>
    </comment>
    <comment ref="P927" authorId="0" shapeId="0" xr:uid="{1A148DAA-81E9-4123-ABB0-DE55BEAA586E}">
      <text>
        <r>
          <rPr>
            <b/>
            <sz val="9"/>
            <color indexed="81"/>
            <rFont val="Tahoma"/>
            <family val="2"/>
          </rPr>
          <t>&lt;[[DEVDeals] - [Primary Portfolio Property (Seq: 1)] - [Forecast Financials (Seq: 12)] - [Forecast Financial Line Items (Seq: 1)] L4 -06520 -014 - Ground Contract - Both]&gt;</t>
        </r>
      </text>
    </comment>
    <comment ref="Q927" authorId="0" shapeId="0" xr:uid="{65A77A60-EC76-4A57-9157-0AD10509EE22}">
      <text>
        <r>
          <rPr>
            <b/>
            <sz val="9"/>
            <color indexed="81"/>
            <rFont val="Tahoma"/>
            <family val="2"/>
          </rPr>
          <t>&lt;[[DEVDeals] - [Primary Portfolio Property (Seq: 1)] - [Forecast Financials (Seq: 13)] - [Forecast Financial Line Items (Seq: 1)] L4 -06520 -014 - Ground Contract - Both]&gt;</t>
        </r>
      </text>
    </comment>
    <comment ref="R927" authorId="0" shapeId="0" xr:uid="{7CC0982F-63BC-457A-BC82-2C07087A5E2B}">
      <text>
        <r>
          <rPr>
            <b/>
            <sz val="9"/>
            <color indexed="81"/>
            <rFont val="Tahoma"/>
            <family val="2"/>
          </rPr>
          <t>&lt;[[DEVDeals] - [Primary Portfolio Property (Seq: 1)] - [Forecast Financials (Seq: 14)] - [Forecast Financial Line Items (Seq: 1)] L4 -06520 -014 - Ground Contract - Both]&gt;</t>
        </r>
      </text>
    </comment>
    <comment ref="S927" authorId="0" shapeId="0" xr:uid="{6D36BB06-E43D-44BF-9E02-20C28D3C66AF}">
      <text>
        <r>
          <rPr>
            <b/>
            <sz val="9"/>
            <color indexed="81"/>
            <rFont val="Tahoma"/>
            <family val="2"/>
          </rPr>
          <t>&lt;[[DEVDeals] - [Primary Portfolio Property (Seq: 1)] - [Forecast Financials (Seq: 15)] - [Forecast Financial Line Items (Seq: 1)] L4 -06520 -014 - Ground Contract - Both]&gt;</t>
        </r>
      </text>
    </comment>
    <comment ref="T927" authorId="0" shapeId="0" xr:uid="{54DC058B-F411-48F4-A7F7-F64EB084CA1F}">
      <text>
        <r>
          <rPr>
            <b/>
            <sz val="9"/>
            <color indexed="81"/>
            <rFont val="Tahoma"/>
            <family val="2"/>
          </rPr>
          <t>&lt;[[DEVDeals] - [Primary Portfolio Property (Seq: 1)] - [Forecast Financials (Seq: 16)] - [Forecast Financial Line Items (Seq: 1)] L4 -06520 -014 - Ground Contract - Both]&gt;</t>
        </r>
      </text>
    </comment>
    <comment ref="U927" authorId="0" shapeId="0" xr:uid="{D116106A-FAE7-4DEA-8FD8-933C6AF1CD8F}">
      <text>
        <r>
          <rPr>
            <b/>
            <sz val="9"/>
            <color indexed="81"/>
            <rFont val="Tahoma"/>
            <family val="2"/>
          </rPr>
          <t>&lt;[[DEVDeals] - [Primary Portfolio Property (Seq: 1)] - [Forecast Financials (Seq: 17)] - [Forecast Financial Line Items (Seq: 1)] L4 -06520 -014 - Ground Contract - Both]&gt;</t>
        </r>
      </text>
    </comment>
    <comment ref="V927" authorId="0" shapeId="0" xr:uid="{4845A70F-CC2B-4973-9CB9-2BB05AB233FA}">
      <text>
        <r>
          <rPr>
            <b/>
            <sz val="9"/>
            <color indexed="81"/>
            <rFont val="Tahoma"/>
            <family val="2"/>
          </rPr>
          <t>&lt;[[DEVDeals] - [Primary Portfolio Property (Seq: 1)] - [Forecast Financials (Seq: 18)] - [Forecast Financial Line Items (Seq: 1)] L4 -06520 -014 - Ground Contract - Both]&gt;</t>
        </r>
      </text>
    </comment>
    <comment ref="W927" authorId="0" shapeId="0" xr:uid="{4BE5A099-D41E-4CD9-A845-3316C49D9976}">
      <text>
        <r>
          <rPr>
            <b/>
            <sz val="9"/>
            <color indexed="81"/>
            <rFont val="Tahoma"/>
            <family val="2"/>
          </rPr>
          <t>&lt;[[DEVDeals] - [Primary Portfolio Property (Seq: 1)] - [Forecast Financials (Seq: 19)] - [Forecast Financial Line Items (Seq: 1)] L4 -06520 -014 - Ground Contract - Both]&gt;</t>
        </r>
      </text>
    </comment>
    <comment ref="X927" authorId="0" shapeId="0" xr:uid="{E43AA613-8ADC-4651-8C27-CF158A8D4687}">
      <text>
        <r>
          <rPr>
            <b/>
            <sz val="9"/>
            <color indexed="81"/>
            <rFont val="Tahoma"/>
            <family val="2"/>
          </rPr>
          <t>&lt;[[DEVDeals] - [Primary Portfolio Property (Seq: 1)] - [Forecast Financials (Seq: 20)] - [Forecast Financial Line Items (Seq: 1)] L4 -06520 -014 - Ground Contract - Both]&gt;</t>
        </r>
      </text>
    </comment>
    <comment ref="E928" authorId="0" shapeId="0" xr:uid="{86F5652D-C8DB-475A-91E8-658C36936942}">
      <text>
        <r>
          <rPr>
            <b/>
            <sz val="9"/>
            <color indexed="81"/>
            <rFont val="Tahoma"/>
            <family val="2"/>
          </rPr>
          <t>&lt;[[DEVDeals] - [Primary Portfolio Property (Seq: 1)] - [Forecast Financials (Seq: 1)] - [Forecast Financial Line Items (Seq: 1)] L4 -06510 -015 - Repair Payroll - Both]&gt;</t>
        </r>
      </text>
    </comment>
    <comment ref="F928" authorId="0" shapeId="0" xr:uid="{90B64F7B-74CF-4F8F-AB52-A1F45EEF42BF}">
      <text>
        <r>
          <rPr>
            <b/>
            <sz val="9"/>
            <color indexed="81"/>
            <rFont val="Tahoma"/>
            <family val="2"/>
          </rPr>
          <t>&lt;[[DEVDeals] - [Primary Portfolio Property (Seq: 1)] - [Forecast Financials (Seq: 2)] - [Forecast Financial Line Items (Seq: 1)] L4 -06510 -015 - Repair Payroll - Both]&gt;</t>
        </r>
      </text>
    </comment>
    <comment ref="G928" authorId="0" shapeId="0" xr:uid="{4FD0DAA0-FE9D-4B2A-9E2C-3318E21FD1F5}">
      <text>
        <r>
          <rPr>
            <b/>
            <sz val="9"/>
            <color indexed="81"/>
            <rFont val="Tahoma"/>
            <family val="2"/>
          </rPr>
          <t>&lt;[[DEVDeals] - [Primary Portfolio Property (Seq: 1)] - [Forecast Financials (Seq: 3)] - [Forecast Financial Line Items (Seq: 1)] L4 -06510 -015 - Repair Payroll - Both]&gt;</t>
        </r>
      </text>
    </comment>
    <comment ref="H928" authorId="0" shapeId="0" xr:uid="{45165DE3-3FD1-4409-B146-9C0E7F312731}">
      <text>
        <r>
          <rPr>
            <b/>
            <sz val="9"/>
            <color indexed="81"/>
            <rFont val="Tahoma"/>
            <family val="2"/>
          </rPr>
          <t>&lt;[[DEVDeals] - [Primary Portfolio Property (Seq: 1)] - [Forecast Financials (Seq: 4)] - [Forecast Financial Line Items (Seq: 1)] L4 -06510 -015 - Repair Payroll - Both]&gt;</t>
        </r>
      </text>
    </comment>
    <comment ref="I928" authorId="0" shapeId="0" xr:uid="{6E2ABEF2-72A6-4C6E-AEAD-97D340D1D8FA}">
      <text>
        <r>
          <rPr>
            <b/>
            <sz val="9"/>
            <color indexed="81"/>
            <rFont val="Tahoma"/>
            <family val="2"/>
          </rPr>
          <t>&lt;[[DEVDeals] - [Primary Portfolio Property (Seq: 1)] - [Forecast Financials (Seq: 5)] - [Forecast Financial Line Items (Seq: 1)] L4 -06510 -015 - Repair Payroll - Both]&gt;</t>
        </r>
      </text>
    </comment>
    <comment ref="J928" authorId="0" shapeId="0" xr:uid="{F518FD4B-6DF8-4095-9179-848745FC0234}">
      <text>
        <r>
          <rPr>
            <b/>
            <sz val="9"/>
            <color indexed="81"/>
            <rFont val="Tahoma"/>
            <family val="2"/>
          </rPr>
          <t>&lt;[[DEVDeals] - [Primary Portfolio Property (Seq: 1)] - [Forecast Financials (Seq: 6)] - [Forecast Financial Line Items (Seq: 1)] L4 -06510 -015 - Repair Payroll - Both]&gt;</t>
        </r>
      </text>
    </comment>
    <comment ref="K928" authorId="0" shapeId="0" xr:uid="{7919F2DD-EB36-43F9-9E39-634A172ECF04}">
      <text>
        <r>
          <rPr>
            <b/>
            <sz val="9"/>
            <color indexed="81"/>
            <rFont val="Tahoma"/>
            <family val="2"/>
          </rPr>
          <t>&lt;[[DEVDeals] - [Primary Portfolio Property (Seq: 1)] - [Forecast Financials (Seq: 7)] - [Forecast Financial Line Items (Seq: 1)] L4 -06510 -015 - Repair Payroll - Both]&gt;</t>
        </r>
      </text>
    </comment>
    <comment ref="L928" authorId="0" shapeId="0" xr:uid="{F55750E5-212B-4205-9AE3-75D0D13C95B3}">
      <text>
        <r>
          <rPr>
            <b/>
            <sz val="9"/>
            <color indexed="81"/>
            <rFont val="Tahoma"/>
            <family val="2"/>
          </rPr>
          <t>&lt;[[DEVDeals] - [Primary Portfolio Property (Seq: 1)] - [Forecast Financials (Seq: 8)] - [Forecast Financial Line Items (Seq: 1)] L4 -06510 -015 - Repair Payroll - Both]&gt;</t>
        </r>
      </text>
    </comment>
    <comment ref="M928" authorId="0" shapeId="0" xr:uid="{07069561-3BDC-4F63-9201-29EBE80E9CF9}">
      <text>
        <r>
          <rPr>
            <b/>
            <sz val="9"/>
            <color indexed="81"/>
            <rFont val="Tahoma"/>
            <family val="2"/>
          </rPr>
          <t>&lt;[[DEVDeals] - [Primary Portfolio Property (Seq: 1)] - [Forecast Financials (Seq: 9)] - [Forecast Financial Line Items (Seq: 1)] L4 -06510 -015 - Repair Payroll - Both]&gt;</t>
        </r>
      </text>
    </comment>
    <comment ref="N928" authorId="0" shapeId="0" xr:uid="{B4DC3BAA-140E-446E-96A1-D003E1CF0223}">
      <text>
        <r>
          <rPr>
            <b/>
            <sz val="9"/>
            <color indexed="81"/>
            <rFont val="Tahoma"/>
            <family val="2"/>
          </rPr>
          <t>&lt;[[DEVDeals] - [Primary Portfolio Property (Seq: 1)] - [Forecast Financials (Seq: 10)] - [Forecast Financial Line Items (Seq: 1)] L4 -06510 -015 - Repair Payroll - Both]&gt;</t>
        </r>
      </text>
    </comment>
    <comment ref="O928" authorId="0" shapeId="0" xr:uid="{73DFCEA5-A6B4-4C86-BD2F-E6BD467DADBC}">
      <text>
        <r>
          <rPr>
            <b/>
            <sz val="9"/>
            <color indexed="81"/>
            <rFont val="Tahoma"/>
            <family val="2"/>
          </rPr>
          <t>&lt;[[DEVDeals] - [Primary Portfolio Property (Seq: 1)] - [Forecast Financials (Seq: 11)] - [Forecast Financial Line Items (Seq: 1)] L4 -06510 -015 - Repair Payroll - Both]&gt;</t>
        </r>
      </text>
    </comment>
    <comment ref="P928" authorId="0" shapeId="0" xr:uid="{7CD51C47-FB9E-4AA6-8F08-DFCAFD74931B}">
      <text>
        <r>
          <rPr>
            <b/>
            <sz val="9"/>
            <color indexed="81"/>
            <rFont val="Tahoma"/>
            <family val="2"/>
          </rPr>
          <t>&lt;[[DEVDeals] - [Primary Portfolio Property (Seq: 1)] - [Forecast Financials (Seq: 12)] - [Forecast Financial Line Items (Seq: 1)] L4 -06510 -015 - Repair Payroll - Both]&gt;</t>
        </r>
      </text>
    </comment>
    <comment ref="Q928" authorId="0" shapeId="0" xr:uid="{B7CB3A09-F5A3-487A-A5DB-D4500BFFA234}">
      <text>
        <r>
          <rPr>
            <b/>
            <sz val="9"/>
            <color indexed="81"/>
            <rFont val="Tahoma"/>
            <family val="2"/>
          </rPr>
          <t>&lt;[[DEVDeals] - [Primary Portfolio Property (Seq: 1)] - [Forecast Financials (Seq: 13)] - [Forecast Financial Line Items (Seq: 1)] L4 -06510 -015 - Repair Payroll - Both]&gt;</t>
        </r>
      </text>
    </comment>
    <comment ref="R928" authorId="0" shapeId="0" xr:uid="{E815122D-6551-45F0-BE4B-5C0BD332368E}">
      <text>
        <r>
          <rPr>
            <b/>
            <sz val="9"/>
            <color indexed="81"/>
            <rFont val="Tahoma"/>
            <family val="2"/>
          </rPr>
          <t>&lt;[[DEVDeals] - [Primary Portfolio Property (Seq: 1)] - [Forecast Financials (Seq: 14)] - [Forecast Financial Line Items (Seq: 1)] L4 -06510 -015 - Repair Payroll - Both]&gt;</t>
        </r>
      </text>
    </comment>
    <comment ref="S928" authorId="0" shapeId="0" xr:uid="{B0FA28B0-971D-4822-945E-444ECB12219A}">
      <text>
        <r>
          <rPr>
            <b/>
            <sz val="9"/>
            <color indexed="81"/>
            <rFont val="Tahoma"/>
            <family val="2"/>
          </rPr>
          <t>&lt;[[DEVDeals] - [Primary Portfolio Property (Seq: 1)] - [Forecast Financials (Seq: 15)] - [Forecast Financial Line Items (Seq: 1)] L4 -06510 -015 - Repair Payroll - Both]&gt;</t>
        </r>
      </text>
    </comment>
    <comment ref="T928" authorId="0" shapeId="0" xr:uid="{35C2E496-299A-401D-B543-FB30BE10B6C1}">
      <text>
        <r>
          <rPr>
            <b/>
            <sz val="9"/>
            <color indexed="81"/>
            <rFont val="Tahoma"/>
            <family val="2"/>
          </rPr>
          <t>&lt;[[DEVDeals] - [Primary Portfolio Property (Seq: 1)] - [Forecast Financials (Seq: 16)] - [Forecast Financial Line Items (Seq: 1)] L4 -06510 -015 - Repair Payroll - Both]&gt;</t>
        </r>
      </text>
    </comment>
    <comment ref="U928" authorId="0" shapeId="0" xr:uid="{739111E8-08D0-46D3-9724-35B051D3AE50}">
      <text>
        <r>
          <rPr>
            <b/>
            <sz val="9"/>
            <color indexed="81"/>
            <rFont val="Tahoma"/>
            <family val="2"/>
          </rPr>
          <t>&lt;[[DEVDeals] - [Primary Portfolio Property (Seq: 1)] - [Forecast Financials (Seq: 17)] - [Forecast Financial Line Items (Seq: 1)] L4 -06510 -015 - Repair Payroll - Both]&gt;</t>
        </r>
      </text>
    </comment>
    <comment ref="V928" authorId="0" shapeId="0" xr:uid="{C9BC5F94-8802-45C5-8D11-015D6822FB03}">
      <text>
        <r>
          <rPr>
            <b/>
            <sz val="9"/>
            <color indexed="81"/>
            <rFont val="Tahoma"/>
            <family val="2"/>
          </rPr>
          <t>&lt;[[DEVDeals] - [Primary Portfolio Property (Seq: 1)] - [Forecast Financials (Seq: 18)] - [Forecast Financial Line Items (Seq: 1)] L4 -06510 -015 - Repair Payroll - Both]&gt;</t>
        </r>
      </text>
    </comment>
    <comment ref="W928" authorId="0" shapeId="0" xr:uid="{FC7A3D5C-C909-498C-BD90-0E46292CA6E0}">
      <text>
        <r>
          <rPr>
            <b/>
            <sz val="9"/>
            <color indexed="81"/>
            <rFont val="Tahoma"/>
            <family val="2"/>
          </rPr>
          <t>&lt;[[DEVDeals] - [Primary Portfolio Property (Seq: 1)] - [Forecast Financials (Seq: 19)] - [Forecast Financial Line Items (Seq: 1)] L4 -06510 -015 - Repair Payroll - Both]&gt;</t>
        </r>
      </text>
    </comment>
    <comment ref="X928" authorId="0" shapeId="0" xr:uid="{E5ABE80D-8998-4678-9934-97CE9FB23C0A}">
      <text>
        <r>
          <rPr>
            <b/>
            <sz val="9"/>
            <color indexed="81"/>
            <rFont val="Tahoma"/>
            <family val="2"/>
          </rPr>
          <t>&lt;[[DEVDeals] - [Primary Portfolio Property (Seq: 1)] - [Forecast Financials (Seq: 20)] - [Forecast Financial Line Items (Seq: 1)] L4 -06510 -015 - Repair Payroll - Both]&gt;</t>
        </r>
      </text>
    </comment>
    <comment ref="E929" authorId="0" shapeId="0" xr:uid="{DAE7112A-B4FF-4DFF-BE4C-45661E25406F}">
      <text>
        <r>
          <rPr>
            <b/>
            <sz val="9"/>
            <color indexed="81"/>
            <rFont val="Tahoma"/>
            <family val="2"/>
          </rPr>
          <t>&lt;[[DEVDeals] - [Primary Portfolio Property (Seq: 1)] - [Forecast Financials (Seq: 1)] - [Forecast Financial Line Items (Seq: 1)] L4 -06515 -015 - Repair Material - Both]&gt;</t>
        </r>
      </text>
    </comment>
    <comment ref="F929" authorId="0" shapeId="0" xr:uid="{E1C74686-B9B6-46BE-8550-87230F9DE0B6}">
      <text>
        <r>
          <rPr>
            <b/>
            <sz val="9"/>
            <color indexed="81"/>
            <rFont val="Tahoma"/>
            <family val="2"/>
          </rPr>
          <t>&lt;[[DEVDeals] - [Primary Portfolio Property (Seq: 1)] - [Forecast Financials (Seq: 2)] - [Forecast Financial Line Items (Seq: 1)] L4 -06515 -015 - Repair Material - Both]&gt;</t>
        </r>
      </text>
    </comment>
    <comment ref="G929" authorId="0" shapeId="0" xr:uid="{40F5AB26-BF9D-49E0-A461-084984BF0E5B}">
      <text>
        <r>
          <rPr>
            <b/>
            <sz val="9"/>
            <color indexed="81"/>
            <rFont val="Tahoma"/>
            <family val="2"/>
          </rPr>
          <t>&lt;[[DEVDeals] - [Primary Portfolio Property (Seq: 1)] - [Forecast Financials (Seq: 3)] - [Forecast Financial Line Items (Seq: 1)] L4 -06515 -015 - Repair Material - Both]&gt;</t>
        </r>
      </text>
    </comment>
    <comment ref="H929" authorId="0" shapeId="0" xr:uid="{CA93262C-F4DC-4BB5-A973-04CAD430B3D7}">
      <text>
        <r>
          <rPr>
            <b/>
            <sz val="9"/>
            <color indexed="81"/>
            <rFont val="Tahoma"/>
            <family val="2"/>
          </rPr>
          <t>&lt;[[DEVDeals] - [Primary Portfolio Property (Seq: 1)] - [Forecast Financials (Seq: 4)] - [Forecast Financial Line Items (Seq: 1)] L4 -06515 -015 - Repair Material - Both]&gt;</t>
        </r>
      </text>
    </comment>
    <comment ref="I929" authorId="0" shapeId="0" xr:uid="{98621EFF-D192-4CFB-8151-9E49607905C7}">
      <text>
        <r>
          <rPr>
            <b/>
            <sz val="9"/>
            <color indexed="81"/>
            <rFont val="Tahoma"/>
            <family val="2"/>
          </rPr>
          <t>&lt;[[DEVDeals] - [Primary Portfolio Property (Seq: 1)] - [Forecast Financials (Seq: 5)] - [Forecast Financial Line Items (Seq: 1)] L4 -06515 -015 - Repair Material - Both]&gt;</t>
        </r>
      </text>
    </comment>
    <comment ref="J929" authorId="0" shapeId="0" xr:uid="{06930C37-ADAE-47E8-B952-4F2324FE4455}">
      <text>
        <r>
          <rPr>
            <b/>
            <sz val="9"/>
            <color indexed="81"/>
            <rFont val="Tahoma"/>
            <family val="2"/>
          </rPr>
          <t>&lt;[[DEVDeals] - [Primary Portfolio Property (Seq: 1)] - [Forecast Financials (Seq: 6)] - [Forecast Financial Line Items (Seq: 1)] L4 -06515 -015 - Repair Material - Both]&gt;</t>
        </r>
      </text>
    </comment>
    <comment ref="K929" authorId="0" shapeId="0" xr:uid="{4FE82BE9-7BB1-4858-820F-EE36DA39BBE6}">
      <text>
        <r>
          <rPr>
            <b/>
            <sz val="9"/>
            <color indexed="81"/>
            <rFont val="Tahoma"/>
            <family val="2"/>
          </rPr>
          <t>&lt;[[DEVDeals] - [Primary Portfolio Property (Seq: 1)] - [Forecast Financials (Seq: 7)] - [Forecast Financial Line Items (Seq: 1)] L4 -06515 -015 - Repair Material - Both]&gt;</t>
        </r>
      </text>
    </comment>
    <comment ref="L929" authorId="0" shapeId="0" xr:uid="{41D0BA8B-F9CD-4462-B9EE-DDE352B25D19}">
      <text>
        <r>
          <rPr>
            <b/>
            <sz val="9"/>
            <color indexed="81"/>
            <rFont val="Tahoma"/>
            <family val="2"/>
          </rPr>
          <t>&lt;[[DEVDeals] - [Primary Portfolio Property (Seq: 1)] - [Forecast Financials (Seq: 8)] - [Forecast Financial Line Items (Seq: 1)] L4 -06515 -015 - Repair Material - Both]&gt;</t>
        </r>
      </text>
    </comment>
    <comment ref="M929" authorId="0" shapeId="0" xr:uid="{E6F37348-AAD1-40DA-AF0B-B0FDEDCEA2C1}">
      <text>
        <r>
          <rPr>
            <b/>
            <sz val="9"/>
            <color indexed="81"/>
            <rFont val="Tahoma"/>
            <family val="2"/>
          </rPr>
          <t>&lt;[[DEVDeals] - [Primary Portfolio Property (Seq: 1)] - [Forecast Financials (Seq: 9)] - [Forecast Financial Line Items (Seq: 1)] L4 -06515 -015 - Repair Material - Both]&gt;</t>
        </r>
      </text>
    </comment>
    <comment ref="N929" authorId="0" shapeId="0" xr:uid="{ADF0EBA3-D8FF-44C1-A501-E8C13E09ABD7}">
      <text>
        <r>
          <rPr>
            <b/>
            <sz val="9"/>
            <color indexed="81"/>
            <rFont val="Tahoma"/>
            <family val="2"/>
          </rPr>
          <t>&lt;[[DEVDeals] - [Primary Portfolio Property (Seq: 1)] - [Forecast Financials (Seq: 10)] - [Forecast Financial Line Items (Seq: 1)] L4 -06515 -015 - Repair Material - Both]&gt;</t>
        </r>
      </text>
    </comment>
    <comment ref="O929" authorId="0" shapeId="0" xr:uid="{FBD1711B-D78A-4B03-A0F9-8F1C35A1C69F}">
      <text>
        <r>
          <rPr>
            <b/>
            <sz val="9"/>
            <color indexed="81"/>
            <rFont val="Tahoma"/>
            <family val="2"/>
          </rPr>
          <t>&lt;[[DEVDeals] - [Primary Portfolio Property (Seq: 1)] - [Forecast Financials (Seq: 11)] - [Forecast Financial Line Items (Seq: 1)] L4 -06515 -015 - Repair Material - Both]&gt;</t>
        </r>
      </text>
    </comment>
    <comment ref="P929" authorId="0" shapeId="0" xr:uid="{9758D913-9A41-4FD0-8A5B-5E8DC84BA4D8}">
      <text>
        <r>
          <rPr>
            <b/>
            <sz val="9"/>
            <color indexed="81"/>
            <rFont val="Tahoma"/>
            <family val="2"/>
          </rPr>
          <t>&lt;[[DEVDeals] - [Primary Portfolio Property (Seq: 1)] - [Forecast Financials (Seq: 12)] - [Forecast Financial Line Items (Seq: 1)] L4 -06515 -015 - Repair Material - Both]&gt;</t>
        </r>
      </text>
    </comment>
    <comment ref="Q929" authorId="0" shapeId="0" xr:uid="{5E35F2CF-B3C4-4190-8B15-0C1C815C9B98}">
      <text>
        <r>
          <rPr>
            <b/>
            <sz val="9"/>
            <color indexed="81"/>
            <rFont val="Tahoma"/>
            <family val="2"/>
          </rPr>
          <t>&lt;[[DEVDeals] - [Primary Portfolio Property (Seq: 1)] - [Forecast Financials (Seq: 13)] - [Forecast Financial Line Items (Seq: 1)] L4 -06515 -015 - Repair Material - Both]&gt;</t>
        </r>
      </text>
    </comment>
    <comment ref="R929" authorId="0" shapeId="0" xr:uid="{DCCBE2F3-75E2-4567-8711-1026DCDD4347}">
      <text>
        <r>
          <rPr>
            <b/>
            <sz val="9"/>
            <color indexed="81"/>
            <rFont val="Tahoma"/>
            <family val="2"/>
          </rPr>
          <t>&lt;[[DEVDeals] - [Primary Portfolio Property (Seq: 1)] - [Forecast Financials (Seq: 14)] - [Forecast Financial Line Items (Seq: 1)] L4 -06515 -015 - Repair Material - Both]&gt;</t>
        </r>
      </text>
    </comment>
    <comment ref="S929" authorId="0" shapeId="0" xr:uid="{716C72A1-817B-4185-B417-5FFE1D173E7D}">
      <text>
        <r>
          <rPr>
            <b/>
            <sz val="9"/>
            <color indexed="81"/>
            <rFont val="Tahoma"/>
            <family val="2"/>
          </rPr>
          <t>&lt;[[DEVDeals] - [Primary Portfolio Property (Seq: 1)] - [Forecast Financials (Seq: 15)] - [Forecast Financial Line Items (Seq: 1)] L4 -06515 -015 - Repair Material - Both]&gt;</t>
        </r>
      </text>
    </comment>
    <comment ref="T929" authorId="0" shapeId="0" xr:uid="{A573CEA5-03CC-449F-BA21-4B21439F1BCC}">
      <text>
        <r>
          <rPr>
            <b/>
            <sz val="9"/>
            <color indexed="81"/>
            <rFont val="Tahoma"/>
            <family val="2"/>
          </rPr>
          <t>&lt;[[DEVDeals] - [Primary Portfolio Property (Seq: 1)] - [Forecast Financials (Seq: 16)] - [Forecast Financial Line Items (Seq: 1)] L4 -06515 -015 - Repair Material - Both]&gt;</t>
        </r>
      </text>
    </comment>
    <comment ref="U929" authorId="0" shapeId="0" xr:uid="{6F06CB7F-9E00-49FA-A5C7-C52B99C2FBF7}">
      <text>
        <r>
          <rPr>
            <b/>
            <sz val="9"/>
            <color indexed="81"/>
            <rFont val="Tahoma"/>
            <family val="2"/>
          </rPr>
          <t>&lt;[[DEVDeals] - [Primary Portfolio Property (Seq: 1)] - [Forecast Financials (Seq: 17)] - [Forecast Financial Line Items (Seq: 1)] L4 -06515 -015 - Repair Material - Both]&gt;</t>
        </r>
      </text>
    </comment>
    <comment ref="V929" authorId="0" shapeId="0" xr:uid="{10BFBB5A-6413-4BE3-8E81-6487895CF2BE}">
      <text>
        <r>
          <rPr>
            <b/>
            <sz val="9"/>
            <color indexed="81"/>
            <rFont val="Tahoma"/>
            <family val="2"/>
          </rPr>
          <t>&lt;[[DEVDeals] - [Primary Portfolio Property (Seq: 1)] - [Forecast Financials (Seq: 18)] - [Forecast Financial Line Items (Seq: 1)] L4 -06515 -015 - Repair Material - Both]&gt;</t>
        </r>
      </text>
    </comment>
    <comment ref="W929" authorId="0" shapeId="0" xr:uid="{B92A9B1D-1E74-4621-B0C2-DD366D2D8A1F}">
      <text>
        <r>
          <rPr>
            <b/>
            <sz val="9"/>
            <color indexed="81"/>
            <rFont val="Tahoma"/>
            <family val="2"/>
          </rPr>
          <t>&lt;[[DEVDeals] - [Primary Portfolio Property (Seq: 1)] - [Forecast Financials (Seq: 19)] - [Forecast Financial Line Items (Seq: 1)] L4 -06515 -015 - Repair Material - Both]&gt;</t>
        </r>
      </text>
    </comment>
    <comment ref="X929" authorId="0" shapeId="0" xr:uid="{FB126A8D-3CBB-4840-80B8-08FDAA9777A6}">
      <text>
        <r>
          <rPr>
            <b/>
            <sz val="9"/>
            <color indexed="81"/>
            <rFont val="Tahoma"/>
            <family val="2"/>
          </rPr>
          <t>&lt;[[DEVDeals] - [Primary Portfolio Property (Seq: 1)] - [Forecast Financials (Seq: 20)] - [Forecast Financial Line Items (Seq: 1)] L4 -06515 -015 - Repair Material - Both]&gt;</t>
        </r>
      </text>
    </comment>
    <comment ref="E930" authorId="0" shapeId="0" xr:uid="{24DD311F-BAFB-47D9-A952-1A79A4E1A93E}">
      <text>
        <r>
          <rPr>
            <b/>
            <sz val="9"/>
            <color indexed="81"/>
            <rFont val="Tahoma"/>
            <family val="2"/>
          </rPr>
          <t>&lt;[[DEVDeals] - [Primary Portfolio Property (Seq: 1)] - [Forecast Financials (Seq: 1)] - [Forecast Financial Line Items (Seq: 1)] L4 -06520 -015 - Repair Contract - Both]&gt;</t>
        </r>
      </text>
    </comment>
    <comment ref="F930" authorId="0" shapeId="0" xr:uid="{E607AEF9-D0F2-40ED-BFB9-98DE6936DC66}">
      <text>
        <r>
          <rPr>
            <b/>
            <sz val="9"/>
            <color indexed="81"/>
            <rFont val="Tahoma"/>
            <family val="2"/>
          </rPr>
          <t>&lt;[[DEVDeals] - [Primary Portfolio Property (Seq: 1)] - [Forecast Financials (Seq: 2)] - [Forecast Financial Line Items (Seq: 1)] L4 -06520 -015 - Repair Contract - Both]&gt;</t>
        </r>
      </text>
    </comment>
    <comment ref="G930" authorId="0" shapeId="0" xr:uid="{EB44055A-CE52-438D-8901-D1EB6431D524}">
      <text>
        <r>
          <rPr>
            <b/>
            <sz val="9"/>
            <color indexed="81"/>
            <rFont val="Tahoma"/>
            <family val="2"/>
          </rPr>
          <t>&lt;[[DEVDeals] - [Primary Portfolio Property (Seq: 1)] - [Forecast Financials (Seq: 3)] - [Forecast Financial Line Items (Seq: 1)] L4 -06520 -015 - Repair Contract - Both]&gt;</t>
        </r>
      </text>
    </comment>
    <comment ref="H930" authorId="0" shapeId="0" xr:uid="{41D0A1C9-557D-46BB-BBCF-DCDE1967E255}">
      <text>
        <r>
          <rPr>
            <b/>
            <sz val="9"/>
            <color indexed="81"/>
            <rFont val="Tahoma"/>
            <family val="2"/>
          </rPr>
          <t>&lt;[[DEVDeals] - [Primary Portfolio Property (Seq: 1)] - [Forecast Financials (Seq: 4)] - [Forecast Financial Line Items (Seq: 1)] L4 -06520 -015 - Repair Contract - Both]&gt;</t>
        </r>
      </text>
    </comment>
    <comment ref="I930" authorId="0" shapeId="0" xr:uid="{77BDF1A9-F275-4891-9B19-BB37C73E3248}">
      <text>
        <r>
          <rPr>
            <b/>
            <sz val="9"/>
            <color indexed="81"/>
            <rFont val="Tahoma"/>
            <family val="2"/>
          </rPr>
          <t>&lt;[[DEVDeals] - [Primary Portfolio Property (Seq: 1)] - [Forecast Financials (Seq: 5)] - [Forecast Financial Line Items (Seq: 1)] L4 -06520 -015 - Repair Contract - Both]&gt;</t>
        </r>
      </text>
    </comment>
    <comment ref="J930" authorId="0" shapeId="0" xr:uid="{C84D98B4-2655-45A6-9DBE-096E18DB00EB}">
      <text>
        <r>
          <rPr>
            <b/>
            <sz val="9"/>
            <color indexed="81"/>
            <rFont val="Tahoma"/>
            <family val="2"/>
          </rPr>
          <t>&lt;[[DEVDeals] - [Primary Portfolio Property (Seq: 1)] - [Forecast Financials (Seq: 6)] - [Forecast Financial Line Items (Seq: 1)] L4 -06520 -015 - Repair Contract - Both]&gt;</t>
        </r>
      </text>
    </comment>
    <comment ref="K930" authorId="0" shapeId="0" xr:uid="{3557BAB3-C879-4796-8DE3-75ACB0A15428}">
      <text>
        <r>
          <rPr>
            <b/>
            <sz val="9"/>
            <color indexed="81"/>
            <rFont val="Tahoma"/>
            <family val="2"/>
          </rPr>
          <t>&lt;[[DEVDeals] - [Primary Portfolio Property (Seq: 1)] - [Forecast Financials (Seq: 7)] - [Forecast Financial Line Items (Seq: 1)] L4 -06520 -015 - Repair Contract - Both]&gt;</t>
        </r>
      </text>
    </comment>
    <comment ref="L930" authorId="0" shapeId="0" xr:uid="{A33C1CCD-9997-49BE-918C-E673FD89FB23}">
      <text>
        <r>
          <rPr>
            <b/>
            <sz val="9"/>
            <color indexed="81"/>
            <rFont val="Tahoma"/>
            <family val="2"/>
          </rPr>
          <t>&lt;[[DEVDeals] - [Primary Portfolio Property (Seq: 1)] - [Forecast Financials (Seq: 8)] - [Forecast Financial Line Items (Seq: 1)] L4 -06520 -015 - Repair Contract - Both]&gt;</t>
        </r>
      </text>
    </comment>
    <comment ref="M930" authorId="0" shapeId="0" xr:uid="{1C857E6C-9E47-4CE6-A1FD-F03BE90C0482}">
      <text>
        <r>
          <rPr>
            <b/>
            <sz val="9"/>
            <color indexed="81"/>
            <rFont val="Tahoma"/>
            <family val="2"/>
          </rPr>
          <t>&lt;[[DEVDeals] - [Primary Portfolio Property (Seq: 1)] - [Forecast Financials (Seq: 9)] - [Forecast Financial Line Items (Seq: 1)] L4 -06520 -015 - Repair Contract - Both]&gt;</t>
        </r>
      </text>
    </comment>
    <comment ref="N930" authorId="0" shapeId="0" xr:uid="{04C04A59-44E4-49AB-B7A5-B0B2932385F4}">
      <text>
        <r>
          <rPr>
            <b/>
            <sz val="9"/>
            <color indexed="81"/>
            <rFont val="Tahoma"/>
            <family val="2"/>
          </rPr>
          <t>&lt;[[DEVDeals] - [Primary Portfolio Property (Seq: 1)] - [Forecast Financials (Seq: 10)] - [Forecast Financial Line Items (Seq: 1)] L4 -06520 -015 - Repair Contract - Both]&gt;</t>
        </r>
      </text>
    </comment>
    <comment ref="O930" authorId="0" shapeId="0" xr:uid="{5700BE65-6C1F-447E-B971-B8426F182939}">
      <text>
        <r>
          <rPr>
            <b/>
            <sz val="9"/>
            <color indexed="81"/>
            <rFont val="Tahoma"/>
            <family val="2"/>
          </rPr>
          <t>&lt;[[DEVDeals] - [Primary Portfolio Property (Seq: 1)] - [Forecast Financials (Seq: 11)] - [Forecast Financial Line Items (Seq: 1)] L4 -06520 -015 - Repair Contract - Both]&gt;</t>
        </r>
      </text>
    </comment>
    <comment ref="P930" authorId="0" shapeId="0" xr:uid="{D3ECB13D-6DE2-4A9D-9E69-8FDC19F5E403}">
      <text>
        <r>
          <rPr>
            <b/>
            <sz val="9"/>
            <color indexed="81"/>
            <rFont val="Tahoma"/>
            <family val="2"/>
          </rPr>
          <t>&lt;[[DEVDeals] - [Primary Portfolio Property (Seq: 1)] - [Forecast Financials (Seq: 12)] - [Forecast Financial Line Items (Seq: 1)] L4 -06520 -015 - Repair Contract - Both]&gt;</t>
        </r>
      </text>
    </comment>
    <comment ref="Q930" authorId="0" shapeId="0" xr:uid="{D9173117-0434-4221-9919-CCC03AC708AA}">
      <text>
        <r>
          <rPr>
            <b/>
            <sz val="9"/>
            <color indexed="81"/>
            <rFont val="Tahoma"/>
            <family val="2"/>
          </rPr>
          <t>&lt;[[DEVDeals] - [Primary Portfolio Property (Seq: 1)] - [Forecast Financials (Seq: 13)] - [Forecast Financial Line Items (Seq: 1)] L4 -06520 -015 - Repair Contract - Both]&gt;</t>
        </r>
      </text>
    </comment>
    <comment ref="R930" authorId="0" shapeId="0" xr:uid="{83DCE1D9-5E21-41C9-9C6F-8647D9B1FD65}">
      <text>
        <r>
          <rPr>
            <b/>
            <sz val="9"/>
            <color indexed="81"/>
            <rFont val="Tahoma"/>
            <family val="2"/>
          </rPr>
          <t>&lt;[[DEVDeals] - [Primary Portfolio Property (Seq: 1)] - [Forecast Financials (Seq: 14)] - [Forecast Financial Line Items (Seq: 1)] L4 -06520 -015 - Repair Contract - Both]&gt;</t>
        </r>
      </text>
    </comment>
    <comment ref="S930" authorId="0" shapeId="0" xr:uid="{5EFC3DE0-1FBD-4371-9DAF-9CA2495B0214}">
      <text>
        <r>
          <rPr>
            <b/>
            <sz val="9"/>
            <color indexed="81"/>
            <rFont val="Tahoma"/>
            <family val="2"/>
          </rPr>
          <t>&lt;[[DEVDeals] - [Primary Portfolio Property (Seq: 1)] - [Forecast Financials (Seq: 15)] - [Forecast Financial Line Items (Seq: 1)] L4 -06520 -015 - Repair Contract - Both]&gt;</t>
        </r>
      </text>
    </comment>
    <comment ref="T930" authorId="0" shapeId="0" xr:uid="{7BA782F9-E22A-49D4-BDEB-CC7F61D5D017}">
      <text>
        <r>
          <rPr>
            <b/>
            <sz val="9"/>
            <color indexed="81"/>
            <rFont val="Tahoma"/>
            <family val="2"/>
          </rPr>
          <t>&lt;[[DEVDeals] - [Primary Portfolio Property (Seq: 1)] - [Forecast Financials (Seq: 16)] - [Forecast Financial Line Items (Seq: 1)] L4 -06520 -015 - Repair Contract - Both]&gt;</t>
        </r>
      </text>
    </comment>
    <comment ref="U930" authorId="0" shapeId="0" xr:uid="{D99383B4-3E86-4BCD-9A8C-0F7F01CA05C4}">
      <text>
        <r>
          <rPr>
            <b/>
            <sz val="9"/>
            <color indexed="81"/>
            <rFont val="Tahoma"/>
            <family val="2"/>
          </rPr>
          <t>&lt;[[DEVDeals] - [Primary Portfolio Property (Seq: 1)] - [Forecast Financials (Seq: 17)] - [Forecast Financial Line Items (Seq: 1)] L4 -06520 -015 - Repair Contract - Both]&gt;</t>
        </r>
      </text>
    </comment>
    <comment ref="V930" authorId="0" shapeId="0" xr:uid="{352AC928-8371-462B-B2C3-98CEECBD33F9}">
      <text>
        <r>
          <rPr>
            <b/>
            <sz val="9"/>
            <color indexed="81"/>
            <rFont val="Tahoma"/>
            <family val="2"/>
          </rPr>
          <t>&lt;[[DEVDeals] - [Primary Portfolio Property (Seq: 1)] - [Forecast Financials (Seq: 18)] - [Forecast Financial Line Items (Seq: 1)] L4 -06520 -015 - Repair Contract - Both]&gt;</t>
        </r>
      </text>
    </comment>
    <comment ref="W930" authorId="0" shapeId="0" xr:uid="{3BEF2FE5-CFD5-4F19-B86F-38E0467DD8B9}">
      <text>
        <r>
          <rPr>
            <b/>
            <sz val="9"/>
            <color indexed="81"/>
            <rFont val="Tahoma"/>
            <family val="2"/>
          </rPr>
          <t>&lt;[[DEVDeals] - [Primary Portfolio Property (Seq: 1)] - [Forecast Financials (Seq: 19)] - [Forecast Financial Line Items (Seq: 1)] L4 -06520 -015 - Repair Contract - Both]&gt;</t>
        </r>
      </text>
    </comment>
    <comment ref="X930" authorId="0" shapeId="0" xr:uid="{2A8297C6-161E-4F63-81EB-FF21E3F9FCF0}">
      <text>
        <r>
          <rPr>
            <b/>
            <sz val="9"/>
            <color indexed="81"/>
            <rFont val="Tahoma"/>
            <family val="2"/>
          </rPr>
          <t>&lt;[[DEVDeals] - [Primary Portfolio Property (Seq: 1)] - [Forecast Financials (Seq: 20)] - [Forecast Financial Line Items (Seq: 1)] L4 -06520 -015 - Repair Contract - Both]&gt;</t>
        </r>
      </text>
    </comment>
    <comment ref="E931" authorId="0" shapeId="0" xr:uid="{6BAD6C9B-AD21-4BA9-B805-AD1D0E11E3BD}">
      <text>
        <r>
          <rPr>
            <b/>
            <sz val="9"/>
            <color indexed="81"/>
            <rFont val="Tahoma"/>
            <family val="2"/>
          </rPr>
          <t>&lt;[[DEVDeals] - [Primary Portfolio Property (Seq: 1)] - [Forecast Financials (Seq: 1)] - [Forecast Financial Line Items (Seq: 1)] L4 -06520 -016 - Elevator Maintenance Contract - Both]&gt;</t>
        </r>
      </text>
    </comment>
    <comment ref="F931" authorId="0" shapeId="0" xr:uid="{33769E4F-9A4E-4784-82C1-5CA73C47F34C}">
      <text>
        <r>
          <rPr>
            <b/>
            <sz val="9"/>
            <color indexed="81"/>
            <rFont val="Tahoma"/>
            <family val="2"/>
          </rPr>
          <t>&lt;[[DEVDeals] - [Primary Portfolio Property (Seq: 1)] - [Forecast Financials (Seq: 2)] - [Forecast Financial Line Items (Seq: 1)] L4 -06520 -016 - Elevator Maintenance Contract - Both]&gt;</t>
        </r>
      </text>
    </comment>
    <comment ref="G931" authorId="0" shapeId="0" xr:uid="{E7B51178-2D30-4FAF-B9E3-928B708EF408}">
      <text>
        <r>
          <rPr>
            <b/>
            <sz val="9"/>
            <color indexed="81"/>
            <rFont val="Tahoma"/>
            <family val="2"/>
          </rPr>
          <t>&lt;[[DEVDeals] - [Primary Portfolio Property (Seq: 1)] - [Forecast Financials (Seq: 3)] - [Forecast Financial Line Items (Seq: 1)] L4 -06520 -016 - Elevator Maintenance Contract - Both]&gt;</t>
        </r>
      </text>
    </comment>
    <comment ref="H931" authorId="0" shapeId="0" xr:uid="{4BE0DC44-4000-47FA-9D4B-C182F5330251}">
      <text>
        <r>
          <rPr>
            <b/>
            <sz val="9"/>
            <color indexed="81"/>
            <rFont val="Tahoma"/>
            <family val="2"/>
          </rPr>
          <t>&lt;[[DEVDeals] - [Primary Portfolio Property (Seq: 1)] - [Forecast Financials (Seq: 4)] - [Forecast Financial Line Items (Seq: 1)] L4 -06520 -016 - Elevator Maintenance Contract - Both]&gt;</t>
        </r>
      </text>
    </comment>
    <comment ref="I931" authorId="0" shapeId="0" xr:uid="{1C7AE725-2784-4B4B-87CB-99C923E962B5}">
      <text>
        <r>
          <rPr>
            <b/>
            <sz val="9"/>
            <color indexed="81"/>
            <rFont val="Tahoma"/>
            <family val="2"/>
          </rPr>
          <t>&lt;[[DEVDeals] - [Primary Portfolio Property (Seq: 1)] - [Forecast Financials (Seq: 5)] - [Forecast Financial Line Items (Seq: 1)] L4 -06520 -016 - Elevator Maintenance Contract - Both]&gt;</t>
        </r>
      </text>
    </comment>
    <comment ref="J931" authorId="0" shapeId="0" xr:uid="{BAEEE6CA-DED7-45A2-9326-979B43213E84}">
      <text>
        <r>
          <rPr>
            <b/>
            <sz val="9"/>
            <color indexed="81"/>
            <rFont val="Tahoma"/>
            <family val="2"/>
          </rPr>
          <t>&lt;[[DEVDeals] - [Primary Portfolio Property (Seq: 1)] - [Forecast Financials (Seq: 6)] - [Forecast Financial Line Items (Seq: 1)] L4 -06520 -016 - Elevator Maintenance Contract - Both]&gt;</t>
        </r>
      </text>
    </comment>
    <comment ref="K931" authorId="0" shapeId="0" xr:uid="{BC05ED52-D6CE-485E-B993-47E670F041B9}">
      <text>
        <r>
          <rPr>
            <b/>
            <sz val="9"/>
            <color indexed="81"/>
            <rFont val="Tahoma"/>
            <family val="2"/>
          </rPr>
          <t>&lt;[[DEVDeals] - [Primary Portfolio Property (Seq: 1)] - [Forecast Financials (Seq: 7)] - [Forecast Financial Line Items (Seq: 1)] L4 -06520 -016 - Elevator Maintenance Contract - Both]&gt;</t>
        </r>
      </text>
    </comment>
    <comment ref="L931" authorId="0" shapeId="0" xr:uid="{41644CEA-A822-4108-AA78-B8DD7DB55CA6}">
      <text>
        <r>
          <rPr>
            <b/>
            <sz val="9"/>
            <color indexed="81"/>
            <rFont val="Tahoma"/>
            <family val="2"/>
          </rPr>
          <t>&lt;[[DEVDeals] - [Primary Portfolio Property (Seq: 1)] - [Forecast Financials (Seq: 8)] - [Forecast Financial Line Items (Seq: 1)] L4 -06520 -016 - Elevator Maintenance Contract - Both]&gt;</t>
        </r>
      </text>
    </comment>
    <comment ref="M931" authorId="0" shapeId="0" xr:uid="{0CB24D0A-A168-418C-8633-F8086486E622}">
      <text>
        <r>
          <rPr>
            <b/>
            <sz val="9"/>
            <color indexed="81"/>
            <rFont val="Tahoma"/>
            <family val="2"/>
          </rPr>
          <t>&lt;[[DEVDeals] - [Primary Portfolio Property (Seq: 1)] - [Forecast Financials (Seq: 9)] - [Forecast Financial Line Items (Seq: 1)] L4 -06520 -016 - Elevator Maintenance Contract - Both]&gt;</t>
        </r>
      </text>
    </comment>
    <comment ref="N931" authorId="0" shapeId="0" xr:uid="{E6B49311-3680-4FC6-A564-5204BD268700}">
      <text>
        <r>
          <rPr>
            <b/>
            <sz val="9"/>
            <color indexed="81"/>
            <rFont val="Tahoma"/>
            <family val="2"/>
          </rPr>
          <t>&lt;[[DEVDeals] - [Primary Portfolio Property (Seq: 1)] - [Forecast Financials (Seq: 10)] - [Forecast Financial Line Items (Seq: 1)] L4 -06520 -016 - Elevator Maintenance Contract - Both]&gt;</t>
        </r>
      </text>
    </comment>
    <comment ref="O931" authorId="0" shapeId="0" xr:uid="{25F438CE-C4B7-4383-A097-C3548A513DB7}">
      <text>
        <r>
          <rPr>
            <b/>
            <sz val="9"/>
            <color indexed="81"/>
            <rFont val="Tahoma"/>
            <family val="2"/>
          </rPr>
          <t>&lt;[[DEVDeals] - [Primary Portfolio Property (Seq: 1)] - [Forecast Financials (Seq: 11)] - [Forecast Financial Line Items (Seq: 1)] L4 -06520 -016 - Elevator Maintenance Contract - Both]&gt;</t>
        </r>
      </text>
    </comment>
    <comment ref="P931" authorId="0" shapeId="0" xr:uid="{A5AADB53-331C-41DB-B972-DABA40917EDF}">
      <text>
        <r>
          <rPr>
            <b/>
            <sz val="9"/>
            <color indexed="81"/>
            <rFont val="Tahoma"/>
            <family val="2"/>
          </rPr>
          <t>&lt;[[DEVDeals] - [Primary Portfolio Property (Seq: 1)] - [Forecast Financials (Seq: 12)] - [Forecast Financial Line Items (Seq: 1)] L4 -06520 -016 - Elevator Maintenance Contract - Both]&gt;</t>
        </r>
      </text>
    </comment>
    <comment ref="Q931" authorId="0" shapeId="0" xr:uid="{014F299D-A4EB-46AC-BAD5-BE9AD108CF1D}">
      <text>
        <r>
          <rPr>
            <b/>
            <sz val="9"/>
            <color indexed="81"/>
            <rFont val="Tahoma"/>
            <family val="2"/>
          </rPr>
          <t>&lt;[[DEVDeals] - [Primary Portfolio Property (Seq: 1)] - [Forecast Financials (Seq: 13)] - [Forecast Financial Line Items (Seq: 1)] L4 -06520 -016 - Elevator Maintenance Contract - Both]&gt;</t>
        </r>
      </text>
    </comment>
    <comment ref="R931" authorId="0" shapeId="0" xr:uid="{895B9CBB-A718-4F47-877D-AA13869117CD}">
      <text>
        <r>
          <rPr>
            <b/>
            <sz val="9"/>
            <color indexed="81"/>
            <rFont val="Tahoma"/>
            <family val="2"/>
          </rPr>
          <t>&lt;[[DEVDeals] - [Primary Portfolio Property (Seq: 1)] - [Forecast Financials (Seq: 14)] - [Forecast Financial Line Items (Seq: 1)] L4 -06520 -016 - Elevator Maintenance Contract - Both]&gt;</t>
        </r>
      </text>
    </comment>
    <comment ref="S931" authorId="0" shapeId="0" xr:uid="{C2938E42-8F9E-4016-8A82-3483D9829B52}">
      <text>
        <r>
          <rPr>
            <b/>
            <sz val="9"/>
            <color indexed="81"/>
            <rFont val="Tahoma"/>
            <family val="2"/>
          </rPr>
          <t>&lt;[[DEVDeals] - [Primary Portfolio Property (Seq: 1)] - [Forecast Financials (Seq: 15)] - [Forecast Financial Line Items (Seq: 1)] L4 -06520 -016 - Elevator Maintenance Contract - Both]&gt;</t>
        </r>
      </text>
    </comment>
    <comment ref="T931" authorId="0" shapeId="0" xr:uid="{874063F6-F4CC-44B5-86C5-0F850D7F60E9}">
      <text>
        <r>
          <rPr>
            <b/>
            <sz val="9"/>
            <color indexed="81"/>
            <rFont val="Tahoma"/>
            <family val="2"/>
          </rPr>
          <t>&lt;[[DEVDeals] - [Primary Portfolio Property (Seq: 1)] - [Forecast Financials (Seq: 16)] - [Forecast Financial Line Items (Seq: 1)] L4 -06520 -016 - Elevator Maintenance Contract - Both]&gt;</t>
        </r>
      </text>
    </comment>
    <comment ref="U931" authorId="0" shapeId="0" xr:uid="{C67E139D-6BE1-4EFE-91EF-823D4F620508}">
      <text>
        <r>
          <rPr>
            <b/>
            <sz val="9"/>
            <color indexed="81"/>
            <rFont val="Tahoma"/>
            <family val="2"/>
          </rPr>
          <t>&lt;[[DEVDeals] - [Primary Portfolio Property (Seq: 1)] - [Forecast Financials (Seq: 17)] - [Forecast Financial Line Items (Seq: 1)] L4 -06520 -016 - Elevator Maintenance Contract - Both]&gt;</t>
        </r>
      </text>
    </comment>
    <comment ref="V931" authorId="0" shapeId="0" xr:uid="{0876A396-8BB1-443D-B6BD-7ABC8B5BA46E}">
      <text>
        <r>
          <rPr>
            <b/>
            <sz val="9"/>
            <color indexed="81"/>
            <rFont val="Tahoma"/>
            <family val="2"/>
          </rPr>
          <t>&lt;[[DEVDeals] - [Primary Portfolio Property (Seq: 1)] - [Forecast Financials (Seq: 18)] - [Forecast Financial Line Items (Seq: 1)] L4 -06520 -016 - Elevator Maintenance Contract - Both]&gt;</t>
        </r>
      </text>
    </comment>
    <comment ref="W931" authorId="0" shapeId="0" xr:uid="{FA83DB09-F44B-4160-B069-5F1334AA79A9}">
      <text>
        <r>
          <rPr>
            <b/>
            <sz val="9"/>
            <color indexed="81"/>
            <rFont val="Tahoma"/>
            <family val="2"/>
          </rPr>
          <t>&lt;[[DEVDeals] - [Primary Portfolio Property (Seq: 1)] - [Forecast Financials (Seq: 19)] - [Forecast Financial Line Items (Seq: 1)] L4 -06520 -016 - Elevator Maintenance Contract - Both]&gt;</t>
        </r>
      </text>
    </comment>
    <comment ref="X931" authorId="0" shapeId="0" xr:uid="{D2CF52F3-374C-4174-88F4-41A34412F343}">
      <text>
        <r>
          <rPr>
            <b/>
            <sz val="9"/>
            <color indexed="81"/>
            <rFont val="Tahoma"/>
            <family val="2"/>
          </rPr>
          <t>&lt;[[DEVDeals] - [Primary Portfolio Property (Seq: 1)] - [Forecast Financials (Seq: 20)] - [Forecast Financial Line Items (Seq: 1)] L4 -06520 -016 - Elevator Maintenance Contract - Both]&gt;</t>
        </r>
      </text>
    </comment>
    <comment ref="E932" authorId="0" shapeId="0" xr:uid="{8B2A1771-8266-4F38-9365-656E197FACCA}">
      <text>
        <r>
          <rPr>
            <b/>
            <sz val="9"/>
            <color indexed="81"/>
            <rFont val="Tahoma"/>
            <family val="2"/>
          </rPr>
          <t>&lt;[[DEVDeals] - [Primary Portfolio Property (Seq: 1)] - [Forecast Financials (Seq: 1)] - [Forecast Financial Line Items (Seq: 1)] L4 -06540 -011 - Heating Cooling Repairsand Maintenance - Both]&gt;</t>
        </r>
      </text>
    </comment>
    <comment ref="F932" authorId="0" shapeId="0" xr:uid="{FB8089AD-500D-4362-AC7A-057ED9E690EB}">
      <text>
        <r>
          <rPr>
            <b/>
            <sz val="9"/>
            <color indexed="81"/>
            <rFont val="Tahoma"/>
            <family val="2"/>
          </rPr>
          <t>&lt;[[DEVDeals] - [Primary Portfolio Property (Seq: 1)] - [Forecast Financials (Seq: 2)] - [Forecast Financial Line Items (Seq: 1)] L4 -06540 -011 - Heating Cooling Repairsand Maintenance - Both]&gt;</t>
        </r>
      </text>
    </comment>
    <comment ref="G932" authorId="0" shapeId="0" xr:uid="{3973D0C0-1DC6-471E-AFFD-2D69F71B6D84}">
      <text>
        <r>
          <rPr>
            <b/>
            <sz val="9"/>
            <color indexed="81"/>
            <rFont val="Tahoma"/>
            <family val="2"/>
          </rPr>
          <t>&lt;[[DEVDeals] - [Primary Portfolio Property (Seq: 1)] - [Forecast Financials (Seq: 3)] - [Forecast Financial Line Items (Seq: 1)] L4 -06540 -011 - Heating Cooling Repairsand Maintenance - Both]&gt;</t>
        </r>
      </text>
    </comment>
    <comment ref="H932" authorId="0" shapeId="0" xr:uid="{94D318CE-EA85-4156-81D3-41E98B22E854}">
      <text>
        <r>
          <rPr>
            <b/>
            <sz val="9"/>
            <color indexed="81"/>
            <rFont val="Tahoma"/>
            <family val="2"/>
          </rPr>
          <t>&lt;[[DEVDeals] - [Primary Portfolio Property (Seq: 1)] - [Forecast Financials (Seq: 4)] - [Forecast Financial Line Items (Seq: 1)] L4 -06540 -011 - Heating Cooling Repairsand Maintenance - Both]&gt;</t>
        </r>
      </text>
    </comment>
    <comment ref="I932" authorId="0" shapeId="0" xr:uid="{1A6DCCD2-9313-4AA6-A5D6-023AD7BCB9A4}">
      <text>
        <r>
          <rPr>
            <b/>
            <sz val="9"/>
            <color indexed="81"/>
            <rFont val="Tahoma"/>
            <family val="2"/>
          </rPr>
          <t>&lt;[[DEVDeals] - [Primary Portfolio Property (Seq: 1)] - [Forecast Financials (Seq: 5)] - [Forecast Financial Line Items (Seq: 1)] L4 -06540 -011 - Heating Cooling Repairsand Maintenance - Both]&gt;</t>
        </r>
      </text>
    </comment>
    <comment ref="J932" authorId="0" shapeId="0" xr:uid="{43C9F4FB-22DB-48D7-94E1-13B41C06E035}">
      <text>
        <r>
          <rPr>
            <b/>
            <sz val="9"/>
            <color indexed="81"/>
            <rFont val="Tahoma"/>
            <family val="2"/>
          </rPr>
          <t>&lt;[[DEVDeals] - [Primary Portfolio Property (Seq: 1)] - [Forecast Financials (Seq: 6)] - [Forecast Financial Line Items (Seq: 1)] L4 -06540 -011 - Heating Cooling Repairsand Maintenance - Both]&gt;</t>
        </r>
      </text>
    </comment>
    <comment ref="K932" authorId="0" shapeId="0" xr:uid="{573FC898-68D2-4F57-9CFA-412978E8D840}">
      <text>
        <r>
          <rPr>
            <b/>
            <sz val="9"/>
            <color indexed="81"/>
            <rFont val="Tahoma"/>
            <family val="2"/>
          </rPr>
          <t>&lt;[[DEVDeals] - [Primary Portfolio Property (Seq: 1)] - [Forecast Financials (Seq: 7)] - [Forecast Financial Line Items (Seq: 1)] L4 -06540 -011 - Heating Cooling Repairsand Maintenance - Both]&gt;</t>
        </r>
      </text>
    </comment>
    <comment ref="L932" authorId="0" shapeId="0" xr:uid="{0D714B23-F0E6-409B-9DC5-0D4DA7625C2C}">
      <text>
        <r>
          <rPr>
            <b/>
            <sz val="9"/>
            <color indexed="81"/>
            <rFont val="Tahoma"/>
            <family val="2"/>
          </rPr>
          <t>&lt;[[DEVDeals] - [Primary Portfolio Property (Seq: 1)] - [Forecast Financials (Seq: 8)] - [Forecast Financial Line Items (Seq: 1)] L4 -06540 -011 - Heating Cooling Repairsand Maintenance - Both]&gt;</t>
        </r>
      </text>
    </comment>
    <comment ref="M932" authorId="0" shapeId="0" xr:uid="{A3F5F1B8-F0B6-4876-977D-1C1C09841325}">
      <text>
        <r>
          <rPr>
            <b/>
            <sz val="9"/>
            <color indexed="81"/>
            <rFont val="Tahoma"/>
            <family val="2"/>
          </rPr>
          <t>&lt;[[DEVDeals] - [Primary Portfolio Property (Seq: 1)] - [Forecast Financials (Seq: 9)] - [Forecast Financial Line Items (Seq: 1)] L4 -06540 -011 - Heating Cooling Repairsand Maintenance - Both]&gt;</t>
        </r>
      </text>
    </comment>
    <comment ref="N932" authorId="0" shapeId="0" xr:uid="{C7D10E14-82D0-45F8-A290-8E429A4E3A5D}">
      <text>
        <r>
          <rPr>
            <b/>
            <sz val="9"/>
            <color indexed="81"/>
            <rFont val="Tahoma"/>
            <family val="2"/>
          </rPr>
          <t>&lt;[[DEVDeals] - [Primary Portfolio Property (Seq: 1)] - [Forecast Financials (Seq: 10)] - [Forecast Financial Line Items (Seq: 1)] L4 -06540 -011 - Heating Cooling Repairsand Maintenance - Both]&gt;</t>
        </r>
      </text>
    </comment>
    <comment ref="O932" authorId="0" shapeId="0" xr:uid="{61823201-156A-432F-ABE1-ABA423C91EE6}">
      <text>
        <r>
          <rPr>
            <b/>
            <sz val="9"/>
            <color indexed="81"/>
            <rFont val="Tahoma"/>
            <family val="2"/>
          </rPr>
          <t>&lt;[[DEVDeals] - [Primary Portfolio Property (Seq: 1)] - [Forecast Financials (Seq: 11)] - [Forecast Financial Line Items (Seq: 1)] L4 -06540 -011 - Heating Cooling Repairsand Maintenance - Both]&gt;</t>
        </r>
      </text>
    </comment>
    <comment ref="P932" authorId="0" shapeId="0" xr:uid="{1CA6F272-F2B3-48DB-ABF4-D749663F0295}">
      <text>
        <r>
          <rPr>
            <b/>
            <sz val="9"/>
            <color indexed="81"/>
            <rFont val="Tahoma"/>
            <family val="2"/>
          </rPr>
          <t>&lt;[[DEVDeals] - [Primary Portfolio Property (Seq: 1)] - [Forecast Financials (Seq: 12)] - [Forecast Financial Line Items (Seq: 1)] L4 -06540 -011 - Heating Cooling Repairsand Maintenance - Both]&gt;</t>
        </r>
      </text>
    </comment>
    <comment ref="Q932" authorId="0" shapeId="0" xr:uid="{F902B970-596B-4E08-8EEB-7E68160AF3E8}">
      <text>
        <r>
          <rPr>
            <b/>
            <sz val="9"/>
            <color indexed="81"/>
            <rFont val="Tahoma"/>
            <family val="2"/>
          </rPr>
          <t>&lt;[[DEVDeals] - [Primary Portfolio Property (Seq: 1)] - [Forecast Financials (Seq: 13)] - [Forecast Financial Line Items (Seq: 1)] L4 -06540 -011 - Heating Cooling Repairsand Maintenance - Both]&gt;</t>
        </r>
      </text>
    </comment>
    <comment ref="R932" authorId="0" shapeId="0" xr:uid="{17B0ADF8-C29B-4B1B-8C66-1C6AA34A9FC7}">
      <text>
        <r>
          <rPr>
            <b/>
            <sz val="9"/>
            <color indexed="81"/>
            <rFont val="Tahoma"/>
            <family val="2"/>
          </rPr>
          <t>&lt;[[DEVDeals] - [Primary Portfolio Property (Seq: 1)] - [Forecast Financials (Seq: 14)] - [Forecast Financial Line Items (Seq: 1)] L4 -06540 -011 - Heating Cooling Repairsand Maintenance - Both]&gt;</t>
        </r>
      </text>
    </comment>
    <comment ref="S932" authorId="0" shapeId="0" xr:uid="{868DC240-4047-412B-8FBA-30DB5981D766}">
      <text>
        <r>
          <rPr>
            <b/>
            <sz val="9"/>
            <color indexed="81"/>
            <rFont val="Tahoma"/>
            <family val="2"/>
          </rPr>
          <t>&lt;[[DEVDeals] - [Primary Portfolio Property (Seq: 1)] - [Forecast Financials (Seq: 15)] - [Forecast Financial Line Items (Seq: 1)] L4 -06540 -011 - Heating Cooling Repairsand Maintenance - Both]&gt;</t>
        </r>
      </text>
    </comment>
    <comment ref="T932" authorId="0" shapeId="0" xr:uid="{1DC02C6E-11A5-4FB8-9B3E-2B48BA332025}">
      <text>
        <r>
          <rPr>
            <b/>
            <sz val="9"/>
            <color indexed="81"/>
            <rFont val="Tahoma"/>
            <family val="2"/>
          </rPr>
          <t>&lt;[[DEVDeals] - [Primary Portfolio Property (Seq: 1)] - [Forecast Financials (Seq: 16)] - [Forecast Financial Line Items (Seq: 1)] L4 -06540 -011 - Heating Cooling Repairsand Maintenance - Both]&gt;</t>
        </r>
      </text>
    </comment>
    <comment ref="U932" authorId="0" shapeId="0" xr:uid="{967EF0A1-B23B-4345-94F7-1C649FA367CE}">
      <text>
        <r>
          <rPr>
            <b/>
            <sz val="9"/>
            <color indexed="81"/>
            <rFont val="Tahoma"/>
            <family val="2"/>
          </rPr>
          <t>&lt;[[DEVDeals] - [Primary Portfolio Property (Seq: 1)] - [Forecast Financials (Seq: 17)] - [Forecast Financial Line Items (Seq: 1)] L4 -06540 -011 - Heating Cooling Repairsand Maintenance - Both]&gt;</t>
        </r>
      </text>
    </comment>
    <comment ref="V932" authorId="0" shapeId="0" xr:uid="{A405AD1E-05A8-45BA-AB35-F3C23E190F9E}">
      <text>
        <r>
          <rPr>
            <b/>
            <sz val="9"/>
            <color indexed="81"/>
            <rFont val="Tahoma"/>
            <family val="2"/>
          </rPr>
          <t>&lt;[[DEVDeals] - [Primary Portfolio Property (Seq: 1)] - [Forecast Financials (Seq: 18)] - [Forecast Financial Line Items (Seq: 1)] L4 -06540 -011 - Heating Cooling Repairsand Maintenance - Both]&gt;</t>
        </r>
      </text>
    </comment>
    <comment ref="W932" authorId="0" shapeId="0" xr:uid="{BD7F6756-3A31-4F3F-B852-FB3A09DACD0D}">
      <text>
        <r>
          <rPr>
            <b/>
            <sz val="9"/>
            <color indexed="81"/>
            <rFont val="Tahoma"/>
            <family val="2"/>
          </rPr>
          <t>&lt;[[DEVDeals] - [Primary Portfolio Property (Seq: 1)] - [Forecast Financials (Seq: 19)] - [Forecast Financial Line Items (Seq: 1)] L4 -06540 -011 - Heating Cooling Repairsand Maintenance - Both]&gt;</t>
        </r>
      </text>
    </comment>
    <comment ref="X932" authorId="0" shapeId="0" xr:uid="{6A6D4A1F-BBCE-4E89-9D4B-96DBA6C37D44}">
      <text>
        <r>
          <rPr>
            <b/>
            <sz val="9"/>
            <color indexed="81"/>
            <rFont val="Tahoma"/>
            <family val="2"/>
          </rPr>
          <t>&lt;[[DEVDeals] - [Primary Portfolio Property (Seq: 1)] - [Forecast Financials (Seq: 20)] - [Forecast Financial Line Items (Seq: 1)] L4 -06540 -011 - Heating Cooling Repairsand Maintenance - Both]&gt;</t>
        </r>
      </text>
    </comment>
    <comment ref="E933" authorId="0" shapeId="0" xr:uid="{0DA9DC41-71DB-48F8-A316-EEB69DB9BD14}">
      <text>
        <r>
          <rPr>
            <b/>
            <sz val="9"/>
            <color indexed="81"/>
            <rFont val="Tahoma"/>
            <family val="2"/>
          </rPr>
          <t>&lt;[[DEVDeals] - [Primary Portfolio Property (Seq: 1)] - [Forecast Financials (Seq: 1)] - [Forecast Financial Line Items (Seq: 1)] L4 -06520 -017 - Swim Pool Maintenance Contract - Both]&gt;</t>
        </r>
      </text>
    </comment>
    <comment ref="F933" authorId="0" shapeId="0" xr:uid="{CB4684A9-FE97-44EF-95C9-1698A1ED5122}">
      <text>
        <r>
          <rPr>
            <b/>
            <sz val="9"/>
            <color indexed="81"/>
            <rFont val="Tahoma"/>
            <family val="2"/>
          </rPr>
          <t>&lt;[[DEVDeals] - [Primary Portfolio Property (Seq: 1)] - [Forecast Financials (Seq: 2)] - [Forecast Financial Line Items (Seq: 1)] L4 -06520 -017 - Swim Pool Maintenance Contract - Both]&gt;</t>
        </r>
      </text>
    </comment>
    <comment ref="G933" authorId="0" shapeId="0" xr:uid="{B35336EA-FD74-400F-93BA-15E725055BD3}">
      <text>
        <r>
          <rPr>
            <b/>
            <sz val="9"/>
            <color indexed="81"/>
            <rFont val="Tahoma"/>
            <family val="2"/>
          </rPr>
          <t>&lt;[[DEVDeals] - [Primary Portfolio Property (Seq: 1)] - [Forecast Financials (Seq: 3)] - [Forecast Financial Line Items (Seq: 1)] L4 -06520 -017 - Swim Pool Maintenance Contract - Both]&gt;</t>
        </r>
      </text>
    </comment>
    <comment ref="H933" authorId="0" shapeId="0" xr:uid="{45FFE926-411E-41FE-8D85-FB2F9E348A02}">
      <text>
        <r>
          <rPr>
            <b/>
            <sz val="9"/>
            <color indexed="81"/>
            <rFont val="Tahoma"/>
            <family val="2"/>
          </rPr>
          <t>&lt;[[DEVDeals] - [Primary Portfolio Property (Seq: 1)] - [Forecast Financials (Seq: 4)] - [Forecast Financial Line Items (Seq: 1)] L4 -06520 -017 - Swim Pool Maintenance Contract - Both]&gt;</t>
        </r>
      </text>
    </comment>
    <comment ref="I933" authorId="0" shapeId="0" xr:uid="{6F96B0B7-8C41-48B1-843A-32998E10BA7C}">
      <text>
        <r>
          <rPr>
            <b/>
            <sz val="9"/>
            <color indexed="81"/>
            <rFont val="Tahoma"/>
            <family val="2"/>
          </rPr>
          <t>&lt;[[DEVDeals] - [Primary Portfolio Property (Seq: 1)] - [Forecast Financials (Seq: 5)] - [Forecast Financial Line Items (Seq: 1)] L4 -06520 -017 - Swim Pool Maintenance Contract - Both]&gt;</t>
        </r>
      </text>
    </comment>
    <comment ref="J933" authorId="0" shapeId="0" xr:uid="{267D8C10-65FD-4541-B878-9CC8A14E8180}">
      <text>
        <r>
          <rPr>
            <b/>
            <sz val="9"/>
            <color indexed="81"/>
            <rFont val="Tahoma"/>
            <family val="2"/>
          </rPr>
          <t>&lt;[[DEVDeals] - [Primary Portfolio Property (Seq: 1)] - [Forecast Financials (Seq: 6)] - [Forecast Financial Line Items (Seq: 1)] L4 -06520 -017 - Swim Pool Maintenance Contract - Both]&gt;</t>
        </r>
      </text>
    </comment>
    <comment ref="K933" authorId="0" shapeId="0" xr:uid="{3FB52D3E-7D4A-4972-9F26-C5F7BA19BE5A}">
      <text>
        <r>
          <rPr>
            <b/>
            <sz val="9"/>
            <color indexed="81"/>
            <rFont val="Tahoma"/>
            <family val="2"/>
          </rPr>
          <t>&lt;[[DEVDeals] - [Primary Portfolio Property (Seq: 1)] - [Forecast Financials (Seq: 7)] - [Forecast Financial Line Items (Seq: 1)] L4 -06520 -017 - Swim Pool Maintenance Contract - Both]&gt;</t>
        </r>
      </text>
    </comment>
    <comment ref="L933" authorId="0" shapeId="0" xr:uid="{60D0F7E2-AB65-4B7C-9CF0-91F64D9E986F}">
      <text>
        <r>
          <rPr>
            <b/>
            <sz val="9"/>
            <color indexed="81"/>
            <rFont val="Tahoma"/>
            <family val="2"/>
          </rPr>
          <t>&lt;[[DEVDeals] - [Primary Portfolio Property (Seq: 1)] - [Forecast Financials (Seq: 8)] - [Forecast Financial Line Items (Seq: 1)] L4 -06520 -017 - Swim Pool Maintenance Contract - Both]&gt;</t>
        </r>
      </text>
    </comment>
    <comment ref="M933" authorId="0" shapeId="0" xr:uid="{78D75853-F86E-44D0-AF96-0DE231AFDA60}">
      <text>
        <r>
          <rPr>
            <b/>
            <sz val="9"/>
            <color indexed="81"/>
            <rFont val="Tahoma"/>
            <family val="2"/>
          </rPr>
          <t>&lt;[[DEVDeals] - [Primary Portfolio Property (Seq: 1)] - [Forecast Financials (Seq: 9)] - [Forecast Financial Line Items (Seq: 1)] L4 -06520 -017 - Swim Pool Maintenance Contract - Both]&gt;</t>
        </r>
      </text>
    </comment>
    <comment ref="N933" authorId="0" shapeId="0" xr:uid="{8E176831-FD14-44C4-87BE-661DB8886B4E}">
      <text>
        <r>
          <rPr>
            <b/>
            <sz val="9"/>
            <color indexed="81"/>
            <rFont val="Tahoma"/>
            <family val="2"/>
          </rPr>
          <t>&lt;[[DEVDeals] - [Primary Portfolio Property (Seq: 1)] - [Forecast Financials (Seq: 10)] - [Forecast Financial Line Items (Seq: 1)] L4 -06520 -017 - Swim Pool Maintenance Contract - Both]&gt;</t>
        </r>
      </text>
    </comment>
    <comment ref="O933" authorId="0" shapeId="0" xr:uid="{4C756A57-F4EB-42FC-80CA-9818AFABCED4}">
      <text>
        <r>
          <rPr>
            <b/>
            <sz val="9"/>
            <color indexed="81"/>
            <rFont val="Tahoma"/>
            <family val="2"/>
          </rPr>
          <t>&lt;[[DEVDeals] - [Primary Portfolio Property (Seq: 1)] - [Forecast Financials (Seq: 11)] - [Forecast Financial Line Items (Seq: 1)] L4 -06520 -017 - Swim Pool Maintenance Contract - Both]&gt;</t>
        </r>
      </text>
    </comment>
    <comment ref="P933" authorId="0" shapeId="0" xr:uid="{D7BAEA98-F689-4831-AAEC-C3BB35779BD6}">
      <text>
        <r>
          <rPr>
            <b/>
            <sz val="9"/>
            <color indexed="81"/>
            <rFont val="Tahoma"/>
            <family val="2"/>
          </rPr>
          <t>&lt;[[DEVDeals] - [Primary Portfolio Property (Seq: 1)] - [Forecast Financials (Seq: 12)] - [Forecast Financial Line Items (Seq: 1)] L4 -06520 -017 - Swim Pool Maintenance Contract - Both]&gt;</t>
        </r>
      </text>
    </comment>
    <comment ref="Q933" authorId="0" shapeId="0" xr:uid="{8539BC58-55A7-431D-ACE4-6F413A3EC401}">
      <text>
        <r>
          <rPr>
            <b/>
            <sz val="9"/>
            <color indexed="81"/>
            <rFont val="Tahoma"/>
            <family val="2"/>
          </rPr>
          <t>&lt;[[DEVDeals] - [Primary Portfolio Property (Seq: 1)] - [Forecast Financials (Seq: 13)] - [Forecast Financial Line Items (Seq: 1)] L4 -06520 -017 - Swim Pool Maintenance Contract - Both]&gt;</t>
        </r>
      </text>
    </comment>
    <comment ref="R933" authorId="0" shapeId="0" xr:uid="{2CEEFCA2-8CEC-4A42-A566-57903CB1CC66}">
      <text>
        <r>
          <rPr>
            <b/>
            <sz val="9"/>
            <color indexed="81"/>
            <rFont val="Tahoma"/>
            <family val="2"/>
          </rPr>
          <t>&lt;[[DEVDeals] - [Primary Portfolio Property (Seq: 1)] - [Forecast Financials (Seq: 14)] - [Forecast Financial Line Items (Seq: 1)] L4 -06520 -017 - Swim Pool Maintenance Contract - Both]&gt;</t>
        </r>
      </text>
    </comment>
    <comment ref="S933" authorId="0" shapeId="0" xr:uid="{76D0F34E-13A0-4EFF-89D9-666E4E904C2B}">
      <text>
        <r>
          <rPr>
            <b/>
            <sz val="9"/>
            <color indexed="81"/>
            <rFont val="Tahoma"/>
            <family val="2"/>
          </rPr>
          <t>&lt;[[DEVDeals] - [Primary Portfolio Property (Seq: 1)] - [Forecast Financials (Seq: 15)] - [Forecast Financial Line Items (Seq: 1)] L4 -06520 -017 - Swim Pool Maintenance Contract - Both]&gt;</t>
        </r>
      </text>
    </comment>
    <comment ref="T933" authorId="0" shapeId="0" xr:uid="{382A1CD2-AF33-4F1F-925A-AB6C397A3C06}">
      <text>
        <r>
          <rPr>
            <b/>
            <sz val="9"/>
            <color indexed="81"/>
            <rFont val="Tahoma"/>
            <family val="2"/>
          </rPr>
          <t>&lt;[[DEVDeals] - [Primary Portfolio Property (Seq: 1)] - [Forecast Financials (Seq: 16)] - [Forecast Financial Line Items (Seq: 1)] L4 -06520 -017 - Swim Pool Maintenance Contract - Both]&gt;</t>
        </r>
      </text>
    </comment>
    <comment ref="U933" authorId="0" shapeId="0" xr:uid="{36270C90-073C-4E39-B359-BD8FCAD69A9D}">
      <text>
        <r>
          <rPr>
            <b/>
            <sz val="9"/>
            <color indexed="81"/>
            <rFont val="Tahoma"/>
            <family val="2"/>
          </rPr>
          <t>&lt;[[DEVDeals] - [Primary Portfolio Property (Seq: 1)] - [Forecast Financials (Seq: 17)] - [Forecast Financial Line Items (Seq: 1)] L4 -06520 -017 - Swim Pool Maintenance Contract - Both]&gt;</t>
        </r>
      </text>
    </comment>
    <comment ref="V933" authorId="0" shapeId="0" xr:uid="{360B889A-3BB4-4B58-9FE1-A4DE8C82A752}">
      <text>
        <r>
          <rPr>
            <b/>
            <sz val="9"/>
            <color indexed="81"/>
            <rFont val="Tahoma"/>
            <family val="2"/>
          </rPr>
          <t>&lt;[[DEVDeals] - [Primary Portfolio Property (Seq: 1)] - [Forecast Financials (Seq: 18)] - [Forecast Financial Line Items (Seq: 1)] L4 -06520 -017 - Swim Pool Maintenance Contract - Both]&gt;</t>
        </r>
      </text>
    </comment>
    <comment ref="W933" authorId="0" shapeId="0" xr:uid="{9DCF6E34-058C-453B-B626-9B4915325333}">
      <text>
        <r>
          <rPr>
            <b/>
            <sz val="9"/>
            <color indexed="81"/>
            <rFont val="Tahoma"/>
            <family val="2"/>
          </rPr>
          <t>&lt;[[DEVDeals] - [Primary Portfolio Property (Seq: 1)] - [Forecast Financials (Seq: 19)] - [Forecast Financial Line Items (Seq: 1)] L4 -06520 -017 - Swim Pool Maintenance Contract - Both]&gt;</t>
        </r>
      </text>
    </comment>
    <comment ref="X933" authorId="0" shapeId="0" xr:uid="{0D9B6FC7-FF61-4A1B-AA5F-A69693AEE7A8}">
      <text>
        <r>
          <rPr>
            <b/>
            <sz val="9"/>
            <color indexed="81"/>
            <rFont val="Tahoma"/>
            <family val="2"/>
          </rPr>
          <t>&lt;[[DEVDeals] - [Primary Portfolio Property (Seq: 1)] - [Forecast Financials (Seq: 20)] - [Forecast Financial Line Items (Seq: 1)] L4 -06520 -017 - Swim Pool Maintenance Contract - Both]&gt;</t>
        </r>
      </text>
    </comment>
    <comment ref="E934" authorId="0" shapeId="0" xr:uid="{B1AC6006-DF96-4D2F-84A8-ADD1F27C918E}">
      <text>
        <r>
          <rPr>
            <b/>
            <sz val="9"/>
            <color indexed="81"/>
            <rFont val="Tahoma"/>
            <family val="2"/>
          </rPr>
          <t>&lt;[[DEVDeals] - [Primary Portfolio Property (Seq: 1)] - [Forecast Financials (Seq: 1)] - [Forecast Financial Line Items (Seq: 1)] L4 -06540 -021 - Snow Removal - Both]&gt;</t>
        </r>
      </text>
    </comment>
    <comment ref="F934" authorId="0" shapeId="0" xr:uid="{D0A81CBA-5E6B-412D-90E5-A410A9C7DCFA}">
      <text>
        <r>
          <rPr>
            <b/>
            <sz val="9"/>
            <color indexed="81"/>
            <rFont val="Tahoma"/>
            <family val="2"/>
          </rPr>
          <t>&lt;[[DEVDeals] - [Primary Portfolio Property (Seq: 1)] - [Forecast Financials (Seq: 2)] - [Forecast Financial Line Items (Seq: 1)] L4 -06540 -021 - Snow Removal - Both]&gt;</t>
        </r>
      </text>
    </comment>
    <comment ref="G934" authorId="0" shapeId="0" xr:uid="{746541DF-F802-44AC-AEB9-B9B5F3808418}">
      <text>
        <r>
          <rPr>
            <b/>
            <sz val="9"/>
            <color indexed="81"/>
            <rFont val="Tahoma"/>
            <family val="2"/>
          </rPr>
          <t>&lt;[[DEVDeals] - [Primary Portfolio Property (Seq: 1)] - [Forecast Financials (Seq: 3)] - [Forecast Financial Line Items (Seq: 1)] L4 -06540 -021 - Snow Removal - Both]&gt;</t>
        </r>
      </text>
    </comment>
    <comment ref="H934" authorId="0" shapeId="0" xr:uid="{C3175914-2957-470D-BAD6-D60913069A0C}">
      <text>
        <r>
          <rPr>
            <b/>
            <sz val="9"/>
            <color indexed="81"/>
            <rFont val="Tahoma"/>
            <family val="2"/>
          </rPr>
          <t>&lt;[[DEVDeals] - [Primary Portfolio Property (Seq: 1)] - [Forecast Financials (Seq: 4)] - [Forecast Financial Line Items (Seq: 1)] L4 -06540 -021 - Snow Removal - Both]&gt;</t>
        </r>
      </text>
    </comment>
    <comment ref="I934" authorId="0" shapeId="0" xr:uid="{36C0C62B-1640-439C-994E-59B2D7EB50E7}">
      <text>
        <r>
          <rPr>
            <b/>
            <sz val="9"/>
            <color indexed="81"/>
            <rFont val="Tahoma"/>
            <family val="2"/>
          </rPr>
          <t>&lt;[[DEVDeals] - [Primary Portfolio Property (Seq: 1)] - [Forecast Financials (Seq: 5)] - [Forecast Financial Line Items (Seq: 1)] L4 -06540 -021 - Snow Removal - Both]&gt;</t>
        </r>
      </text>
    </comment>
    <comment ref="J934" authorId="0" shapeId="0" xr:uid="{5F15B576-84A3-44BC-B24B-2595A31F0171}">
      <text>
        <r>
          <rPr>
            <b/>
            <sz val="9"/>
            <color indexed="81"/>
            <rFont val="Tahoma"/>
            <family val="2"/>
          </rPr>
          <t>&lt;[[DEVDeals] - [Primary Portfolio Property (Seq: 1)] - [Forecast Financials (Seq: 6)] - [Forecast Financial Line Items (Seq: 1)] L4 -06540 -021 - Snow Removal - Both]&gt;</t>
        </r>
      </text>
    </comment>
    <comment ref="K934" authorId="0" shapeId="0" xr:uid="{82E37799-0DE9-4B4C-A95A-F777738EB76A}">
      <text>
        <r>
          <rPr>
            <b/>
            <sz val="9"/>
            <color indexed="81"/>
            <rFont val="Tahoma"/>
            <family val="2"/>
          </rPr>
          <t>&lt;[[DEVDeals] - [Primary Portfolio Property (Seq: 1)] - [Forecast Financials (Seq: 7)] - [Forecast Financial Line Items (Seq: 1)] L4 -06540 -021 - Snow Removal - Both]&gt;</t>
        </r>
      </text>
    </comment>
    <comment ref="L934" authorId="0" shapeId="0" xr:uid="{328E4BFC-6F32-417F-984F-A9A5E7DEF276}">
      <text>
        <r>
          <rPr>
            <b/>
            <sz val="9"/>
            <color indexed="81"/>
            <rFont val="Tahoma"/>
            <family val="2"/>
          </rPr>
          <t>&lt;[[DEVDeals] - [Primary Portfolio Property (Seq: 1)] - [Forecast Financials (Seq: 8)] - [Forecast Financial Line Items (Seq: 1)] L4 -06540 -021 - Snow Removal - Both]&gt;</t>
        </r>
      </text>
    </comment>
    <comment ref="M934" authorId="0" shapeId="0" xr:uid="{2D17F183-AAA8-4939-A8F2-7457B6617F54}">
      <text>
        <r>
          <rPr>
            <b/>
            <sz val="9"/>
            <color indexed="81"/>
            <rFont val="Tahoma"/>
            <family val="2"/>
          </rPr>
          <t>&lt;[[DEVDeals] - [Primary Portfolio Property (Seq: 1)] - [Forecast Financials (Seq: 9)] - [Forecast Financial Line Items (Seq: 1)] L4 -06540 -021 - Snow Removal - Both]&gt;</t>
        </r>
      </text>
    </comment>
    <comment ref="N934" authorId="0" shapeId="0" xr:uid="{2E4039D2-0102-4BA5-B311-A835617C3365}">
      <text>
        <r>
          <rPr>
            <b/>
            <sz val="9"/>
            <color indexed="81"/>
            <rFont val="Tahoma"/>
            <family val="2"/>
          </rPr>
          <t>&lt;[[DEVDeals] - [Primary Portfolio Property (Seq: 1)] - [Forecast Financials (Seq: 10)] - [Forecast Financial Line Items (Seq: 1)] L4 -06540 -021 - Snow Removal - Both]&gt;</t>
        </r>
      </text>
    </comment>
    <comment ref="O934" authorId="0" shapeId="0" xr:uid="{CC54DCD5-63C2-4FDC-A66A-09A5EC2CFD06}">
      <text>
        <r>
          <rPr>
            <b/>
            <sz val="9"/>
            <color indexed="81"/>
            <rFont val="Tahoma"/>
            <family val="2"/>
          </rPr>
          <t>&lt;[[DEVDeals] - [Primary Portfolio Property (Seq: 1)] - [Forecast Financials (Seq: 11)] - [Forecast Financial Line Items (Seq: 1)] L4 -06540 -021 - Snow Removal - Both]&gt;</t>
        </r>
      </text>
    </comment>
    <comment ref="P934" authorId="0" shapeId="0" xr:uid="{5B751305-0545-43F7-B435-7D1896F611F7}">
      <text>
        <r>
          <rPr>
            <b/>
            <sz val="9"/>
            <color indexed="81"/>
            <rFont val="Tahoma"/>
            <family val="2"/>
          </rPr>
          <t>&lt;[[DEVDeals] - [Primary Portfolio Property (Seq: 1)] - [Forecast Financials (Seq: 12)] - [Forecast Financial Line Items (Seq: 1)] L4 -06540 -021 - Snow Removal - Both]&gt;</t>
        </r>
      </text>
    </comment>
    <comment ref="Q934" authorId="0" shapeId="0" xr:uid="{C96A8790-1E4E-4603-8AF0-AA1A8338EACF}">
      <text>
        <r>
          <rPr>
            <b/>
            <sz val="9"/>
            <color indexed="81"/>
            <rFont val="Tahoma"/>
            <family val="2"/>
          </rPr>
          <t>&lt;[[DEVDeals] - [Primary Portfolio Property (Seq: 1)] - [Forecast Financials (Seq: 13)] - [Forecast Financial Line Items (Seq: 1)] L4 -06540 -021 - Snow Removal - Both]&gt;</t>
        </r>
      </text>
    </comment>
    <comment ref="R934" authorId="0" shapeId="0" xr:uid="{9C2E9D5A-BFC7-4961-B931-239D7C7A2CD2}">
      <text>
        <r>
          <rPr>
            <b/>
            <sz val="9"/>
            <color indexed="81"/>
            <rFont val="Tahoma"/>
            <family val="2"/>
          </rPr>
          <t>&lt;[[DEVDeals] - [Primary Portfolio Property (Seq: 1)] - [Forecast Financials (Seq: 14)] - [Forecast Financial Line Items (Seq: 1)] L4 -06540 -021 - Snow Removal - Both]&gt;</t>
        </r>
      </text>
    </comment>
    <comment ref="S934" authorId="0" shapeId="0" xr:uid="{B96FA4E6-2B49-4224-A03E-8B4C6FD83787}">
      <text>
        <r>
          <rPr>
            <b/>
            <sz val="9"/>
            <color indexed="81"/>
            <rFont val="Tahoma"/>
            <family val="2"/>
          </rPr>
          <t>&lt;[[DEVDeals] - [Primary Portfolio Property (Seq: 1)] - [Forecast Financials (Seq: 15)] - [Forecast Financial Line Items (Seq: 1)] L4 -06540 -021 - Snow Removal - Both]&gt;</t>
        </r>
      </text>
    </comment>
    <comment ref="T934" authorId="0" shapeId="0" xr:uid="{B870AB57-E17B-45CA-9DC4-F9BD9CA1C999}">
      <text>
        <r>
          <rPr>
            <b/>
            <sz val="9"/>
            <color indexed="81"/>
            <rFont val="Tahoma"/>
            <family val="2"/>
          </rPr>
          <t>&lt;[[DEVDeals] - [Primary Portfolio Property (Seq: 1)] - [Forecast Financials (Seq: 16)] - [Forecast Financial Line Items (Seq: 1)] L4 -06540 -021 - Snow Removal - Both]&gt;</t>
        </r>
      </text>
    </comment>
    <comment ref="U934" authorId="0" shapeId="0" xr:uid="{6F24BAEB-1AFA-4A44-BD60-E2BBD10DE589}">
      <text>
        <r>
          <rPr>
            <b/>
            <sz val="9"/>
            <color indexed="81"/>
            <rFont val="Tahoma"/>
            <family val="2"/>
          </rPr>
          <t>&lt;[[DEVDeals] - [Primary Portfolio Property (Seq: 1)] - [Forecast Financials (Seq: 17)] - [Forecast Financial Line Items (Seq: 1)] L4 -06540 -021 - Snow Removal - Both]&gt;</t>
        </r>
      </text>
    </comment>
    <comment ref="V934" authorId="0" shapeId="0" xr:uid="{9BE53B97-9F0A-49C8-8E15-4C7B32F19CF2}">
      <text>
        <r>
          <rPr>
            <b/>
            <sz val="9"/>
            <color indexed="81"/>
            <rFont val="Tahoma"/>
            <family val="2"/>
          </rPr>
          <t>&lt;[[DEVDeals] - [Primary Portfolio Property (Seq: 1)] - [Forecast Financials (Seq: 18)] - [Forecast Financial Line Items (Seq: 1)] L4 -06540 -021 - Snow Removal - Both]&gt;</t>
        </r>
      </text>
    </comment>
    <comment ref="W934" authorId="0" shapeId="0" xr:uid="{B0CF1066-4A07-438D-B94F-6BEAF752C0F5}">
      <text>
        <r>
          <rPr>
            <b/>
            <sz val="9"/>
            <color indexed="81"/>
            <rFont val="Tahoma"/>
            <family val="2"/>
          </rPr>
          <t>&lt;[[DEVDeals] - [Primary Portfolio Property (Seq: 1)] - [Forecast Financials (Seq: 19)] - [Forecast Financial Line Items (Seq: 1)] L4 -06540 -021 - Snow Removal - Both]&gt;</t>
        </r>
      </text>
    </comment>
    <comment ref="X934" authorId="0" shapeId="0" xr:uid="{AF463570-066D-4A57-996A-2CBB6B64893E}">
      <text>
        <r>
          <rPr>
            <b/>
            <sz val="9"/>
            <color indexed="81"/>
            <rFont val="Tahoma"/>
            <family val="2"/>
          </rPr>
          <t>&lt;[[DEVDeals] - [Primary Portfolio Property (Seq: 1)] - [Forecast Financials (Seq: 20)] - [Forecast Financial Line Items (Seq: 1)] L4 -06540 -021 - Snow Removal - Both]&gt;</t>
        </r>
      </text>
    </comment>
    <comment ref="E935" authorId="0" shapeId="0" xr:uid="{7CF78C6A-6CF9-4DCD-9B0E-40979083897C}">
      <text>
        <r>
          <rPr>
            <b/>
            <sz val="9"/>
            <color indexed="81"/>
            <rFont val="Tahoma"/>
            <family val="2"/>
          </rPr>
          <t>&lt;[[DEVDeals] - [Primary Portfolio Property (Seq: 1)] - [Forecast Financials (Seq: 1)] - [Forecast Financial Line Items (Seq: 1)] L4 -06520 -018 - Decorating Contract - Both]&gt;</t>
        </r>
      </text>
    </comment>
    <comment ref="F935" authorId="0" shapeId="0" xr:uid="{94B3FD23-17C4-4FE8-9C0B-223529EE9599}">
      <text>
        <r>
          <rPr>
            <b/>
            <sz val="9"/>
            <color indexed="81"/>
            <rFont val="Tahoma"/>
            <family val="2"/>
          </rPr>
          <t>&lt;[[DEVDeals] - [Primary Portfolio Property (Seq: 1)] - [Forecast Financials (Seq: 2)] - [Forecast Financial Line Items (Seq: 1)] L4 -06520 -018 - Decorating Contract - Both]&gt;</t>
        </r>
      </text>
    </comment>
    <comment ref="G935" authorId="0" shapeId="0" xr:uid="{B6FD4810-3AC2-4D6E-9278-E743A6B81825}">
      <text>
        <r>
          <rPr>
            <b/>
            <sz val="9"/>
            <color indexed="81"/>
            <rFont val="Tahoma"/>
            <family val="2"/>
          </rPr>
          <t>&lt;[[DEVDeals] - [Primary Portfolio Property (Seq: 1)] - [Forecast Financials (Seq: 3)] - [Forecast Financial Line Items (Seq: 1)] L4 -06520 -018 - Decorating Contract - Both]&gt;</t>
        </r>
      </text>
    </comment>
    <comment ref="H935" authorId="0" shapeId="0" xr:uid="{27C3CC2F-FDEF-49D4-87D8-9299444A3920}">
      <text>
        <r>
          <rPr>
            <b/>
            <sz val="9"/>
            <color indexed="81"/>
            <rFont val="Tahoma"/>
            <family val="2"/>
          </rPr>
          <t>&lt;[[DEVDeals] - [Primary Portfolio Property (Seq: 1)] - [Forecast Financials (Seq: 4)] - [Forecast Financial Line Items (Seq: 1)] L4 -06520 -018 - Decorating Contract - Both]&gt;</t>
        </r>
      </text>
    </comment>
    <comment ref="I935" authorId="0" shapeId="0" xr:uid="{B131B1F3-1650-401C-84A3-F2633A5B5F6B}">
      <text>
        <r>
          <rPr>
            <b/>
            <sz val="9"/>
            <color indexed="81"/>
            <rFont val="Tahoma"/>
            <family val="2"/>
          </rPr>
          <t>&lt;[[DEVDeals] - [Primary Portfolio Property (Seq: 1)] - [Forecast Financials (Seq: 5)] - [Forecast Financial Line Items (Seq: 1)] L4 -06520 -018 - Decorating Contract - Both]&gt;</t>
        </r>
      </text>
    </comment>
    <comment ref="J935" authorId="0" shapeId="0" xr:uid="{5EA08C25-697E-41A9-B552-1B8CB9653D55}">
      <text>
        <r>
          <rPr>
            <b/>
            <sz val="9"/>
            <color indexed="81"/>
            <rFont val="Tahoma"/>
            <family val="2"/>
          </rPr>
          <t>&lt;[[DEVDeals] - [Primary Portfolio Property (Seq: 1)] - [Forecast Financials (Seq: 6)] - [Forecast Financial Line Items (Seq: 1)] L4 -06520 -018 - Decorating Contract - Both]&gt;</t>
        </r>
      </text>
    </comment>
    <comment ref="K935" authorId="0" shapeId="0" xr:uid="{7B9B0323-A290-4A4B-B961-05B8FFBA8BDA}">
      <text>
        <r>
          <rPr>
            <b/>
            <sz val="9"/>
            <color indexed="81"/>
            <rFont val="Tahoma"/>
            <family val="2"/>
          </rPr>
          <t>&lt;[[DEVDeals] - [Primary Portfolio Property (Seq: 1)] - [Forecast Financials (Seq: 7)] - [Forecast Financial Line Items (Seq: 1)] L4 -06520 -018 - Decorating Contract - Both]&gt;</t>
        </r>
      </text>
    </comment>
    <comment ref="L935" authorId="0" shapeId="0" xr:uid="{B52D3656-B45E-4977-AA65-DB3BE91CBCA2}">
      <text>
        <r>
          <rPr>
            <b/>
            <sz val="9"/>
            <color indexed="81"/>
            <rFont val="Tahoma"/>
            <family val="2"/>
          </rPr>
          <t>&lt;[[DEVDeals] - [Primary Portfolio Property (Seq: 1)] - [Forecast Financials (Seq: 8)] - [Forecast Financial Line Items (Seq: 1)] L4 -06520 -018 - Decorating Contract - Both]&gt;</t>
        </r>
      </text>
    </comment>
    <comment ref="M935" authorId="0" shapeId="0" xr:uid="{5D062159-8A3F-4B19-9DD4-61E86C1656AA}">
      <text>
        <r>
          <rPr>
            <b/>
            <sz val="9"/>
            <color indexed="81"/>
            <rFont val="Tahoma"/>
            <family val="2"/>
          </rPr>
          <t>&lt;[[DEVDeals] - [Primary Portfolio Property (Seq: 1)] - [Forecast Financials (Seq: 9)] - [Forecast Financial Line Items (Seq: 1)] L4 -06520 -018 - Decorating Contract - Both]&gt;</t>
        </r>
      </text>
    </comment>
    <comment ref="N935" authorId="0" shapeId="0" xr:uid="{D2D6FEE3-0FF4-49E0-A81B-DF3F6F8E0382}">
      <text>
        <r>
          <rPr>
            <b/>
            <sz val="9"/>
            <color indexed="81"/>
            <rFont val="Tahoma"/>
            <family val="2"/>
          </rPr>
          <t>&lt;[[DEVDeals] - [Primary Portfolio Property (Seq: 1)] - [Forecast Financials (Seq: 10)] - [Forecast Financial Line Items (Seq: 1)] L4 -06520 -018 - Decorating Contract - Both]&gt;</t>
        </r>
      </text>
    </comment>
    <comment ref="O935" authorId="0" shapeId="0" xr:uid="{4616088C-6498-4AFF-8740-504CE96B11D1}">
      <text>
        <r>
          <rPr>
            <b/>
            <sz val="9"/>
            <color indexed="81"/>
            <rFont val="Tahoma"/>
            <family val="2"/>
          </rPr>
          <t>&lt;[[DEVDeals] - [Primary Portfolio Property (Seq: 1)] - [Forecast Financials (Seq: 11)] - [Forecast Financial Line Items (Seq: 1)] L4 -06520 -018 - Decorating Contract - Both]&gt;</t>
        </r>
      </text>
    </comment>
    <comment ref="P935" authorId="0" shapeId="0" xr:uid="{7F0E46CA-E173-44DD-8928-7B9ACA9A4D3A}">
      <text>
        <r>
          <rPr>
            <b/>
            <sz val="9"/>
            <color indexed="81"/>
            <rFont val="Tahoma"/>
            <family val="2"/>
          </rPr>
          <t>&lt;[[DEVDeals] - [Primary Portfolio Property (Seq: 1)] - [Forecast Financials (Seq: 12)] - [Forecast Financial Line Items (Seq: 1)] L4 -06520 -018 - Decorating Contract - Both]&gt;</t>
        </r>
      </text>
    </comment>
    <comment ref="Q935" authorId="0" shapeId="0" xr:uid="{3F967CBE-7320-4451-9992-1FFF7AB067A5}">
      <text>
        <r>
          <rPr>
            <b/>
            <sz val="9"/>
            <color indexed="81"/>
            <rFont val="Tahoma"/>
            <family val="2"/>
          </rPr>
          <t>&lt;[[DEVDeals] - [Primary Portfolio Property (Seq: 1)] - [Forecast Financials (Seq: 13)] - [Forecast Financial Line Items (Seq: 1)] L4 -06520 -018 - Decorating Contract - Both]&gt;</t>
        </r>
      </text>
    </comment>
    <comment ref="R935" authorId="0" shapeId="0" xr:uid="{D0F5AA29-290B-445A-A573-DE1421E2E957}">
      <text>
        <r>
          <rPr>
            <b/>
            <sz val="9"/>
            <color indexed="81"/>
            <rFont val="Tahoma"/>
            <family val="2"/>
          </rPr>
          <t>&lt;[[DEVDeals] - [Primary Portfolio Property (Seq: 1)] - [Forecast Financials (Seq: 14)] - [Forecast Financial Line Items (Seq: 1)] L4 -06520 -018 - Decorating Contract - Both]&gt;</t>
        </r>
      </text>
    </comment>
    <comment ref="S935" authorId="0" shapeId="0" xr:uid="{E288CD9A-9463-42BA-9342-F6C78BE9B324}">
      <text>
        <r>
          <rPr>
            <b/>
            <sz val="9"/>
            <color indexed="81"/>
            <rFont val="Tahoma"/>
            <family val="2"/>
          </rPr>
          <t>&lt;[[DEVDeals] - [Primary Portfolio Property (Seq: 1)] - [Forecast Financials (Seq: 15)] - [Forecast Financial Line Items (Seq: 1)] L4 -06520 -018 - Decorating Contract - Both]&gt;</t>
        </r>
      </text>
    </comment>
    <comment ref="T935" authorId="0" shapeId="0" xr:uid="{91D6F654-B452-4676-9659-2DFEBE867C85}">
      <text>
        <r>
          <rPr>
            <b/>
            <sz val="9"/>
            <color indexed="81"/>
            <rFont val="Tahoma"/>
            <family val="2"/>
          </rPr>
          <t>&lt;[[DEVDeals] - [Primary Portfolio Property (Seq: 1)] - [Forecast Financials (Seq: 16)] - [Forecast Financial Line Items (Seq: 1)] L4 -06520 -018 - Decorating Contract - Both]&gt;</t>
        </r>
      </text>
    </comment>
    <comment ref="U935" authorId="0" shapeId="0" xr:uid="{20A386C4-B94A-4AE6-8C31-C63080CCF038}">
      <text>
        <r>
          <rPr>
            <b/>
            <sz val="9"/>
            <color indexed="81"/>
            <rFont val="Tahoma"/>
            <family val="2"/>
          </rPr>
          <t>&lt;[[DEVDeals] - [Primary Portfolio Property (Seq: 1)] - [Forecast Financials (Seq: 17)] - [Forecast Financial Line Items (Seq: 1)] L4 -06520 -018 - Decorating Contract - Both]&gt;</t>
        </r>
      </text>
    </comment>
    <comment ref="V935" authorId="0" shapeId="0" xr:uid="{BD5B2FC0-5E03-420E-B2A2-B4495BADD1C0}">
      <text>
        <r>
          <rPr>
            <b/>
            <sz val="9"/>
            <color indexed="81"/>
            <rFont val="Tahoma"/>
            <family val="2"/>
          </rPr>
          <t>&lt;[[DEVDeals] - [Primary Portfolio Property (Seq: 1)] - [Forecast Financials (Seq: 18)] - [Forecast Financial Line Items (Seq: 1)] L4 -06520 -018 - Decorating Contract - Both]&gt;</t>
        </r>
      </text>
    </comment>
    <comment ref="W935" authorId="0" shapeId="0" xr:uid="{EB1F4FCA-E93D-48AF-9E10-A6E9082F6933}">
      <text>
        <r>
          <rPr>
            <b/>
            <sz val="9"/>
            <color indexed="81"/>
            <rFont val="Tahoma"/>
            <family val="2"/>
          </rPr>
          <t>&lt;[[DEVDeals] - [Primary Portfolio Property (Seq: 1)] - [Forecast Financials (Seq: 19)] - [Forecast Financial Line Items (Seq: 1)] L4 -06520 -018 - Decorating Contract - Both]&gt;</t>
        </r>
      </text>
    </comment>
    <comment ref="X935" authorId="0" shapeId="0" xr:uid="{8383AD36-8540-446D-9F1D-F2C0051A22CE}">
      <text>
        <r>
          <rPr>
            <b/>
            <sz val="9"/>
            <color indexed="81"/>
            <rFont val="Tahoma"/>
            <family val="2"/>
          </rPr>
          <t>&lt;[[DEVDeals] - [Primary Portfolio Property (Seq: 1)] - [Forecast Financials (Seq: 20)] - [Forecast Financial Line Items (Seq: 1)] L4 -06520 -018 - Decorating Contract - Both]&gt;</t>
        </r>
      </text>
    </comment>
    <comment ref="E936" authorId="0" shapeId="0" xr:uid="{FF092B91-3F10-40F2-B010-4DCC48FA9C09}">
      <text>
        <r>
          <rPr>
            <b/>
            <sz val="9"/>
            <color indexed="81"/>
            <rFont val="Tahoma"/>
            <family val="2"/>
          </rPr>
          <t>&lt;[[DEVDeals] - [Primary Portfolio Property (Seq: 1)] - [Forecast Financials (Seq: 1)] - [Forecast Financial Line Items (Seq: 1)] L4 -06515 -018 - Decorating Supply - Both]&gt;</t>
        </r>
      </text>
    </comment>
    <comment ref="F936" authorId="0" shapeId="0" xr:uid="{40A7F4B0-1866-4C45-B3B5-E8A68DEC9A2A}">
      <text>
        <r>
          <rPr>
            <b/>
            <sz val="9"/>
            <color indexed="81"/>
            <rFont val="Tahoma"/>
            <family val="2"/>
          </rPr>
          <t>&lt;[[DEVDeals] - [Primary Portfolio Property (Seq: 1)] - [Forecast Financials (Seq: 2)] - [Forecast Financial Line Items (Seq: 1)] L4 -06515 -018 - Decorating Supply - Both]&gt;</t>
        </r>
      </text>
    </comment>
    <comment ref="G936" authorId="0" shapeId="0" xr:uid="{EB757926-C3C3-4E76-9109-77BA245DA7DE}">
      <text>
        <r>
          <rPr>
            <b/>
            <sz val="9"/>
            <color indexed="81"/>
            <rFont val="Tahoma"/>
            <family val="2"/>
          </rPr>
          <t>&lt;[[DEVDeals] - [Primary Portfolio Property (Seq: 1)] - [Forecast Financials (Seq: 3)] - [Forecast Financial Line Items (Seq: 1)] L4 -06515 -018 - Decorating Supply - Both]&gt;</t>
        </r>
      </text>
    </comment>
    <comment ref="H936" authorId="0" shapeId="0" xr:uid="{8FB7A47A-F2FC-4338-B825-2874CD189BEA}">
      <text>
        <r>
          <rPr>
            <b/>
            <sz val="9"/>
            <color indexed="81"/>
            <rFont val="Tahoma"/>
            <family val="2"/>
          </rPr>
          <t>&lt;[[DEVDeals] - [Primary Portfolio Property (Seq: 1)] - [Forecast Financials (Seq: 4)] - [Forecast Financial Line Items (Seq: 1)] L4 -06515 -018 - Decorating Supply - Both]&gt;</t>
        </r>
      </text>
    </comment>
    <comment ref="I936" authorId="0" shapeId="0" xr:uid="{55135D1B-EC78-4321-A5A5-F1FDC430D831}">
      <text>
        <r>
          <rPr>
            <b/>
            <sz val="9"/>
            <color indexed="81"/>
            <rFont val="Tahoma"/>
            <family val="2"/>
          </rPr>
          <t>&lt;[[DEVDeals] - [Primary Portfolio Property (Seq: 1)] - [Forecast Financials (Seq: 5)] - [Forecast Financial Line Items (Seq: 1)] L4 -06515 -018 - Decorating Supply - Both]&gt;</t>
        </r>
      </text>
    </comment>
    <comment ref="J936" authorId="0" shapeId="0" xr:uid="{6F92714B-C84A-4CA9-8C72-5E58DD5EC914}">
      <text>
        <r>
          <rPr>
            <b/>
            <sz val="9"/>
            <color indexed="81"/>
            <rFont val="Tahoma"/>
            <family val="2"/>
          </rPr>
          <t>&lt;[[DEVDeals] - [Primary Portfolio Property (Seq: 1)] - [Forecast Financials (Seq: 6)] - [Forecast Financial Line Items (Seq: 1)] L4 -06515 -018 - Decorating Supply - Both]&gt;</t>
        </r>
      </text>
    </comment>
    <comment ref="K936" authorId="0" shapeId="0" xr:uid="{0F255B4E-E973-447C-ABBF-BDE3E0E05143}">
      <text>
        <r>
          <rPr>
            <b/>
            <sz val="9"/>
            <color indexed="81"/>
            <rFont val="Tahoma"/>
            <family val="2"/>
          </rPr>
          <t>&lt;[[DEVDeals] - [Primary Portfolio Property (Seq: 1)] - [Forecast Financials (Seq: 7)] - [Forecast Financial Line Items (Seq: 1)] L4 -06515 -018 - Decorating Supply - Both]&gt;</t>
        </r>
      </text>
    </comment>
    <comment ref="L936" authorId="0" shapeId="0" xr:uid="{41BB3930-C0ED-4462-ACA9-F65D2994A469}">
      <text>
        <r>
          <rPr>
            <b/>
            <sz val="9"/>
            <color indexed="81"/>
            <rFont val="Tahoma"/>
            <family val="2"/>
          </rPr>
          <t>&lt;[[DEVDeals] - [Primary Portfolio Property (Seq: 1)] - [Forecast Financials (Seq: 8)] - [Forecast Financial Line Items (Seq: 1)] L4 -06515 -018 - Decorating Supply - Both]&gt;</t>
        </r>
      </text>
    </comment>
    <comment ref="M936" authorId="0" shapeId="0" xr:uid="{D43D9511-B1B9-4327-94F8-57E5B2394B0F}">
      <text>
        <r>
          <rPr>
            <b/>
            <sz val="9"/>
            <color indexed="81"/>
            <rFont val="Tahoma"/>
            <family val="2"/>
          </rPr>
          <t>&lt;[[DEVDeals] - [Primary Portfolio Property (Seq: 1)] - [Forecast Financials (Seq: 9)] - [Forecast Financial Line Items (Seq: 1)] L4 -06515 -018 - Decorating Supply - Both]&gt;</t>
        </r>
      </text>
    </comment>
    <comment ref="N936" authorId="0" shapeId="0" xr:uid="{4D0A7A69-CA5C-47B8-BA5F-4BA97A9945F7}">
      <text>
        <r>
          <rPr>
            <b/>
            <sz val="9"/>
            <color indexed="81"/>
            <rFont val="Tahoma"/>
            <family val="2"/>
          </rPr>
          <t>&lt;[[DEVDeals] - [Primary Portfolio Property (Seq: 1)] - [Forecast Financials (Seq: 10)] - [Forecast Financial Line Items (Seq: 1)] L4 -06515 -018 - Decorating Supply - Both]&gt;</t>
        </r>
      </text>
    </comment>
    <comment ref="O936" authorId="0" shapeId="0" xr:uid="{1AF5EE52-4498-4713-B000-8094B9A51F13}">
      <text>
        <r>
          <rPr>
            <b/>
            <sz val="9"/>
            <color indexed="81"/>
            <rFont val="Tahoma"/>
            <family val="2"/>
          </rPr>
          <t>&lt;[[DEVDeals] - [Primary Portfolio Property (Seq: 1)] - [Forecast Financials (Seq: 11)] - [Forecast Financial Line Items (Seq: 1)] L4 -06515 -018 - Decorating Supply - Both]&gt;</t>
        </r>
      </text>
    </comment>
    <comment ref="P936" authorId="0" shapeId="0" xr:uid="{A22863D4-47A3-43FE-8C34-3F9125323F7A}">
      <text>
        <r>
          <rPr>
            <b/>
            <sz val="9"/>
            <color indexed="81"/>
            <rFont val="Tahoma"/>
            <family val="2"/>
          </rPr>
          <t>&lt;[[DEVDeals] - [Primary Portfolio Property (Seq: 1)] - [Forecast Financials (Seq: 12)] - [Forecast Financial Line Items (Seq: 1)] L4 -06515 -018 - Decorating Supply - Both]&gt;</t>
        </r>
      </text>
    </comment>
    <comment ref="Q936" authorId="0" shapeId="0" xr:uid="{E726551D-BEEE-43EA-B4FF-0FF540097792}">
      <text>
        <r>
          <rPr>
            <b/>
            <sz val="9"/>
            <color indexed="81"/>
            <rFont val="Tahoma"/>
            <family val="2"/>
          </rPr>
          <t>&lt;[[DEVDeals] - [Primary Portfolio Property (Seq: 1)] - [Forecast Financials (Seq: 13)] - [Forecast Financial Line Items (Seq: 1)] L4 -06515 -018 - Decorating Supply - Both]&gt;</t>
        </r>
      </text>
    </comment>
    <comment ref="R936" authorId="0" shapeId="0" xr:uid="{52947992-9502-477A-B74E-BC14342F912C}">
      <text>
        <r>
          <rPr>
            <b/>
            <sz val="9"/>
            <color indexed="81"/>
            <rFont val="Tahoma"/>
            <family val="2"/>
          </rPr>
          <t>&lt;[[DEVDeals] - [Primary Portfolio Property (Seq: 1)] - [Forecast Financials (Seq: 14)] - [Forecast Financial Line Items (Seq: 1)] L4 -06515 -018 - Decorating Supply - Both]&gt;</t>
        </r>
      </text>
    </comment>
    <comment ref="S936" authorId="0" shapeId="0" xr:uid="{7045E732-98C8-4EF8-BA8F-0FF152CBDBDE}">
      <text>
        <r>
          <rPr>
            <b/>
            <sz val="9"/>
            <color indexed="81"/>
            <rFont val="Tahoma"/>
            <family val="2"/>
          </rPr>
          <t>&lt;[[DEVDeals] - [Primary Portfolio Property (Seq: 1)] - [Forecast Financials (Seq: 15)] - [Forecast Financial Line Items (Seq: 1)] L4 -06515 -018 - Decorating Supply - Both]&gt;</t>
        </r>
      </text>
    </comment>
    <comment ref="T936" authorId="0" shapeId="0" xr:uid="{E1577489-B58C-4D82-B28C-501B3C473341}">
      <text>
        <r>
          <rPr>
            <b/>
            <sz val="9"/>
            <color indexed="81"/>
            <rFont val="Tahoma"/>
            <family val="2"/>
          </rPr>
          <t>&lt;[[DEVDeals] - [Primary Portfolio Property (Seq: 1)] - [Forecast Financials (Seq: 16)] - [Forecast Financial Line Items (Seq: 1)] L4 -06515 -018 - Decorating Supply - Both]&gt;</t>
        </r>
      </text>
    </comment>
    <comment ref="U936" authorId="0" shapeId="0" xr:uid="{E29A566C-AC8C-4B79-B40B-0669A5A18239}">
      <text>
        <r>
          <rPr>
            <b/>
            <sz val="9"/>
            <color indexed="81"/>
            <rFont val="Tahoma"/>
            <family val="2"/>
          </rPr>
          <t>&lt;[[DEVDeals] - [Primary Portfolio Property (Seq: 1)] - [Forecast Financials (Seq: 17)] - [Forecast Financial Line Items (Seq: 1)] L4 -06515 -018 - Decorating Supply - Both]&gt;</t>
        </r>
      </text>
    </comment>
    <comment ref="V936" authorId="0" shapeId="0" xr:uid="{5C2027D8-61D6-4759-8647-2AF21D493764}">
      <text>
        <r>
          <rPr>
            <b/>
            <sz val="9"/>
            <color indexed="81"/>
            <rFont val="Tahoma"/>
            <family val="2"/>
          </rPr>
          <t>&lt;[[DEVDeals] - [Primary Portfolio Property (Seq: 1)] - [Forecast Financials (Seq: 18)] - [Forecast Financial Line Items (Seq: 1)] L4 -06515 -018 - Decorating Supply - Both]&gt;</t>
        </r>
      </text>
    </comment>
    <comment ref="W936" authorId="0" shapeId="0" xr:uid="{8E9A88C4-89F3-4D30-B5F3-989E1E2BCEDA}">
      <text>
        <r>
          <rPr>
            <b/>
            <sz val="9"/>
            <color indexed="81"/>
            <rFont val="Tahoma"/>
            <family val="2"/>
          </rPr>
          <t>&lt;[[DEVDeals] - [Primary Portfolio Property (Seq: 1)] - [Forecast Financials (Seq: 19)] - [Forecast Financial Line Items (Seq: 1)] L4 -06515 -018 - Decorating Supply - Both]&gt;</t>
        </r>
      </text>
    </comment>
    <comment ref="X936" authorId="0" shapeId="0" xr:uid="{A4FEB2DD-B0C9-4032-B331-9C05D756344C}">
      <text>
        <r>
          <rPr>
            <b/>
            <sz val="9"/>
            <color indexed="81"/>
            <rFont val="Tahoma"/>
            <family val="2"/>
          </rPr>
          <t>&lt;[[DEVDeals] - [Primary Portfolio Property (Seq: 1)] - [Forecast Financials (Seq: 20)] - [Forecast Financial Line Items (Seq: 1)] L4 -06515 -018 - Decorating Supply - Both]&gt;</t>
        </r>
      </text>
    </comment>
    <comment ref="E937" authorId="0" shapeId="0" xr:uid="{2263D89B-75DF-493E-9F67-7B7B26998BBA}">
      <text>
        <r>
          <rPr>
            <b/>
            <sz val="9"/>
            <color indexed="81"/>
            <rFont val="Tahoma"/>
            <family val="2"/>
          </rPr>
          <t>&lt;[[DEVDeals] - [Primary Portfolio Property (Seq: 1)] - [Forecast Financials (Seq: 1)] - [Forecast Financial Line Items (Seq: 1)] L4 -06590 -001 - Operatingand Maintenance Expense Other - Both]&gt;</t>
        </r>
      </text>
    </comment>
    <comment ref="F937" authorId="0" shapeId="0" xr:uid="{32B2437E-1F72-422A-A4A4-AAB767413DF7}">
      <text>
        <r>
          <rPr>
            <b/>
            <sz val="9"/>
            <color indexed="81"/>
            <rFont val="Tahoma"/>
            <family val="2"/>
          </rPr>
          <t>&lt;[[DEVDeals] - [Primary Portfolio Property (Seq: 1)] - [Forecast Financials (Seq: 2)] - [Forecast Financial Line Items (Seq: 1)] L4 -06590 -001 - Operatingand Maintenance Expense Other - Both]&gt;</t>
        </r>
      </text>
    </comment>
    <comment ref="G937" authorId="0" shapeId="0" xr:uid="{BDDB0DC9-1A2A-4C28-ADA9-0CFC19133E51}">
      <text>
        <r>
          <rPr>
            <b/>
            <sz val="9"/>
            <color indexed="81"/>
            <rFont val="Tahoma"/>
            <family val="2"/>
          </rPr>
          <t>&lt;[[DEVDeals] - [Primary Portfolio Property (Seq: 1)] - [Forecast Financials (Seq: 3)] - [Forecast Financial Line Items (Seq: 1)] L4 -06590 -001 - Operatingand Maintenance Expense Other - Both]&gt;</t>
        </r>
      </text>
    </comment>
    <comment ref="H937" authorId="0" shapeId="0" xr:uid="{9DCADDF7-5848-4E22-86A9-A57CADA73DD3}">
      <text>
        <r>
          <rPr>
            <b/>
            <sz val="9"/>
            <color indexed="81"/>
            <rFont val="Tahoma"/>
            <family val="2"/>
          </rPr>
          <t>&lt;[[DEVDeals] - [Primary Portfolio Property (Seq: 1)] - [Forecast Financials (Seq: 4)] - [Forecast Financial Line Items (Seq: 1)] L4 -06590 -001 - Operatingand Maintenance Expense Other - Both]&gt;</t>
        </r>
      </text>
    </comment>
    <comment ref="I937" authorId="0" shapeId="0" xr:uid="{BE55FC89-1BBE-43C5-8031-D0CD873E9F6A}">
      <text>
        <r>
          <rPr>
            <b/>
            <sz val="9"/>
            <color indexed="81"/>
            <rFont val="Tahoma"/>
            <family val="2"/>
          </rPr>
          <t>&lt;[[DEVDeals] - [Primary Portfolio Property (Seq: 1)] - [Forecast Financials (Seq: 5)] - [Forecast Financial Line Items (Seq: 1)] L4 -06590 -001 - Operatingand Maintenance Expense Other - Both]&gt;</t>
        </r>
      </text>
    </comment>
    <comment ref="J937" authorId="0" shapeId="0" xr:uid="{840B1E9A-9D04-4F8E-8689-1D646FE63176}">
      <text>
        <r>
          <rPr>
            <b/>
            <sz val="9"/>
            <color indexed="81"/>
            <rFont val="Tahoma"/>
            <family val="2"/>
          </rPr>
          <t>&lt;[[DEVDeals] - [Primary Portfolio Property (Seq: 1)] - [Forecast Financials (Seq: 6)] - [Forecast Financial Line Items (Seq: 1)] L4 -06590 -001 - Operatingand Maintenance Expense Other - Both]&gt;</t>
        </r>
      </text>
    </comment>
    <comment ref="K937" authorId="0" shapeId="0" xr:uid="{698C1BA0-E080-480E-B346-4063E53F39B8}">
      <text>
        <r>
          <rPr>
            <b/>
            <sz val="9"/>
            <color indexed="81"/>
            <rFont val="Tahoma"/>
            <family val="2"/>
          </rPr>
          <t>&lt;[[DEVDeals] - [Primary Portfolio Property (Seq: 1)] - [Forecast Financials (Seq: 7)] - [Forecast Financial Line Items (Seq: 1)] L4 -06590 -001 - Operatingand Maintenance Expense Other - Both]&gt;</t>
        </r>
      </text>
    </comment>
    <comment ref="L937" authorId="0" shapeId="0" xr:uid="{20AE5278-5D33-4D6C-A52E-CD95C57D5603}">
      <text>
        <r>
          <rPr>
            <b/>
            <sz val="9"/>
            <color indexed="81"/>
            <rFont val="Tahoma"/>
            <family val="2"/>
          </rPr>
          <t>&lt;[[DEVDeals] - [Primary Portfolio Property (Seq: 1)] - [Forecast Financials (Seq: 8)] - [Forecast Financial Line Items (Seq: 1)] L4 -06590 -001 - Operatingand Maintenance Expense Other - Both]&gt;</t>
        </r>
      </text>
    </comment>
    <comment ref="M937" authorId="0" shapeId="0" xr:uid="{8819475E-43D8-4935-9DD6-4CF250E08CC0}">
      <text>
        <r>
          <rPr>
            <b/>
            <sz val="9"/>
            <color indexed="81"/>
            <rFont val="Tahoma"/>
            <family val="2"/>
          </rPr>
          <t>&lt;[[DEVDeals] - [Primary Portfolio Property (Seq: 1)] - [Forecast Financials (Seq: 9)] - [Forecast Financial Line Items (Seq: 1)] L4 -06590 -001 - Operatingand Maintenance Expense Other - Both]&gt;</t>
        </r>
      </text>
    </comment>
    <comment ref="N937" authorId="0" shapeId="0" xr:uid="{08DCB12A-4451-4AE8-84A0-4AF4882814C6}">
      <text>
        <r>
          <rPr>
            <b/>
            <sz val="9"/>
            <color indexed="81"/>
            <rFont val="Tahoma"/>
            <family val="2"/>
          </rPr>
          <t>&lt;[[DEVDeals] - [Primary Portfolio Property (Seq: 1)] - [Forecast Financials (Seq: 10)] - [Forecast Financial Line Items (Seq: 1)] L4 -06590 -001 - Operatingand Maintenance Expense Other - Both]&gt;</t>
        </r>
      </text>
    </comment>
    <comment ref="O937" authorId="0" shapeId="0" xr:uid="{C436DF63-B8FF-46AC-83D1-BDBDAEED410F}">
      <text>
        <r>
          <rPr>
            <b/>
            <sz val="9"/>
            <color indexed="81"/>
            <rFont val="Tahoma"/>
            <family val="2"/>
          </rPr>
          <t>&lt;[[DEVDeals] - [Primary Portfolio Property (Seq: 1)] - [Forecast Financials (Seq: 11)] - [Forecast Financial Line Items (Seq: 1)] L4 -06590 -001 - Operatingand Maintenance Expense Other - Both]&gt;</t>
        </r>
      </text>
    </comment>
    <comment ref="P937" authorId="0" shapeId="0" xr:uid="{65640961-DB54-431E-9C7C-F96277AA24C6}">
      <text>
        <r>
          <rPr>
            <b/>
            <sz val="9"/>
            <color indexed="81"/>
            <rFont val="Tahoma"/>
            <family val="2"/>
          </rPr>
          <t>&lt;[[DEVDeals] - [Primary Portfolio Property (Seq: 1)] - [Forecast Financials (Seq: 12)] - [Forecast Financial Line Items (Seq: 1)] L4 -06590 -001 - Operatingand Maintenance Expense Other - Both]&gt;</t>
        </r>
      </text>
    </comment>
    <comment ref="Q937" authorId="0" shapeId="0" xr:uid="{343A236F-0FA5-4BEB-B42F-38176B798639}">
      <text>
        <r>
          <rPr>
            <b/>
            <sz val="9"/>
            <color indexed="81"/>
            <rFont val="Tahoma"/>
            <family val="2"/>
          </rPr>
          <t>&lt;[[DEVDeals] - [Primary Portfolio Property (Seq: 1)] - [Forecast Financials (Seq: 13)] - [Forecast Financial Line Items (Seq: 1)] L4 -06590 -001 - Operatingand Maintenance Expense Other - Both]&gt;</t>
        </r>
      </text>
    </comment>
    <comment ref="R937" authorId="0" shapeId="0" xr:uid="{FA7FC66C-DD0C-4169-8782-3154AA8F9A25}">
      <text>
        <r>
          <rPr>
            <b/>
            <sz val="9"/>
            <color indexed="81"/>
            <rFont val="Tahoma"/>
            <family val="2"/>
          </rPr>
          <t>&lt;[[DEVDeals] - [Primary Portfolio Property (Seq: 1)] - [Forecast Financials (Seq: 14)] - [Forecast Financial Line Items (Seq: 1)] L4 -06590 -001 - Operatingand Maintenance Expense Other - Both]&gt;</t>
        </r>
      </text>
    </comment>
    <comment ref="S937" authorId="0" shapeId="0" xr:uid="{19CBFEC8-9148-42E9-9198-CE49C9A99946}">
      <text>
        <r>
          <rPr>
            <b/>
            <sz val="9"/>
            <color indexed="81"/>
            <rFont val="Tahoma"/>
            <family val="2"/>
          </rPr>
          <t>&lt;[[DEVDeals] - [Primary Portfolio Property (Seq: 1)] - [Forecast Financials (Seq: 15)] - [Forecast Financial Line Items (Seq: 1)] L4 -06590 -001 - Operatingand Maintenance Expense Other - Both]&gt;</t>
        </r>
      </text>
    </comment>
    <comment ref="T937" authorId="0" shapeId="0" xr:uid="{7111ECE7-029D-4FA3-8518-5B3AE96D6699}">
      <text>
        <r>
          <rPr>
            <b/>
            <sz val="9"/>
            <color indexed="81"/>
            <rFont val="Tahoma"/>
            <family val="2"/>
          </rPr>
          <t>&lt;[[DEVDeals] - [Primary Portfolio Property (Seq: 1)] - [Forecast Financials (Seq: 16)] - [Forecast Financial Line Items (Seq: 1)] L4 -06590 -001 - Operatingand Maintenance Expense Other - Both]&gt;</t>
        </r>
      </text>
    </comment>
    <comment ref="U937" authorId="0" shapeId="0" xr:uid="{3155C2F3-2057-4F99-A1D7-AE1F5795DF37}">
      <text>
        <r>
          <rPr>
            <b/>
            <sz val="9"/>
            <color indexed="81"/>
            <rFont val="Tahoma"/>
            <family val="2"/>
          </rPr>
          <t>&lt;[[DEVDeals] - [Primary Portfolio Property (Seq: 1)] - [Forecast Financials (Seq: 17)] - [Forecast Financial Line Items (Seq: 1)] L4 -06590 -001 - Operatingand Maintenance Expense Other - Both]&gt;</t>
        </r>
      </text>
    </comment>
    <comment ref="V937" authorId="0" shapeId="0" xr:uid="{88E3A549-268D-4316-8D2D-6683257D73D0}">
      <text>
        <r>
          <rPr>
            <b/>
            <sz val="9"/>
            <color indexed="81"/>
            <rFont val="Tahoma"/>
            <family val="2"/>
          </rPr>
          <t>&lt;[[DEVDeals] - [Primary Portfolio Property (Seq: 1)] - [Forecast Financials (Seq: 18)] - [Forecast Financial Line Items (Seq: 1)] L4 -06590 -001 - Operatingand Maintenance Expense Other - Both]&gt;</t>
        </r>
      </text>
    </comment>
    <comment ref="W937" authorId="0" shapeId="0" xr:uid="{416CE228-933E-4A2F-9D7A-37EB7F9648B0}">
      <text>
        <r>
          <rPr>
            <b/>
            <sz val="9"/>
            <color indexed="81"/>
            <rFont val="Tahoma"/>
            <family val="2"/>
          </rPr>
          <t>&lt;[[DEVDeals] - [Primary Portfolio Property (Seq: 1)] - [Forecast Financials (Seq: 19)] - [Forecast Financial Line Items (Seq: 1)] L4 -06590 -001 - Operatingand Maintenance Expense Other - Both]&gt;</t>
        </r>
      </text>
    </comment>
    <comment ref="X937" authorId="0" shapeId="0" xr:uid="{5EA2A969-CBF5-4830-9C32-893FF39C510D}">
      <text>
        <r>
          <rPr>
            <b/>
            <sz val="9"/>
            <color indexed="81"/>
            <rFont val="Tahoma"/>
            <family val="2"/>
          </rPr>
          <t>&lt;[[DEVDeals] - [Primary Portfolio Property (Seq: 1)] - [Forecast Financials (Seq: 20)] - [Forecast Financial Line Items (Seq: 1)] L4 -06590 -001 - Operatingand Maintenance Expense Other - Both]&gt;</t>
        </r>
      </text>
    </comment>
    <comment ref="E938" authorId="0" shapeId="0" xr:uid="{C52E80D7-C1A0-429B-BD45-63C831397EDF}">
      <text>
        <r>
          <rPr>
            <b/>
            <sz val="9"/>
            <color indexed="81"/>
            <rFont val="Tahoma"/>
            <family val="2"/>
          </rPr>
          <t>&lt;[[DEVDeals] - [Primary Portfolio Property (Seq: 1)] - [Forecast Financials (Seq: 1)] - [Forecast Financial Line Items (Seq: 1)] L4 -06710 -011 - Real Estate Tax - Both]&gt;</t>
        </r>
      </text>
    </comment>
    <comment ref="F938" authorId="0" shapeId="0" xr:uid="{D3A147A0-AA9B-471C-9CCF-6B5E3AAEF111}">
      <text>
        <r>
          <rPr>
            <b/>
            <sz val="9"/>
            <color indexed="81"/>
            <rFont val="Tahoma"/>
            <family val="2"/>
          </rPr>
          <t>&lt;[[DEVDeals] - [Primary Portfolio Property (Seq: 1)] - [Forecast Financials (Seq: 2)] - [Forecast Financial Line Items (Seq: 1)] L4 -06710 -011 - Real Estate Tax - Both]&gt;</t>
        </r>
      </text>
    </comment>
    <comment ref="G938" authorId="0" shapeId="0" xr:uid="{4F134C7B-98D8-40EF-8670-62BCF9DC53CF}">
      <text>
        <r>
          <rPr>
            <b/>
            <sz val="9"/>
            <color indexed="81"/>
            <rFont val="Tahoma"/>
            <family val="2"/>
          </rPr>
          <t>&lt;[[DEVDeals] - [Primary Portfolio Property (Seq: 1)] - [Forecast Financials (Seq: 3)] - [Forecast Financial Line Items (Seq: 1)] L4 -06710 -011 - Real Estate Tax - Both]&gt;</t>
        </r>
      </text>
    </comment>
    <comment ref="H938" authorId="0" shapeId="0" xr:uid="{4D8E2688-5AA2-4926-82B5-C2AA2DA5EFC7}">
      <text>
        <r>
          <rPr>
            <b/>
            <sz val="9"/>
            <color indexed="81"/>
            <rFont val="Tahoma"/>
            <family val="2"/>
          </rPr>
          <t>&lt;[[DEVDeals] - [Primary Portfolio Property (Seq: 1)] - [Forecast Financials (Seq: 4)] - [Forecast Financial Line Items (Seq: 1)] L4 -06710 -011 - Real Estate Tax - Both]&gt;</t>
        </r>
      </text>
    </comment>
    <comment ref="I938" authorId="0" shapeId="0" xr:uid="{007A3CC5-6F54-4C6C-8428-1863BC35745D}">
      <text>
        <r>
          <rPr>
            <b/>
            <sz val="9"/>
            <color indexed="81"/>
            <rFont val="Tahoma"/>
            <family val="2"/>
          </rPr>
          <t>&lt;[[DEVDeals] - [Primary Portfolio Property (Seq: 1)] - [Forecast Financials (Seq: 5)] - [Forecast Financial Line Items (Seq: 1)] L4 -06710 -011 - Real Estate Tax - Both]&gt;</t>
        </r>
      </text>
    </comment>
    <comment ref="J938" authorId="0" shapeId="0" xr:uid="{1D4B7E04-BBFB-46F6-85F3-B39E72507A7E}">
      <text>
        <r>
          <rPr>
            <b/>
            <sz val="9"/>
            <color indexed="81"/>
            <rFont val="Tahoma"/>
            <family val="2"/>
          </rPr>
          <t>&lt;[[DEVDeals] - [Primary Portfolio Property (Seq: 1)] - [Forecast Financials (Seq: 6)] - [Forecast Financial Line Items (Seq: 1)] L4 -06710 -011 - Real Estate Tax - Both]&gt;</t>
        </r>
      </text>
    </comment>
    <comment ref="K938" authorId="0" shapeId="0" xr:uid="{7F5E055E-CE7E-4F52-820E-FCC5FFA6D321}">
      <text>
        <r>
          <rPr>
            <b/>
            <sz val="9"/>
            <color indexed="81"/>
            <rFont val="Tahoma"/>
            <family val="2"/>
          </rPr>
          <t>&lt;[[DEVDeals] - [Primary Portfolio Property (Seq: 1)] - [Forecast Financials (Seq: 7)] - [Forecast Financial Line Items (Seq: 1)] L4 -06710 -011 - Real Estate Tax - Both]&gt;</t>
        </r>
      </text>
    </comment>
    <comment ref="L938" authorId="0" shapeId="0" xr:uid="{58F1F74A-A053-4836-941A-DD958722316D}">
      <text>
        <r>
          <rPr>
            <b/>
            <sz val="9"/>
            <color indexed="81"/>
            <rFont val="Tahoma"/>
            <family val="2"/>
          </rPr>
          <t>&lt;[[DEVDeals] - [Primary Portfolio Property (Seq: 1)] - [Forecast Financials (Seq: 8)] - [Forecast Financial Line Items (Seq: 1)] L4 -06710 -011 - Real Estate Tax - Both]&gt;</t>
        </r>
      </text>
    </comment>
    <comment ref="M938" authorId="0" shapeId="0" xr:uid="{96D5BAA7-55F1-4165-849F-D790133EA7B4}">
      <text>
        <r>
          <rPr>
            <b/>
            <sz val="9"/>
            <color indexed="81"/>
            <rFont val="Tahoma"/>
            <family val="2"/>
          </rPr>
          <t>&lt;[[DEVDeals] - [Primary Portfolio Property (Seq: 1)] - [Forecast Financials (Seq: 9)] - [Forecast Financial Line Items (Seq: 1)] L4 -06710 -011 - Real Estate Tax - Both]&gt;</t>
        </r>
      </text>
    </comment>
    <comment ref="N938" authorId="0" shapeId="0" xr:uid="{8286B2A4-0DF9-4F01-8AEE-D6C45C36B39A}">
      <text>
        <r>
          <rPr>
            <b/>
            <sz val="9"/>
            <color indexed="81"/>
            <rFont val="Tahoma"/>
            <family val="2"/>
          </rPr>
          <t>&lt;[[DEVDeals] - [Primary Portfolio Property (Seq: 1)] - [Forecast Financials (Seq: 10)] - [Forecast Financial Line Items (Seq: 1)] L4 -06710 -011 - Real Estate Tax - Both]&gt;</t>
        </r>
      </text>
    </comment>
    <comment ref="O938" authorId="0" shapeId="0" xr:uid="{709A9193-2BCA-430D-B64D-50A115321A6F}">
      <text>
        <r>
          <rPr>
            <b/>
            <sz val="9"/>
            <color indexed="81"/>
            <rFont val="Tahoma"/>
            <family val="2"/>
          </rPr>
          <t>&lt;[[DEVDeals] - [Primary Portfolio Property (Seq: 1)] - [Forecast Financials (Seq: 11)] - [Forecast Financial Line Items (Seq: 1)] L4 -06710 -011 - Real Estate Tax - Both]&gt;</t>
        </r>
      </text>
    </comment>
    <comment ref="P938" authorId="0" shapeId="0" xr:uid="{BCF1A36A-674C-423A-B215-4B2293901170}">
      <text>
        <r>
          <rPr>
            <b/>
            <sz val="9"/>
            <color indexed="81"/>
            <rFont val="Tahoma"/>
            <family val="2"/>
          </rPr>
          <t>&lt;[[DEVDeals] - [Primary Portfolio Property (Seq: 1)] - [Forecast Financials (Seq: 12)] - [Forecast Financial Line Items (Seq: 1)] L4 -06710 -011 - Real Estate Tax - Both]&gt;</t>
        </r>
      </text>
    </comment>
    <comment ref="Q938" authorId="0" shapeId="0" xr:uid="{986931EA-A4A8-4985-9F66-17A1A3044C53}">
      <text>
        <r>
          <rPr>
            <b/>
            <sz val="9"/>
            <color indexed="81"/>
            <rFont val="Tahoma"/>
            <family val="2"/>
          </rPr>
          <t>&lt;[[DEVDeals] - [Primary Portfolio Property (Seq: 1)] - [Forecast Financials (Seq: 13)] - [Forecast Financial Line Items (Seq: 1)] L4 -06710 -011 - Real Estate Tax - Both]&gt;</t>
        </r>
      </text>
    </comment>
    <comment ref="R938" authorId="0" shapeId="0" xr:uid="{8DD7FE3C-CD49-47AF-9F84-379ADF58317A}">
      <text>
        <r>
          <rPr>
            <b/>
            <sz val="9"/>
            <color indexed="81"/>
            <rFont val="Tahoma"/>
            <family val="2"/>
          </rPr>
          <t>&lt;[[DEVDeals] - [Primary Portfolio Property (Seq: 1)] - [Forecast Financials (Seq: 14)] - [Forecast Financial Line Items (Seq: 1)] L4 -06710 -011 - Real Estate Tax - Both]&gt;</t>
        </r>
      </text>
    </comment>
    <comment ref="S938" authorId="0" shapeId="0" xr:uid="{E22274DF-F22B-4A97-ADFE-9B074EADC1EB}">
      <text>
        <r>
          <rPr>
            <b/>
            <sz val="9"/>
            <color indexed="81"/>
            <rFont val="Tahoma"/>
            <family val="2"/>
          </rPr>
          <t>&lt;[[DEVDeals] - [Primary Portfolio Property (Seq: 1)] - [Forecast Financials (Seq: 15)] - [Forecast Financial Line Items (Seq: 1)] L4 -06710 -011 - Real Estate Tax - Both]&gt;</t>
        </r>
      </text>
    </comment>
    <comment ref="T938" authorId="0" shapeId="0" xr:uid="{33D9B806-FEDB-4FA0-B66D-8F4E14D5F646}">
      <text>
        <r>
          <rPr>
            <b/>
            <sz val="9"/>
            <color indexed="81"/>
            <rFont val="Tahoma"/>
            <family val="2"/>
          </rPr>
          <t>&lt;[[DEVDeals] - [Primary Portfolio Property (Seq: 1)] - [Forecast Financials (Seq: 16)] - [Forecast Financial Line Items (Seq: 1)] L4 -06710 -011 - Real Estate Tax - Both]&gt;</t>
        </r>
      </text>
    </comment>
    <comment ref="U938" authorId="0" shapeId="0" xr:uid="{D2666A5F-F545-4213-88BC-82AFA1710459}">
      <text>
        <r>
          <rPr>
            <b/>
            <sz val="9"/>
            <color indexed="81"/>
            <rFont val="Tahoma"/>
            <family val="2"/>
          </rPr>
          <t>&lt;[[DEVDeals] - [Primary Portfolio Property (Seq: 1)] - [Forecast Financials (Seq: 17)] - [Forecast Financial Line Items (Seq: 1)] L4 -06710 -011 - Real Estate Tax - Both]&gt;</t>
        </r>
      </text>
    </comment>
    <comment ref="V938" authorId="0" shapeId="0" xr:uid="{4838EE31-C311-4349-B570-5C37C984D938}">
      <text>
        <r>
          <rPr>
            <b/>
            <sz val="9"/>
            <color indexed="81"/>
            <rFont val="Tahoma"/>
            <family val="2"/>
          </rPr>
          <t>&lt;[[DEVDeals] - [Primary Portfolio Property (Seq: 1)] - [Forecast Financials (Seq: 18)] - [Forecast Financial Line Items (Seq: 1)] L4 -06710 -011 - Real Estate Tax - Both]&gt;</t>
        </r>
      </text>
    </comment>
    <comment ref="W938" authorId="0" shapeId="0" xr:uid="{3B91DA06-68F4-4A04-8872-625362E5AD35}">
      <text>
        <r>
          <rPr>
            <b/>
            <sz val="9"/>
            <color indexed="81"/>
            <rFont val="Tahoma"/>
            <family val="2"/>
          </rPr>
          <t>&lt;[[DEVDeals] - [Primary Portfolio Property (Seq: 1)] - [Forecast Financials (Seq: 19)] - [Forecast Financial Line Items (Seq: 1)] L4 -06710 -011 - Real Estate Tax - Both]&gt;</t>
        </r>
      </text>
    </comment>
    <comment ref="X938" authorId="0" shapeId="0" xr:uid="{98395140-4152-43D1-904B-FACBD97F1CCA}">
      <text>
        <r>
          <rPr>
            <b/>
            <sz val="9"/>
            <color indexed="81"/>
            <rFont val="Tahoma"/>
            <family val="2"/>
          </rPr>
          <t>&lt;[[DEVDeals] - [Primary Portfolio Property (Seq: 1)] - [Forecast Financials (Seq: 20)] - [Forecast Financial Line Items (Seq: 1)] L4 -06710 -011 - Real Estate Tax - Both]&gt;</t>
        </r>
      </text>
    </comment>
    <comment ref="E939" authorId="0" shapeId="0" xr:uid="{F70A7BD3-78F6-4CA9-ABB7-0CC3536C413A}">
      <text>
        <r>
          <rPr>
            <b/>
            <sz val="9"/>
            <color indexed="81"/>
            <rFont val="Tahoma"/>
            <family val="2"/>
          </rPr>
          <t>&lt;[[DEVDeals] - [Primary Portfolio Property (Seq: 1)] - [Forecast Financials (Seq: 1)] - [Forecast Financial Line Items (Seq: 1)] L4 -06711 -001 - Payroll Tax Catchall - Both]&gt;</t>
        </r>
      </text>
    </comment>
    <comment ref="F939" authorId="0" shapeId="0" xr:uid="{D9E391C3-DA04-4660-BD3F-B434652610B8}">
      <text>
        <r>
          <rPr>
            <b/>
            <sz val="9"/>
            <color indexed="81"/>
            <rFont val="Tahoma"/>
            <family val="2"/>
          </rPr>
          <t>&lt;[[DEVDeals] - [Primary Portfolio Property (Seq: 1)] - [Forecast Financials (Seq: 2)] - [Forecast Financial Line Items (Seq: 1)] L4 -06711 -001 - Payroll Tax Catchall - Both]&gt;</t>
        </r>
      </text>
    </comment>
    <comment ref="G939" authorId="0" shapeId="0" xr:uid="{51388327-865B-43A9-9B7F-759896FF5627}">
      <text>
        <r>
          <rPr>
            <b/>
            <sz val="9"/>
            <color indexed="81"/>
            <rFont val="Tahoma"/>
            <family val="2"/>
          </rPr>
          <t>&lt;[[DEVDeals] - [Primary Portfolio Property (Seq: 1)] - [Forecast Financials (Seq: 3)] - [Forecast Financial Line Items (Seq: 1)] L4 -06711 -001 - Payroll Tax Catchall - Both]&gt;</t>
        </r>
      </text>
    </comment>
    <comment ref="H939" authorId="0" shapeId="0" xr:uid="{56AD6630-616F-4980-AA3E-59C2E415B459}">
      <text>
        <r>
          <rPr>
            <b/>
            <sz val="9"/>
            <color indexed="81"/>
            <rFont val="Tahoma"/>
            <family val="2"/>
          </rPr>
          <t>&lt;[[DEVDeals] - [Primary Portfolio Property (Seq: 1)] - [Forecast Financials (Seq: 4)] - [Forecast Financial Line Items (Seq: 1)] L4 -06711 -001 - Payroll Tax Catchall - Both]&gt;</t>
        </r>
      </text>
    </comment>
    <comment ref="I939" authorId="0" shapeId="0" xr:uid="{A35CE7E1-89DB-4C07-8759-58C922770BFB}">
      <text>
        <r>
          <rPr>
            <b/>
            <sz val="9"/>
            <color indexed="81"/>
            <rFont val="Tahoma"/>
            <family val="2"/>
          </rPr>
          <t>&lt;[[DEVDeals] - [Primary Portfolio Property (Seq: 1)] - [Forecast Financials (Seq: 5)] - [Forecast Financial Line Items (Seq: 1)] L4 -06711 -001 - Payroll Tax Catchall - Both]&gt;</t>
        </r>
      </text>
    </comment>
    <comment ref="J939" authorId="0" shapeId="0" xr:uid="{6E71229D-8CAF-41DF-A7AD-0B3491C548D9}">
      <text>
        <r>
          <rPr>
            <b/>
            <sz val="9"/>
            <color indexed="81"/>
            <rFont val="Tahoma"/>
            <family val="2"/>
          </rPr>
          <t>&lt;[[DEVDeals] - [Primary Portfolio Property (Seq: 1)] - [Forecast Financials (Seq: 6)] - [Forecast Financial Line Items (Seq: 1)] L4 -06711 -001 - Payroll Tax Catchall - Both]&gt;</t>
        </r>
      </text>
    </comment>
    <comment ref="K939" authorId="0" shapeId="0" xr:uid="{7F0F8BF5-4AF3-4B93-B303-FA9AFA3792D3}">
      <text>
        <r>
          <rPr>
            <b/>
            <sz val="9"/>
            <color indexed="81"/>
            <rFont val="Tahoma"/>
            <family val="2"/>
          </rPr>
          <t>&lt;[[DEVDeals] - [Primary Portfolio Property (Seq: 1)] - [Forecast Financials (Seq: 7)] - [Forecast Financial Line Items (Seq: 1)] L4 -06711 -001 - Payroll Tax Catchall - Both]&gt;</t>
        </r>
      </text>
    </comment>
    <comment ref="L939" authorId="0" shapeId="0" xr:uid="{687436AE-BBA4-4C96-B145-96D71D7078F5}">
      <text>
        <r>
          <rPr>
            <b/>
            <sz val="9"/>
            <color indexed="81"/>
            <rFont val="Tahoma"/>
            <family val="2"/>
          </rPr>
          <t>&lt;[[DEVDeals] - [Primary Portfolio Property (Seq: 1)] - [Forecast Financials (Seq: 8)] - [Forecast Financial Line Items (Seq: 1)] L4 -06711 -001 - Payroll Tax Catchall - Both]&gt;</t>
        </r>
      </text>
    </comment>
    <comment ref="M939" authorId="0" shapeId="0" xr:uid="{F8B8AD00-6309-4263-A718-7617F4387D6E}">
      <text>
        <r>
          <rPr>
            <b/>
            <sz val="9"/>
            <color indexed="81"/>
            <rFont val="Tahoma"/>
            <family val="2"/>
          </rPr>
          <t>&lt;[[DEVDeals] - [Primary Portfolio Property (Seq: 1)] - [Forecast Financials (Seq: 9)] - [Forecast Financial Line Items (Seq: 1)] L4 -06711 -001 - Payroll Tax Catchall - Both]&gt;</t>
        </r>
      </text>
    </comment>
    <comment ref="N939" authorId="0" shapeId="0" xr:uid="{1A3278B0-F8DC-4DBF-BB0F-5904F0FDF7BC}">
      <text>
        <r>
          <rPr>
            <b/>
            <sz val="9"/>
            <color indexed="81"/>
            <rFont val="Tahoma"/>
            <family val="2"/>
          </rPr>
          <t>&lt;[[DEVDeals] - [Primary Portfolio Property (Seq: 1)] - [Forecast Financials (Seq: 10)] - [Forecast Financial Line Items (Seq: 1)] L4 -06711 -001 - Payroll Tax Catchall - Both]&gt;</t>
        </r>
      </text>
    </comment>
    <comment ref="O939" authorId="0" shapeId="0" xr:uid="{16919AB5-17BC-43CF-80E0-3C066A88F7B9}">
      <text>
        <r>
          <rPr>
            <b/>
            <sz val="9"/>
            <color indexed="81"/>
            <rFont val="Tahoma"/>
            <family val="2"/>
          </rPr>
          <t>&lt;[[DEVDeals] - [Primary Portfolio Property (Seq: 1)] - [Forecast Financials (Seq: 11)] - [Forecast Financial Line Items (Seq: 1)] L4 -06711 -001 - Payroll Tax Catchall - Both]&gt;</t>
        </r>
      </text>
    </comment>
    <comment ref="P939" authorId="0" shapeId="0" xr:uid="{B1426199-F7D8-42A1-A5C6-F67B452D8BF0}">
      <text>
        <r>
          <rPr>
            <b/>
            <sz val="9"/>
            <color indexed="81"/>
            <rFont val="Tahoma"/>
            <family val="2"/>
          </rPr>
          <t>&lt;[[DEVDeals] - [Primary Portfolio Property (Seq: 1)] - [Forecast Financials (Seq: 12)] - [Forecast Financial Line Items (Seq: 1)] L4 -06711 -001 - Payroll Tax Catchall - Both]&gt;</t>
        </r>
      </text>
    </comment>
    <comment ref="Q939" authorId="0" shapeId="0" xr:uid="{50AC731E-7EFD-4BFA-B75E-2EAC1C7C960B}">
      <text>
        <r>
          <rPr>
            <b/>
            <sz val="9"/>
            <color indexed="81"/>
            <rFont val="Tahoma"/>
            <family val="2"/>
          </rPr>
          <t>&lt;[[DEVDeals] - [Primary Portfolio Property (Seq: 1)] - [Forecast Financials (Seq: 13)] - [Forecast Financial Line Items (Seq: 1)] L4 -06711 -001 - Payroll Tax Catchall - Both]&gt;</t>
        </r>
      </text>
    </comment>
    <comment ref="R939" authorId="0" shapeId="0" xr:uid="{E15C10B6-B823-4136-A7FF-26E854CF12E4}">
      <text>
        <r>
          <rPr>
            <b/>
            <sz val="9"/>
            <color indexed="81"/>
            <rFont val="Tahoma"/>
            <family val="2"/>
          </rPr>
          <t>&lt;[[DEVDeals] - [Primary Portfolio Property (Seq: 1)] - [Forecast Financials (Seq: 14)] - [Forecast Financial Line Items (Seq: 1)] L4 -06711 -001 - Payroll Tax Catchall - Both]&gt;</t>
        </r>
      </text>
    </comment>
    <comment ref="S939" authorId="0" shapeId="0" xr:uid="{7E9BF5DD-D08E-45F7-A957-950A8C448E22}">
      <text>
        <r>
          <rPr>
            <b/>
            <sz val="9"/>
            <color indexed="81"/>
            <rFont val="Tahoma"/>
            <family val="2"/>
          </rPr>
          <t>&lt;[[DEVDeals] - [Primary Portfolio Property (Seq: 1)] - [Forecast Financials (Seq: 15)] - [Forecast Financial Line Items (Seq: 1)] L4 -06711 -001 - Payroll Tax Catchall - Both]&gt;</t>
        </r>
      </text>
    </comment>
    <comment ref="T939" authorId="0" shapeId="0" xr:uid="{36E19A5E-EAF0-48C3-A06C-475CBA437712}">
      <text>
        <r>
          <rPr>
            <b/>
            <sz val="9"/>
            <color indexed="81"/>
            <rFont val="Tahoma"/>
            <family val="2"/>
          </rPr>
          <t>&lt;[[DEVDeals] - [Primary Portfolio Property (Seq: 1)] - [Forecast Financials (Seq: 16)] - [Forecast Financial Line Items (Seq: 1)] L4 -06711 -001 - Payroll Tax Catchall - Both]&gt;</t>
        </r>
      </text>
    </comment>
    <comment ref="U939" authorId="0" shapeId="0" xr:uid="{F6A28083-DFC1-462A-818E-1B6507BD5397}">
      <text>
        <r>
          <rPr>
            <b/>
            <sz val="9"/>
            <color indexed="81"/>
            <rFont val="Tahoma"/>
            <family val="2"/>
          </rPr>
          <t>&lt;[[DEVDeals] - [Primary Portfolio Property (Seq: 1)] - [Forecast Financials (Seq: 17)] - [Forecast Financial Line Items (Seq: 1)] L4 -06711 -001 - Payroll Tax Catchall - Both]&gt;</t>
        </r>
      </text>
    </comment>
    <comment ref="V939" authorId="0" shapeId="0" xr:uid="{D98FF1EA-70DD-4751-BBE4-0CF756B4D72E}">
      <text>
        <r>
          <rPr>
            <b/>
            <sz val="9"/>
            <color indexed="81"/>
            <rFont val="Tahoma"/>
            <family val="2"/>
          </rPr>
          <t>&lt;[[DEVDeals] - [Primary Portfolio Property (Seq: 1)] - [Forecast Financials (Seq: 18)] - [Forecast Financial Line Items (Seq: 1)] L4 -06711 -001 - Payroll Tax Catchall - Both]&gt;</t>
        </r>
      </text>
    </comment>
    <comment ref="W939" authorId="0" shapeId="0" xr:uid="{F819E7B6-CEF8-4323-8264-288FC5FEDED5}">
      <text>
        <r>
          <rPr>
            <b/>
            <sz val="9"/>
            <color indexed="81"/>
            <rFont val="Tahoma"/>
            <family val="2"/>
          </rPr>
          <t>&lt;[[DEVDeals] - [Primary Portfolio Property (Seq: 1)] - [Forecast Financials (Seq: 19)] - [Forecast Financial Line Items (Seq: 1)] L4 -06711 -001 - Payroll Tax Catchall - Both]&gt;</t>
        </r>
      </text>
    </comment>
    <comment ref="X939" authorId="0" shapeId="0" xr:uid="{06906943-73F7-47A9-B42D-3A9E02C534A2}">
      <text>
        <r>
          <rPr>
            <b/>
            <sz val="9"/>
            <color indexed="81"/>
            <rFont val="Tahoma"/>
            <family val="2"/>
          </rPr>
          <t>&lt;[[DEVDeals] - [Primary Portfolio Property (Seq: 1)] - [Forecast Financials (Seq: 20)] - [Forecast Financial Line Items (Seq: 1)] L4 -06711 -001 - Payroll Tax Catchall - Both]&gt;</t>
        </r>
      </text>
    </comment>
    <comment ref="E940" authorId="0" shapeId="0" xr:uid="{8154B7C7-BF88-491D-B332-0E0431CCCE82}">
      <text>
        <r>
          <rPr>
            <b/>
            <sz val="9"/>
            <color indexed="81"/>
            <rFont val="Tahoma"/>
            <family val="2"/>
          </rPr>
          <t>&lt;[[DEVDeals] - [Primary Portfolio Property (Seq: 1)] - [Forecast Financials (Seq: 1)] - [Forecast Financial Line Items (Seq: 1)] L4 -06790 -001 - Other Tax Licenses Permitsand Insurance - Both]&gt;</t>
        </r>
      </text>
    </comment>
    <comment ref="F940" authorId="0" shapeId="0" xr:uid="{25C6D1B2-F800-4E51-8EDC-191D5AA02816}">
      <text>
        <r>
          <rPr>
            <b/>
            <sz val="9"/>
            <color indexed="81"/>
            <rFont val="Tahoma"/>
            <family val="2"/>
          </rPr>
          <t>&lt;[[DEVDeals] - [Primary Portfolio Property (Seq: 1)] - [Forecast Financials (Seq: 2)] - [Forecast Financial Line Items (Seq: 1)] L4 -06790 -001 - Other Tax Licenses Permitsand Insurance - Both]&gt;</t>
        </r>
      </text>
    </comment>
    <comment ref="G940" authorId="0" shapeId="0" xr:uid="{71FEB272-BCDE-4C5F-975B-E0DB29DC1E7D}">
      <text>
        <r>
          <rPr>
            <b/>
            <sz val="9"/>
            <color indexed="81"/>
            <rFont val="Tahoma"/>
            <family val="2"/>
          </rPr>
          <t>&lt;[[DEVDeals] - [Primary Portfolio Property (Seq: 1)] - [Forecast Financials (Seq: 3)] - [Forecast Financial Line Items (Seq: 1)] L4 -06790 -001 - Other Tax Licenses Permitsand Insurance - Both]&gt;</t>
        </r>
      </text>
    </comment>
    <comment ref="H940" authorId="0" shapeId="0" xr:uid="{7C3DD037-AE02-4FCD-8A94-2AAC09CD3E34}">
      <text>
        <r>
          <rPr>
            <b/>
            <sz val="9"/>
            <color indexed="81"/>
            <rFont val="Tahoma"/>
            <family val="2"/>
          </rPr>
          <t>&lt;[[DEVDeals] - [Primary Portfolio Property (Seq: 1)] - [Forecast Financials (Seq: 4)] - [Forecast Financial Line Items (Seq: 1)] L4 -06790 -001 - Other Tax Licenses Permitsand Insurance - Both]&gt;</t>
        </r>
      </text>
    </comment>
    <comment ref="I940" authorId="0" shapeId="0" xr:uid="{DD709796-CEF8-4995-80E5-0CF3347996D9}">
      <text>
        <r>
          <rPr>
            <b/>
            <sz val="9"/>
            <color indexed="81"/>
            <rFont val="Tahoma"/>
            <family val="2"/>
          </rPr>
          <t>&lt;[[DEVDeals] - [Primary Portfolio Property (Seq: 1)] - [Forecast Financials (Seq: 5)] - [Forecast Financial Line Items (Seq: 1)] L4 -06790 -001 - Other Tax Licenses Permitsand Insurance - Both]&gt;</t>
        </r>
      </text>
    </comment>
    <comment ref="J940" authorId="0" shapeId="0" xr:uid="{099DB7AB-BE6B-4105-858C-1C3CB38D6A1F}">
      <text>
        <r>
          <rPr>
            <b/>
            <sz val="9"/>
            <color indexed="81"/>
            <rFont val="Tahoma"/>
            <family val="2"/>
          </rPr>
          <t>&lt;[[DEVDeals] - [Primary Portfolio Property (Seq: 1)] - [Forecast Financials (Seq: 6)] - [Forecast Financial Line Items (Seq: 1)] L4 -06790 -001 - Other Tax Licenses Permitsand Insurance - Both]&gt;</t>
        </r>
      </text>
    </comment>
    <comment ref="K940" authorId="0" shapeId="0" xr:uid="{15C8EF28-1CAB-43BF-B2AF-24D57F456546}">
      <text>
        <r>
          <rPr>
            <b/>
            <sz val="9"/>
            <color indexed="81"/>
            <rFont val="Tahoma"/>
            <family val="2"/>
          </rPr>
          <t>&lt;[[DEVDeals] - [Primary Portfolio Property (Seq: 1)] - [Forecast Financials (Seq: 7)] - [Forecast Financial Line Items (Seq: 1)] L4 -06790 -001 - Other Tax Licenses Permitsand Insurance - Both]&gt;</t>
        </r>
      </text>
    </comment>
    <comment ref="L940" authorId="0" shapeId="0" xr:uid="{40291C9D-1E29-472D-8349-164758182E6E}">
      <text>
        <r>
          <rPr>
            <b/>
            <sz val="9"/>
            <color indexed="81"/>
            <rFont val="Tahoma"/>
            <family val="2"/>
          </rPr>
          <t>&lt;[[DEVDeals] - [Primary Portfolio Property (Seq: 1)] - [Forecast Financials (Seq: 8)] - [Forecast Financial Line Items (Seq: 1)] L4 -06790 -001 - Other Tax Licenses Permitsand Insurance - Both]&gt;</t>
        </r>
      </text>
    </comment>
    <comment ref="M940" authorId="0" shapeId="0" xr:uid="{54C1CBCA-009A-45BD-B154-39F534BB95D0}">
      <text>
        <r>
          <rPr>
            <b/>
            <sz val="9"/>
            <color indexed="81"/>
            <rFont val="Tahoma"/>
            <family val="2"/>
          </rPr>
          <t>&lt;[[DEVDeals] - [Primary Portfolio Property (Seq: 1)] - [Forecast Financials (Seq: 9)] - [Forecast Financial Line Items (Seq: 1)] L4 -06790 -001 - Other Tax Licenses Permitsand Insurance - Both]&gt;</t>
        </r>
      </text>
    </comment>
    <comment ref="N940" authorId="0" shapeId="0" xr:uid="{E9BAD3F0-524D-44CC-9EFE-97EE9D9E9F3A}">
      <text>
        <r>
          <rPr>
            <b/>
            <sz val="9"/>
            <color indexed="81"/>
            <rFont val="Tahoma"/>
            <family val="2"/>
          </rPr>
          <t>&lt;[[DEVDeals] - [Primary Portfolio Property (Seq: 1)] - [Forecast Financials (Seq: 10)] - [Forecast Financial Line Items (Seq: 1)] L4 -06790 -001 - Other Tax Licenses Permitsand Insurance - Both]&gt;</t>
        </r>
      </text>
    </comment>
    <comment ref="O940" authorId="0" shapeId="0" xr:uid="{84E5520B-DAD2-44BF-970A-D63C433CA77A}">
      <text>
        <r>
          <rPr>
            <b/>
            <sz val="9"/>
            <color indexed="81"/>
            <rFont val="Tahoma"/>
            <family val="2"/>
          </rPr>
          <t>&lt;[[DEVDeals] - [Primary Portfolio Property (Seq: 1)] - [Forecast Financials (Seq: 11)] - [Forecast Financial Line Items (Seq: 1)] L4 -06790 -001 - Other Tax Licenses Permitsand Insurance - Both]&gt;</t>
        </r>
      </text>
    </comment>
    <comment ref="P940" authorId="0" shapeId="0" xr:uid="{61B63A56-053C-417A-8134-AD6EEC68802D}">
      <text>
        <r>
          <rPr>
            <b/>
            <sz val="9"/>
            <color indexed="81"/>
            <rFont val="Tahoma"/>
            <family val="2"/>
          </rPr>
          <t>&lt;[[DEVDeals] - [Primary Portfolio Property (Seq: 1)] - [Forecast Financials (Seq: 12)] - [Forecast Financial Line Items (Seq: 1)] L4 -06790 -001 - Other Tax Licenses Permitsand Insurance - Both]&gt;</t>
        </r>
      </text>
    </comment>
    <comment ref="Q940" authorId="0" shapeId="0" xr:uid="{788742BC-A603-4504-97BD-5A63E0188E5E}">
      <text>
        <r>
          <rPr>
            <b/>
            <sz val="9"/>
            <color indexed="81"/>
            <rFont val="Tahoma"/>
            <family val="2"/>
          </rPr>
          <t>&lt;[[DEVDeals] - [Primary Portfolio Property (Seq: 1)] - [Forecast Financials (Seq: 13)] - [Forecast Financial Line Items (Seq: 1)] L4 -06790 -001 - Other Tax Licenses Permitsand Insurance - Both]&gt;</t>
        </r>
      </text>
    </comment>
    <comment ref="R940" authorId="0" shapeId="0" xr:uid="{E5D8C282-6B32-4FF6-B50F-6AEF09DA73BD}">
      <text>
        <r>
          <rPr>
            <b/>
            <sz val="9"/>
            <color indexed="81"/>
            <rFont val="Tahoma"/>
            <family val="2"/>
          </rPr>
          <t>&lt;[[DEVDeals] - [Primary Portfolio Property (Seq: 1)] - [Forecast Financials (Seq: 14)] - [Forecast Financial Line Items (Seq: 1)] L4 -06790 -001 - Other Tax Licenses Permitsand Insurance - Both]&gt;</t>
        </r>
      </text>
    </comment>
    <comment ref="S940" authorId="0" shapeId="0" xr:uid="{FEE6E51D-A995-4DD9-8741-C8CC10E5DC5A}">
      <text>
        <r>
          <rPr>
            <b/>
            <sz val="9"/>
            <color indexed="81"/>
            <rFont val="Tahoma"/>
            <family val="2"/>
          </rPr>
          <t>&lt;[[DEVDeals] - [Primary Portfolio Property (Seq: 1)] - [Forecast Financials (Seq: 15)] - [Forecast Financial Line Items (Seq: 1)] L4 -06790 -001 - Other Tax Licenses Permitsand Insurance - Both]&gt;</t>
        </r>
      </text>
    </comment>
    <comment ref="T940" authorId="0" shapeId="0" xr:uid="{807BF200-13AB-41C9-96BA-3FC40F35CFE7}">
      <text>
        <r>
          <rPr>
            <b/>
            <sz val="9"/>
            <color indexed="81"/>
            <rFont val="Tahoma"/>
            <family val="2"/>
          </rPr>
          <t>&lt;[[DEVDeals] - [Primary Portfolio Property (Seq: 1)] - [Forecast Financials (Seq: 16)] - [Forecast Financial Line Items (Seq: 1)] L4 -06790 -001 - Other Tax Licenses Permitsand Insurance - Both]&gt;</t>
        </r>
      </text>
    </comment>
    <comment ref="U940" authorId="0" shapeId="0" xr:uid="{8ECBFFC8-79DA-4960-B71B-B1795F888171}">
      <text>
        <r>
          <rPr>
            <b/>
            <sz val="9"/>
            <color indexed="81"/>
            <rFont val="Tahoma"/>
            <family val="2"/>
          </rPr>
          <t>&lt;[[DEVDeals] - [Primary Portfolio Property (Seq: 1)] - [Forecast Financials (Seq: 17)] - [Forecast Financial Line Items (Seq: 1)] L4 -06790 -001 - Other Tax Licenses Permitsand Insurance - Both]&gt;</t>
        </r>
      </text>
    </comment>
    <comment ref="V940" authorId="0" shapeId="0" xr:uid="{3FC07192-2C59-47E1-90A6-098A14BF560E}">
      <text>
        <r>
          <rPr>
            <b/>
            <sz val="9"/>
            <color indexed="81"/>
            <rFont val="Tahoma"/>
            <family val="2"/>
          </rPr>
          <t>&lt;[[DEVDeals] - [Primary Portfolio Property (Seq: 1)] - [Forecast Financials (Seq: 18)] - [Forecast Financial Line Items (Seq: 1)] L4 -06790 -001 - Other Tax Licenses Permitsand Insurance - Both]&gt;</t>
        </r>
      </text>
    </comment>
    <comment ref="W940" authorId="0" shapeId="0" xr:uid="{8DD00F6E-445D-465D-B7C9-4CC59982B00F}">
      <text>
        <r>
          <rPr>
            <b/>
            <sz val="9"/>
            <color indexed="81"/>
            <rFont val="Tahoma"/>
            <family val="2"/>
          </rPr>
          <t>&lt;[[DEVDeals] - [Primary Portfolio Property (Seq: 1)] - [Forecast Financials (Seq: 19)] - [Forecast Financial Line Items (Seq: 1)] L4 -06790 -001 - Other Tax Licenses Permitsand Insurance - Both]&gt;</t>
        </r>
      </text>
    </comment>
    <comment ref="X940" authorId="0" shapeId="0" xr:uid="{7719F36B-359E-4766-A9C1-896A75A18273}">
      <text>
        <r>
          <rPr>
            <b/>
            <sz val="9"/>
            <color indexed="81"/>
            <rFont val="Tahoma"/>
            <family val="2"/>
          </rPr>
          <t>&lt;[[DEVDeals] - [Primary Portfolio Property (Seq: 1)] - [Forecast Financials (Seq: 20)] - [Forecast Financial Line Items (Seq: 1)] L4 -06790 -001 - Other Tax Licenses Permitsand Insurance - Both]&gt;</t>
        </r>
      </text>
    </comment>
    <comment ref="E941" authorId="0" shapeId="0" xr:uid="{0C29C2DA-B6DE-45A8-BDA4-2E7FA537065B}">
      <text>
        <r>
          <rPr>
            <b/>
            <sz val="9"/>
            <color indexed="81"/>
            <rFont val="Tahoma"/>
            <family val="2"/>
          </rPr>
          <t>&lt;[[DEVDeals] - [Primary Portfolio Property (Seq: 1)] - [Forecast Financials (Seq: 1)] - [Forecast Financial Line Items (Seq: 1)] L4 -06720 -012 - Property Hazard Insurance Only - Both]&gt;</t>
        </r>
      </text>
    </comment>
    <comment ref="F941" authorId="0" shapeId="0" xr:uid="{737C7351-BAB2-42CB-B1D6-311CD9FE117D}">
      <text>
        <r>
          <rPr>
            <b/>
            <sz val="9"/>
            <color indexed="81"/>
            <rFont val="Tahoma"/>
            <family val="2"/>
          </rPr>
          <t>&lt;[[DEVDeals] - [Primary Portfolio Property (Seq: 1)] - [Forecast Financials (Seq: 2)] - [Forecast Financial Line Items (Seq: 1)] L4 -06720 -012 - Property Hazard Insurance Only - Both]&gt;</t>
        </r>
      </text>
    </comment>
    <comment ref="G941" authorId="0" shapeId="0" xr:uid="{E4672BD5-D50C-43F1-AD67-2D25880A7872}">
      <text>
        <r>
          <rPr>
            <b/>
            <sz val="9"/>
            <color indexed="81"/>
            <rFont val="Tahoma"/>
            <family val="2"/>
          </rPr>
          <t>&lt;[[DEVDeals] - [Primary Portfolio Property (Seq: 1)] - [Forecast Financials (Seq: 3)] - [Forecast Financial Line Items (Seq: 1)] L4 -06720 -012 - Property Hazard Insurance Only - Both]&gt;</t>
        </r>
      </text>
    </comment>
    <comment ref="H941" authorId="0" shapeId="0" xr:uid="{C4B84213-B0BB-4807-B7EE-6B60703116A1}">
      <text>
        <r>
          <rPr>
            <b/>
            <sz val="9"/>
            <color indexed="81"/>
            <rFont val="Tahoma"/>
            <family val="2"/>
          </rPr>
          <t>&lt;[[DEVDeals] - [Primary Portfolio Property (Seq: 1)] - [Forecast Financials (Seq: 4)] - [Forecast Financial Line Items (Seq: 1)] L4 -06720 -012 - Property Hazard Insurance Only - Both]&gt;</t>
        </r>
      </text>
    </comment>
    <comment ref="I941" authorId="0" shapeId="0" xr:uid="{09AE3FE6-98C6-4464-81B4-3D974A76BA53}">
      <text>
        <r>
          <rPr>
            <b/>
            <sz val="9"/>
            <color indexed="81"/>
            <rFont val="Tahoma"/>
            <family val="2"/>
          </rPr>
          <t>&lt;[[DEVDeals] - [Primary Portfolio Property (Seq: 1)] - [Forecast Financials (Seq: 5)] - [Forecast Financial Line Items (Seq: 1)] L4 -06720 -012 - Property Hazard Insurance Only - Both]&gt;</t>
        </r>
      </text>
    </comment>
    <comment ref="J941" authorId="0" shapeId="0" xr:uid="{791F4EC7-B491-4144-B891-6DF2AB3DAABA}">
      <text>
        <r>
          <rPr>
            <b/>
            <sz val="9"/>
            <color indexed="81"/>
            <rFont val="Tahoma"/>
            <family val="2"/>
          </rPr>
          <t>&lt;[[DEVDeals] - [Primary Portfolio Property (Seq: 1)] - [Forecast Financials (Seq: 6)] - [Forecast Financial Line Items (Seq: 1)] L4 -06720 -012 - Property Hazard Insurance Only - Both]&gt;</t>
        </r>
      </text>
    </comment>
    <comment ref="K941" authorId="0" shapeId="0" xr:uid="{E599393A-28A6-490B-9194-476510067AB0}">
      <text>
        <r>
          <rPr>
            <b/>
            <sz val="9"/>
            <color indexed="81"/>
            <rFont val="Tahoma"/>
            <family val="2"/>
          </rPr>
          <t>&lt;[[DEVDeals] - [Primary Portfolio Property (Seq: 1)] - [Forecast Financials (Seq: 7)] - [Forecast Financial Line Items (Seq: 1)] L4 -06720 -012 - Property Hazard Insurance Only - Both]&gt;</t>
        </r>
      </text>
    </comment>
    <comment ref="L941" authorId="0" shapeId="0" xr:uid="{1E3C2EDE-E26A-42DA-AB41-2B267BDF9E0F}">
      <text>
        <r>
          <rPr>
            <b/>
            <sz val="9"/>
            <color indexed="81"/>
            <rFont val="Tahoma"/>
            <family val="2"/>
          </rPr>
          <t>&lt;[[DEVDeals] - [Primary Portfolio Property (Seq: 1)] - [Forecast Financials (Seq: 8)] - [Forecast Financial Line Items (Seq: 1)] L4 -06720 -012 - Property Hazard Insurance Only - Both]&gt;</t>
        </r>
      </text>
    </comment>
    <comment ref="M941" authorId="0" shapeId="0" xr:uid="{FB5023AF-DE4F-4B42-86D0-F4416785E7DB}">
      <text>
        <r>
          <rPr>
            <b/>
            <sz val="9"/>
            <color indexed="81"/>
            <rFont val="Tahoma"/>
            <family val="2"/>
          </rPr>
          <t>&lt;[[DEVDeals] - [Primary Portfolio Property (Seq: 1)] - [Forecast Financials (Seq: 9)] - [Forecast Financial Line Items (Seq: 1)] L4 -06720 -012 - Property Hazard Insurance Only - Both]&gt;</t>
        </r>
      </text>
    </comment>
    <comment ref="N941" authorId="0" shapeId="0" xr:uid="{62D7718B-922F-49BB-A406-DC45D6AA5AAE}">
      <text>
        <r>
          <rPr>
            <b/>
            <sz val="9"/>
            <color indexed="81"/>
            <rFont val="Tahoma"/>
            <family val="2"/>
          </rPr>
          <t>&lt;[[DEVDeals] - [Primary Portfolio Property (Seq: 1)] - [Forecast Financials (Seq: 10)] - [Forecast Financial Line Items (Seq: 1)] L4 -06720 -012 - Property Hazard Insurance Only - Both]&gt;</t>
        </r>
      </text>
    </comment>
    <comment ref="O941" authorId="0" shapeId="0" xr:uid="{78556730-A85C-43C2-86B5-B39805616350}">
      <text>
        <r>
          <rPr>
            <b/>
            <sz val="9"/>
            <color indexed="81"/>
            <rFont val="Tahoma"/>
            <family val="2"/>
          </rPr>
          <t>&lt;[[DEVDeals] - [Primary Portfolio Property (Seq: 1)] - [Forecast Financials (Seq: 11)] - [Forecast Financial Line Items (Seq: 1)] L4 -06720 -012 - Property Hazard Insurance Only - Both]&gt;</t>
        </r>
      </text>
    </comment>
    <comment ref="P941" authorId="0" shapeId="0" xr:uid="{FE1AD724-3E97-4948-85B3-742501DDCFA0}">
      <text>
        <r>
          <rPr>
            <b/>
            <sz val="9"/>
            <color indexed="81"/>
            <rFont val="Tahoma"/>
            <family val="2"/>
          </rPr>
          <t>&lt;[[DEVDeals] - [Primary Portfolio Property (Seq: 1)] - [Forecast Financials (Seq: 12)] - [Forecast Financial Line Items (Seq: 1)] L4 -06720 -012 - Property Hazard Insurance Only - Both]&gt;</t>
        </r>
      </text>
    </comment>
    <comment ref="Q941" authorId="0" shapeId="0" xr:uid="{41BDCB3E-0F60-498C-B8AF-F28C6B14AEB4}">
      <text>
        <r>
          <rPr>
            <b/>
            <sz val="9"/>
            <color indexed="81"/>
            <rFont val="Tahoma"/>
            <family val="2"/>
          </rPr>
          <t>&lt;[[DEVDeals] - [Primary Portfolio Property (Seq: 1)] - [Forecast Financials (Seq: 13)] - [Forecast Financial Line Items (Seq: 1)] L4 -06720 -012 - Property Hazard Insurance Only - Both]&gt;</t>
        </r>
      </text>
    </comment>
    <comment ref="R941" authorId="0" shapeId="0" xr:uid="{E410B9A1-13CC-406B-A014-CC1BE2C46143}">
      <text>
        <r>
          <rPr>
            <b/>
            <sz val="9"/>
            <color indexed="81"/>
            <rFont val="Tahoma"/>
            <family val="2"/>
          </rPr>
          <t>&lt;[[DEVDeals] - [Primary Portfolio Property (Seq: 1)] - [Forecast Financials (Seq: 14)] - [Forecast Financial Line Items (Seq: 1)] L4 -06720 -012 - Property Hazard Insurance Only - Both]&gt;</t>
        </r>
      </text>
    </comment>
    <comment ref="S941" authorId="0" shapeId="0" xr:uid="{92805BDB-11FA-4F4B-9DB0-E5FAD377D943}">
      <text>
        <r>
          <rPr>
            <b/>
            <sz val="9"/>
            <color indexed="81"/>
            <rFont val="Tahoma"/>
            <family val="2"/>
          </rPr>
          <t>&lt;[[DEVDeals] - [Primary Portfolio Property (Seq: 1)] - [Forecast Financials (Seq: 15)] - [Forecast Financial Line Items (Seq: 1)] L4 -06720 -012 - Property Hazard Insurance Only - Both]&gt;</t>
        </r>
      </text>
    </comment>
    <comment ref="T941" authorId="0" shapeId="0" xr:uid="{2EDFFFB0-5EA2-4E7B-BD06-2DE97ED95EC5}">
      <text>
        <r>
          <rPr>
            <b/>
            <sz val="9"/>
            <color indexed="81"/>
            <rFont val="Tahoma"/>
            <family val="2"/>
          </rPr>
          <t>&lt;[[DEVDeals] - [Primary Portfolio Property (Seq: 1)] - [Forecast Financials (Seq: 16)] - [Forecast Financial Line Items (Seq: 1)] L4 -06720 -012 - Property Hazard Insurance Only - Both]&gt;</t>
        </r>
      </text>
    </comment>
    <comment ref="U941" authorId="0" shapeId="0" xr:uid="{20AD13EA-C4C1-4E25-80EF-735C95924F2E}">
      <text>
        <r>
          <rPr>
            <b/>
            <sz val="9"/>
            <color indexed="81"/>
            <rFont val="Tahoma"/>
            <family val="2"/>
          </rPr>
          <t>&lt;[[DEVDeals] - [Primary Portfolio Property (Seq: 1)] - [Forecast Financials (Seq: 17)] - [Forecast Financial Line Items (Seq: 1)] L4 -06720 -012 - Property Hazard Insurance Only - Both]&gt;</t>
        </r>
      </text>
    </comment>
    <comment ref="V941" authorId="0" shapeId="0" xr:uid="{6B974942-5993-4E14-B1B7-48773C5C9D29}">
      <text>
        <r>
          <rPr>
            <b/>
            <sz val="9"/>
            <color indexed="81"/>
            <rFont val="Tahoma"/>
            <family val="2"/>
          </rPr>
          <t>&lt;[[DEVDeals] - [Primary Portfolio Property (Seq: 1)] - [Forecast Financials (Seq: 18)] - [Forecast Financial Line Items (Seq: 1)] L4 -06720 -012 - Property Hazard Insurance Only - Both]&gt;</t>
        </r>
      </text>
    </comment>
    <comment ref="W941" authorId="0" shapeId="0" xr:uid="{308385A0-2946-4B1C-8D6A-F34B97B44054}">
      <text>
        <r>
          <rPr>
            <b/>
            <sz val="9"/>
            <color indexed="81"/>
            <rFont val="Tahoma"/>
            <family val="2"/>
          </rPr>
          <t>&lt;[[DEVDeals] - [Primary Portfolio Property (Seq: 1)] - [Forecast Financials (Seq: 19)] - [Forecast Financial Line Items (Seq: 1)] L4 -06720 -012 - Property Hazard Insurance Only - Both]&gt;</t>
        </r>
      </text>
    </comment>
    <comment ref="X941" authorId="0" shapeId="0" xr:uid="{437B8E7C-9B00-4E1B-BCC7-DCC27297D6B4}">
      <text>
        <r>
          <rPr>
            <b/>
            <sz val="9"/>
            <color indexed="81"/>
            <rFont val="Tahoma"/>
            <family val="2"/>
          </rPr>
          <t>&lt;[[DEVDeals] - [Primary Portfolio Property (Seq: 1)] - [Forecast Financials (Seq: 20)] - [Forecast Financial Line Items (Seq: 1)] L4 -06720 -012 - Property Hazard Insurance Only - Both]&gt;</t>
        </r>
      </text>
    </comment>
    <comment ref="E942" authorId="0" shapeId="0" xr:uid="{2A025763-FED6-4E50-A690-6C63FD583134}">
      <text>
        <r>
          <rPr>
            <b/>
            <sz val="9"/>
            <color indexed="81"/>
            <rFont val="Tahoma"/>
            <family val="2"/>
          </rPr>
          <t>&lt;[[DEVDeals] - [Primary Portfolio Property (Seq: 1)] - [Forecast Financials (Seq: 1)] - [Forecast Financial Line Items (Seq: 1)] L4 -06720 -021 - Liability Insurance - Both]&gt;</t>
        </r>
      </text>
    </comment>
    <comment ref="F942" authorId="0" shapeId="0" xr:uid="{825B89DB-5564-453B-99AE-AA168A6C5774}">
      <text>
        <r>
          <rPr>
            <b/>
            <sz val="9"/>
            <color indexed="81"/>
            <rFont val="Tahoma"/>
            <family val="2"/>
          </rPr>
          <t>&lt;[[DEVDeals] - [Primary Portfolio Property (Seq: 1)] - [Forecast Financials (Seq: 2)] - [Forecast Financial Line Items (Seq: 1)] L4 -06720 -021 - Liability Insurance - Both]&gt;</t>
        </r>
      </text>
    </comment>
    <comment ref="G942" authorId="0" shapeId="0" xr:uid="{848A8E0A-D0C9-4FE5-8D2C-E5CCEF8A9AB6}">
      <text>
        <r>
          <rPr>
            <b/>
            <sz val="9"/>
            <color indexed="81"/>
            <rFont val="Tahoma"/>
            <family val="2"/>
          </rPr>
          <t>&lt;[[DEVDeals] - [Primary Portfolio Property (Seq: 1)] - [Forecast Financials (Seq: 3)] - [Forecast Financial Line Items (Seq: 1)] L4 -06720 -021 - Liability Insurance - Both]&gt;</t>
        </r>
      </text>
    </comment>
    <comment ref="H942" authorId="0" shapeId="0" xr:uid="{EF0B225C-13CB-4119-A73A-80DD64407488}">
      <text>
        <r>
          <rPr>
            <b/>
            <sz val="9"/>
            <color indexed="81"/>
            <rFont val="Tahoma"/>
            <family val="2"/>
          </rPr>
          <t>&lt;[[DEVDeals] - [Primary Portfolio Property (Seq: 1)] - [Forecast Financials (Seq: 4)] - [Forecast Financial Line Items (Seq: 1)] L4 -06720 -021 - Liability Insurance - Both]&gt;</t>
        </r>
      </text>
    </comment>
    <comment ref="I942" authorId="0" shapeId="0" xr:uid="{0B1B3BEB-65A9-433C-A3A6-B5FF8D052A66}">
      <text>
        <r>
          <rPr>
            <b/>
            <sz val="9"/>
            <color indexed="81"/>
            <rFont val="Tahoma"/>
            <family val="2"/>
          </rPr>
          <t>&lt;[[DEVDeals] - [Primary Portfolio Property (Seq: 1)] - [Forecast Financials (Seq: 5)] - [Forecast Financial Line Items (Seq: 1)] L4 -06720 -021 - Liability Insurance - Both]&gt;</t>
        </r>
      </text>
    </comment>
    <comment ref="J942" authorId="0" shapeId="0" xr:uid="{FD23F327-7930-4693-A44A-D6DA5A086309}">
      <text>
        <r>
          <rPr>
            <b/>
            <sz val="9"/>
            <color indexed="81"/>
            <rFont val="Tahoma"/>
            <family val="2"/>
          </rPr>
          <t>&lt;[[DEVDeals] - [Primary Portfolio Property (Seq: 1)] - [Forecast Financials (Seq: 6)] - [Forecast Financial Line Items (Seq: 1)] L4 -06720 -021 - Liability Insurance - Both]&gt;</t>
        </r>
      </text>
    </comment>
    <comment ref="K942" authorId="0" shapeId="0" xr:uid="{1B6E0F8A-314C-4FCC-84CA-726D704040AA}">
      <text>
        <r>
          <rPr>
            <b/>
            <sz val="9"/>
            <color indexed="81"/>
            <rFont val="Tahoma"/>
            <family val="2"/>
          </rPr>
          <t>&lt;[[DEVDeals] - [Primary Portfolio Property (Seq: 1)] - [Forecast Financials (Seq: 7)] - [Forecast Financial Line Items (Seq: 1)] L4 -06720 -021 - Liability Insurance - Both]&gt;</t>
        </r>
      </text>
    </comment>
    <comment ref="L942" authorId="0" shapeId="0" xr:uid="{FCBBAB2D-1ED0-4387-A83F-0327335F7664}">
      <text>
        <r>
          <rPr>
            <b/>
            <sz val="9"/>
            <color indexed="81"/>
            <rFont val="Tahoma"/>
            <family val="2"/>
          </rPr>
          <t>&lt;[[DEVDeals] - [Primary Portfolio Property (Seq: 1)] - [Forecast Financials (Seq: 8)] - [Forecast Financial Line Items (Seq: 1)] L4 -06720 -021 - Liability Insurance - Both]&gt;</t>
        </r>
      </text>
    </comment>
    <comment ref="M942" authorId="0" shapeId="0" xr:uid="{A86BB06A-17D2-41F4-B6E0-32F95675D058}">
      <text>
        <r>
          <rPr>
            <b/>
            <sz val="9"/>
            <color indexed="81"/>
            <rFont val="Tahoma"/>
            <family val="2"/>
          </rPr>
          <t>&lt;[[DEVDeals] - [Primary Portfolio Property (Seq: 1)] - [Forecast Financials (Seq: 9)] - [Forecast Financial Line Items (Seq: 1)] L4 -06720 -021 - Liability Insurance - Both]&gt;</t>
        </r>
      </text>
    </comment>
    <comment ref="N942" authorId="0" shapeId="0" xr:uid="{B790097B-D469-48D1-B053-0B8F7738370B}">
      <text>
        <r>
          <rPr>
            <b/>
            <sz val="9"/>
            <color indexed="81"/>
            <rFont val="Tahoma"/>
            <family val="2"/>
          </rPr>
          <t>&lt;[[DEVDeals] - [Primary Portfolio Property (Seq: 1)] - [Forecast Financials (Seq: 10)] - [Forecast Financial Line Items (Seq: 1)] L4 -06720 -021 - Liability Insurance - Both]&gt;</t>
        </r>
      </text>
    </comment>
    <comment ref="O942" authorId="0" shapeId="0" xr:uid="{B7AF7766-125E-4A7D-94E5-27E30D221A19}">
      <text>
        <r>
          <rPr>
            <b/>
            <sz val="9"/>
            <color indexed="81"/>
            <rFont val="Tahoma"/>
            <family val="2"/>
          </rPr>
          <t>&lt;[[DEVDeals] - [Primary Portfolio Property (Seq: 1)] - [Forecast Financials (Seq: 11)] - [Forecast Financial Line Items (Seq: 1)] L4 -06720 -021 - Liability Insurance - Both]&gt;</t>
        </r>
      </text>
    </comment>
    <comment ref="P942" authorId="0" shapeId="0" xr:uid="{663BC3E4-7AFA-4EEF-AF42-C3024CC06BA0}">
      <text>
        <r>
          <rPr>
            <b/>
            <sz val="9"/>
            <color indexed="81"/>
            <rFont val="Tahoma"/>
            <family val="2"/>
          </rPr>
          <t>&lt;[[DEVDeals] - [Primary Portfolio Property (Seq: 1)] - [Forecast Financials (Seq: 12)] - [Forecast Financial Line Items (Seq: 1)] L4 -06720 -021 - Liability Insurance - Both]&gt;</t>
        </r>
      </text>
    </comment>
    <comment ref="Q942" authorId="0" shapeId="0" xr:uid="{D429CB0F-04B8-460B-A25B-F7C4CC71F196}">
      <text>
        <r>
          <rPr>
            <b/>
            <sz val="9"/>
            <color indexed="81"/>
            <rFont val="Tahoma"/>
            <family val="2"/>
          </rPr>
          <t>&lt;[[DEVDeals] - [Primary Portfolio Property (Seq: 1)] - [Forecast Financials (Seq: 13)] - [Forecast Financial Line Items (Seq: 1)] L4 -06720 -021 - Liability Insurance - Both]&gt;</t>
        </r>
      </text>
    </comment>
    <comment ref="R942" authorId="0" shapeId="0" xr:uid="{4F3335B7-D5AE-4B7E-9A21-7823418B4E6F}">
      <text>
        <r>
          <rPr>
            <b/>
            <sz val="9"/>
            <color indexed="81"/>
            <rFont val="Tahoma"/>
            <family val="2"/>
          </rPr>
          <t>&lt;[[DEVDeals] - [Primary Portfolio Property (Seq: 1)] - [Forecast Financials (Seq: 14)] - [Forecast Financial Line Items (Seq: 1)] L4 -06720 -021 - Liability Insurance - Both]&gt;</t>
        </r>
      </text>
    </comment>
    <comment ref="S942" authorId="0" shapeId="0" xr:uid="{F5C42C76-E1CC-41B0-85CA-3894670DDB8F}">
      <text>
        <r>
          <rPr>
            <b/>
            <sz val="9"/>
            <color indexed="81"/>
            <rFont val="Tahoma"/>
            <family val="2"/>
          </rPr>
          <t>&lt;[[DEVDeals] - [Primary Portfolio Property (Seq: 1)] - [Forecast Financials (Seq: 15)] - [Forecast Financial Line Items (Seq: 1)] L4 -06720 -021 - Liability Insurance - Both]&gt;</t>
        </r>
      </text>
    </comment>
    <comment ref="T942" authorId="0" shapeId="0" xr:uid="{2595AB11-E74B-4289-AEFF-8CC9751099B5}">
      <text>
        <r>
          <rPr>
            <b/>
            <sz val="9"/>
            <color indexed="81"/>
            <rFont val="Tahoma"/>
            <family val="2"/>
          </rPr>
          <t>&lt;[[DEVDeals] - [Primary Portfolio Property (Seq: 1)] - [Forecast Financials (Seq: 16)] - [Forecast Financial Line Items (Seq: 1)] L4 -06720 -021 - Liability Insurance - Both]&gt;</t>
        </r>
      </text>
    </comment>
    <comment ref="U942" authorId="0" shapeId="0" xr:uid="{EEDEBF8F-EED1-4009-825E-2947B3C1DA71}">
      <text>
        <r>
          <rPr>
            <b/>
            <sz val="9"/>
            <color indexed="81"/>
            <rFont val="Tahoma"/>
            <family val="2"/>
          </rPr>
          <t>&lt;[[DEVDeals] - [Primary Portfolio Property (Seq: 1)] - [Forecast Financials (Seq: 17)] - [Forecast Financial Line Items (Seq: 1)] L4 -06720 -021 - Liability Insurance - Both]&gt;</t>
        </r>
      </text>
    </comment>
    <comment ref="V942" authorId="0" shapeId="0" xr:uid="{25AF9FFA-50B2-41F6-90D1-F9E6A53BB4B7}">
      <text>
        <r>
          <rPr>
            <b/>
            <sz val="9"/>
            <color indexed="81"/>
            <rFont val="Tahoma"/>
            <family val="2"/>
          </rPr>
          <t>&lt;[[DEVDeals] - [Primary Portfolio Property (Seq: 1)] - [Forecast Financials (Seq: 18)] - [Forecast Financial Line Items (Seq: 1)] L4 -06720 -021 - Liability Insurance - Both]&gt;</t>
        </r>
      </text>
    </comment>
    <comment ref="W942" authorId="0" shapeId="0" xr:uid="{099BB1B8-6511-4043-ACCF-960BA40B0D26}">
      <text>
        <r>
          <rPr>
            <b/>
            <sz val="9"/>
            <color indexed="81"/>
            <rFont val="Tahoma"/>
            <family val="2"/>
          </rPr>
          <t>&lt;[[DEVDeals] - [Primary Portfolio Property (Seq: 1)] - [Forecast Financials (Seq: 19)] - [Forecast Financial Line Items (Seq: 1)] L4 -06720 -021 - Liability Insurance - Both]&gt;</t>
        </r>
      </text>
    </comment>
    <comment ref="X942" authorId="0" shapeId="0" xr:uid="{F26E911E-4D03-44F0-B524-B0EC63988E7C}">
      <text>
        <r>
          <rPr>
            <b/>
            <sz val="9"/>
            <color indexed="81"/>
            <rFont val="Tahoma"/>
            <family val="2"/>
          </rPr>
          <t>&lt;[[DEVDeals] - [Primary Portfolio Property (Seq: 1)] - [Forecast Financials (Seq: 20)] - [Forecast Financial Line Items (Seq: 1)] L4 -06720 -021 - Liability Insurance - Both]&gt;</t>
        </r>
      </text>
    </comment>
    <comment ref="E943" authorId="0" shapeId="0" xr:uid="{696DEA3F-7981-485E-9D38-BEC88C77A306}">
      <text>
        <r>
          <rPr>
            <b/>
            <sz val="9"/>
            <color indexed="81"/>
            <rFont val="Tahoma"/>
            <family val="2"/>
          </rPr>
          <t>&lt;[[DEVDeals] - [Primary Portfolio Property (Seq: 1)] - [Forecast Financials (Seq: 1)] - [Forecast Financial Line Items (Seq: 1)] L4 -06723 -011 - Fidelity Bond Insurance - Both]&gt;</t>
        </r>
      </text>
    </comment>
    <comment ref="F943" authorId="0" shapeId="0" xr:uid="{E0FB450C-B3EB-4C4B-A922-26CE8EF75EFF}">
      <text>
        <r>
          <rPr>
            <b/>
            <sz val="9"/>
            <color indexed="81"/>
            <rFont val="Tahoma"/>
            <family val="2"/>
          </rPr>
          <t>&lt;[[DEVDeals] - [Primary Portfolio Property (Seq: 1)] - [Forecast Financials (Seq: 2)] - [Forecast Financial Line Items (Seq: 1)] L4 -06723 -011 - Fidelity Bond Insurance - Both]&gt;</t>
        </r>
      </text>
    </comment>
    <comment ref="G943" authorId="0" shapeId="0" xr:uid="{AA88C56E-22D4-49C8-B1CA-52851A0C5BF0}">
      <text>
        <r>
          <rPr>
            <b/>
            <sz val="9"/>
            <color indexed="81"/>
            <rFont val="Tahoma"/>
            <family val="2"/>
          </rPr>
          <t>&lt;[[DEVDeals] - [Primary Portfolio Property (Seq: 1)] - [Forecast Financials (Seq: 3)] - [Forecast Financial Line Items (Seq: 1)] L4 -06723 -011 - Fidelity Bond Insurance - Both]&gt;</t>
        </r>
      </text>
    </comment>
    <comment ref="H943" authorId="0" shapeId="0" xr:uid="{68F2A5E1-E6C4-42FF-BE37-0468FE49199A}">
      <text>
        <r>
          <rPr>
            <b/>
            <sz val="9"/>
            <color indexed="81"/>
            <rFont val="Tahoma"/>
            <family val="2"/>
          </rPr>
          <t>&lt;[[DEVDeals] - [Primary Portfolio Property (Seq: 1)] - [Forecast Financials (Seq: 4)] - [Forecast Financial Line Items (Seq: 1)] L4 -06723 -011 - Fidelity Bond Insurance - Both]&gt;</t>
        </r>
      </text>
    </comment>
    <comment ref="I943" authorId="0" shapeId="0" xr:uid="{ABADF7C3-78EE-4A71-B1C5-E6D0241FC7AC}">
      <text>
        <r>
          <rPr>
            <b/>
            <sz val="9"/>
            <color indexed="81"/>
            <rFont val="Tahoma"/>
            <family val="2"/>
          </rPr>
          <t>&lt;[[DEVDeals] - [Primary Portfolio Property (Seq: 1)] - [Forecast Financials (Seq: 5)] - [Forecast Financial Line Items (Seq: 1)] L4 -06723 -011 - Fidelity Bond Insurance - Both]&gt;</t>
        </r>
      </text>
    </comment>
    <comment ref="J943" authorId="0" shapeId="0" xr:uid="{516FDCF5-FA29-42C2-91EB-CAC5CFF0A6A0}">
      <text>
        <r>
          <rPr>
            <b/>
            <sz val="9"/>
            <color indexed="81"/>
            <rFont val="Tahoma"/>
            <family val="2"/>
          </rPr>
          <t>&lt;[[DEVDeals] - [Primary Portfolio Property (Seq: 1)] - [Forecast Financials (Seq: 6)] - [Forecast Financial Line Items (Seq: 1)] L4 -06723 -011 - Fidelity Bond Insurance - Both]&gt;</t>
        </r>
      </text>
    </comment>
    <comment ref="K943" authorId="0" shapeId="0" xr:uid="{49103FB6-CA54-479E-A208-9BC0939E80DB}">
      <text>
        <r>
          <rPr>
            <b/>
            <sz val="9"/>
            <color indexed="81"/>
            <rFont val="Tahoma"/>
            <family val="2"/>
          </rPr>
          <t>&lt;[[DEVDeals] - [Primary Portfolio Property (Seq: 1)] - [Forecast Financials (Seq: 7)] - [Forecast Financial Line Items (Seq: 1)] L4 -06723 -011 - Fidelity Bond Insurance - Both]&gt;</t>
        </r>
      </text>
    </comment>
    <comment ref="L943" authorId="0" shapeId="0" xr:uid="{7C209A0D-DB47-43AD-91BB-5AA3C1C8726A}">
      <text>
        <r>
          <rPr>
            <b/>
            <sz val="9"/>
            <color indexed="81"/>
            <rFont val="Tahoma"/>
            <family val="2"/>
          </rPr>
          <t>&lt;[[DEVDeals] - [Primary Portfolio Property (Seq: 1)] - [Forecast Financials (Seq: 8)] - [Forecast Financial Line Items (Seq: 1)] L4 -06723 -011 - Fidelity Bond Insurance - Both]&gt;</t>
        </r>
      </text>
    </comment>
    <comment ref="M943" authorId="0" shapeId="0" xr:uid="{CCFAA581-3E20-49F1-AD91-E5722471DC3B}">
      <text>
        <r>
          <rPr>
            <b/>
            <sz val="9"/>
            <color indexed="81"/>
            <rFont val="Tahoma"/>
            <family val="2"/>
          </rPr>
          <t>&lt;[[DEVDeals] - [Primary Portfolio Property (Seq: 1)] - [Forecast Financials (Seq: 9)] - [Forecast Financial Line Items (Seq: 1)] L4 -06723 -011 - Fidelity Bond Insurance - Both]&gt;</t>
        </r>
      </text>
    </comment>
    <comment ref="N943" authorId="0" shapeId="0" xr:uid="{C6EB77A2-D457-4711-9160-7D2502CC8EE0}">
      <text>
        <r>
          <rPr>
            <b/>
            <sz val="9"/>
            <color indexed="81"/>
            <rFont val="Tahoma"/>
            <family val="2"/>
          </rPr>
          <t>&lt;[[DEVDeals] - [Primary Portfolio Property (Seq: 1)] - [Forecast Financials (Seq: 10)] - [Forecast Financial Line Items (Seq: 1)] L4 -06723 -011 - Fidelity Bond Insurance - Both]&gt;</t>
        </r>
      </text>
    </comment>
    <comment ref="O943" authorId="0" shapeId="0" xr:uid="{968A467A-72F3-4479-BC4D-6D21D900E17A}">
      <text>
        <r>
          <rPr>
            <b/>
            <sz val="9"/>
            <color indexed="81"/>
            <rFont val="Tahoma"/>
            <family val="2"/>
          </rPr>
          <t>&lt;[[DEVDeals] - [Primary Portfolio Property (Seq: 1)] - [Forecast Financials (Seq: 11)] - [Forecast Financial Line Items (Seq: 1)] L4 -06723 -011 - Fidelity Bond Insurance - Both]&gt;</t>
        </r>
      </text>
    </comment>
    <comment ref="P943" authorId="0" shapeId="0" xr:uid="{C3E37540-0F2C-4569-A3EC-16AC6219C5C3}">
      <text>
        <r>
          <rPr>
            <b/>
            <sz val="9"/>
            <color indexed="81"/>
            <rFont val="Tahoma"/>
            <family val="2"/>
          </rPr>
          <t>&lt;[[DEVDeals] - [Primary Portfolio Property (Seq: 1)] - [Forecast Financials (Seq: 12)] - [Forecast Financial Line Items (Seq: 1)] L4 -06723 -011 - Fidelity Bond Insurance - Both]&gt;</t>
        </r>
      </text>
    </comment>
    <comment ref="Q943" authorId="0" shapeId="0" xr:uid="{538E3409-630A-469D-B133-9BA6A98ED7C3}">
      <text>
        <r>
          <rPr>
            <b/>
            <sz val="9"/>
            <color indexed="81"/>
            <rFont val="Tahoma"/>
            <family val="2"/>
          </rPr>
          <t>&lt;[[DEVDeals] - [Primary Portfolio Property (Seq: 1)] - [Forecast Financials (Seq: 13)] - [Forecast Financial Line Items (Seq: 1)] L4 -06723 -011 - Fidelity Bond Insurance - Both]&gt;</t>
        </r>
      </text>
    </comment>
    <comment ref="R943" authorId="0" shapeId="0" xr:uid="{71CF40E6-A939-4382-A07C-C8459C16B329}">
      <text>
        <r>
          <rPr>
            <b/>
            <sz val="9"/>
            <color indexed="81"/>
            <rFont val="Tahoma"/>
            <family val="2"/>
          </rPr>
          <t>&lt;[[DEVDeals] - [Primary Portfolio Property (Seq: 1)] - [Forecast Financials (Seq: 14)] - [Forecast Financial Line Items (Seq: 1)] L4 -06723 -011 - Fidelity Bond Insurance - Both]&gt;</t>
        </r>
      </text>
    </comment>
    <comment ref="S943" authorId="0" shapeId="0" xr:uid="{A085723F-E2D9-4F3C-B608-05CAAFF59AD3}">
      <text>
        <r>
          <rPr>
            <b/>
            <sz val="9"/>
            <color indexed="81"/>
            <rFont val="Tahoma"/>
            <family val="2"/>
          </rPr>
          <t>&lt;[[DEVDeals] - [Primary Portfolio Property (Seq: 1)] - [Forecast Financials (Seq: 15)] - [Forecast Financial Line Items (Seq: 1)] L4 -06723 -011 - Fidelity Bond Insurance - Both]&gt;</t>
        </r>
      </text>
    </comment>
    <comment ref="T943" authorId="0" shapeId="0" xr:uid="{A8853B8F-D3B1-4AC4-8733-BEEF4B56763E}">
      <text>
        <r>
          <rPr>
            <b/>
            <sz val="9"/>
            <color indexed="81"/>
            <rFont val="Tahoma"/>
            <family val="2"/>
          </rPr>
          <t>&lt;[[DEVDeals] - [Primary Portfolio Property (Seq: 1)] - [Forecast Financials (Seq: 16)] - [Forecast Financial Line Items (Seq: 1)] L4 -06723 -011 - Fidelity Bond Insurance - Both]&gt;</t>
        </r>
      </text>
    </comment>
    <comment ref="U943" authorId="0" shapeId="0" xr:uid="{DDBDC934-2E47-4381-97F8-AC6A4173902B}">
      <text>
        <r>
          <rPr>
            <b/>
            <sz val="9"/>
            <color indexed="81"/>
            <rFont val="Tahoma"/>
            <family val="2"/>
          </rPr>
          <t>&lt;[[DEVDeals] - [Primary Portfolio Property (Seq: 1)] - [Forecast Financials (Seq: 17)] - [Forecast Financial Line Items (Seq: 1)] L4 -06723 -011 - Fidelity Bond Insurance - Both]&gt;</t>
        </r>
      </text>
    </comment>
    <comment ref="V943" authorId="0" shapeId="0" xr:uid="{040F644E-3A00-41E4-83D3-F7979B3B77D2}">
      <text>
        <r>
          <rPr>
            <b/>
            <sz val="9"/>
            <color indexed="81"/>
            <rFont val="Tahoma"/>
            <family val="2"/>
          </rPr>
          <t>&lt;[[DEVDeals] - [Primary Portfolio Property (Seq: 1)] - [Forecast Financials (Seq: 18)] - [Forecast Financial Line Items (Seq: 1)] L4 -06723 -011 - Fidelity Bond Insurance - Both]&gt;</t>
        </r>
      </text>
    </comment>
    <comment ref="W943" authorId="0" shapeId="0" xr:uid="{088705DB-4A15-4F7B-BAFC-5CF54B7C8B3A}">
      <text>
        <r>
          <rPr>
            <b/>
            <sz val="9"/>
            <color indexed="81"/>
            <rFont val="Tahoma"/>
            <family val="2"/>
          </rPr>
          <t>&lt;[[DEVDeals] - [Primary Portfolio Property (Seq: 1)] - [Forecast Financials (Seq: 19)] - [Forecast Financial Line Items (Seq: 1)] L4 -06723 -011 - Fidelity Bond Insurance - Both]&gt;</t>
        </r>
      </text>
    </comment>
    <comment ref="X943" authorId="0" shapeId="0" xr:uid="{63D643A9-73AF-48A8-9EB0-AF60C72FEEB0}">
      <text>
        <r>
          <rPr>
            <b/>
            <sz val="9"/>
            <color indexed="81"/>
            <rFont val="Tahoma"/>
            <family val="2"/>
          </rPr>
          <t>&lt;[[DEVDeals] - [Primary Portfolio Property (Seq: 1)] - [Forecast Financials (Seq: 20)] - [Forecast Financial Line Items (Seq: 1)] L4 -06723 -011 - Fidelity Bond Insurance - Both]&gt;</t>
        </r>
      </text>
    </comment>
    <comment ref="E944" authorId="0" shapeId="0" xr:uid="{8D4FB0A1-B4BB-4EB0-9B6B-08F699131D85}">
      <text>
        <r>
          <rPr>
            <b/>
            <sz val="9"/>
            <color indexed="81"/>
            <rFont val="Tahoma"/>
            <family val="2"/>
          </rPr>
          <t>&lt;[[DEVDeals] - [Primary Portfolio Property (Seq: 1)] - [Forecast Financials (Seq: 1)] - [Forecast Financial Line Items (Seq: 1)] L4 -06723 -021 - Workmens Compensation - Both]&gt;</t>
        </r>
      </text>
    </comment>
    <comment ref="F944" authorId="0" shapeId="0" xr:uid="{E864A0D3-1C39-4FA5-9E07-5578168A2067}">
      <text>
        <r>
          <rPr>
            <b/>
            <sz val="9"/>
            <color indexed="81"/>
            <rFont val="Tahoma"/>
            <family val="2"/>
          </rPr>
          <t>&lt;[[DEVDeals] - [Primary Portfolio Property (Seq: 1)] - [Forecast Financials (Seq: 2)] - [Forecast Financial Line Items (Seq: 1)] L4 -06723 -021 - Workmens Compensation - Both]&gt;</t>
        </r>
      </text>
    </comment>
    <comment ref="G944" authorId="0" shapeId="0" xr:uid="{446EDB48-A8DD-455F-960F-6B6B6A8FB1D6}">
      <text>
        <r>
          <rPr>
            <b/>
            <sz val="9"/>
            <color indexed="81"/>
            <rFont val="Tahoma"/>
            <family val="2"/>
          </rPr>
          <t>&lt;[[DEVDeals] - [Primary Portfolio Property (Seq: 1)] - [Forecast Financials (Seq: 3)] - [Forecast Financial Line Items (Seq: 1)] L4 -06723 -021 - Workmens Compensation - Both]&gt;</t>
        </r>
      </text>
    </comment>
    <comment ref="H944" authorId="0" shapeId="0" xr:uid="{5AE1D392-DA1F-4320-B37B-97209BFDE587}">
      <text>
        <r>
          <rPr>
            <b/>
            <sz val="9"/>
            <color indexed="81"/>
            <rFont val="Tahoma"/>
            <family val="2"/>
          </rPr>
          <t>&lt;[[DEVDeals] - [Primary Portfolio Property (Seq: 1)] - [Forecast Financials (Seq: 4)] - [Forecast Financial Line Items (Seq: 1)] L4 -06723 -021 - Workmens Compensation - Both]&gt;</t>
        </r>
      </text>
    </comment>
    <comment ref="I944" authorId="0" shapeId="0" xr:uid="{86A47915-4199-468C-9431-3FC635FF0BAF}">
      <text>
        <r>
          <rPr>
            <b/>
            <sz val="9"/>
            <color indexed="81"/>
            <rFont val="Tahoma"/>
            <family val="2"/>
          </rPr>
          <t>&lt;[[DEVDeals] - [Primary Portfolio Property (Seq: 1)] - [Forecast Financials (Seq: 5)] - [Forecast Financial Line Items (Seq: 1)] L4 -06723 -021 - Workmens Compensation - Both]&gt;</t>
        </r>
      </text>
    </comment>
    <comment ref="J944" authorId="0" shapeId="0" xr:uid="{7C54DEDE-4A74-470A-96D9-BCDCCE8D7819}">
      <text>
        <r>
          <rPr>
            <b/>
            <sz val="9"/>
            <color indexed="81"/>
            <rFont val="Tahoma"/>
            <family val="2"/>
          </rPr>
          <t>&lt;[[DEVDeals] - [Primary Portfolio Property (Seq: 1)] - [Forecast Financials (Seq: 6)] - [Forecast Financial Line Items (Seq: 1)] L4 -06723 -021 - Workmens Compensation - Both]&gt;</t>
        </r>
      </text>
    </comment>
    <comment ref="K944" authorId="0" shapeId="0" xr:uid="{96FCEEE8-3BDA-49D4-AB34-F30ACACC6D07}">
      <text>
        <r>
          <rPr>
            <b/>
            <sz val="9"/>
            <color indexed="81"/>
            <rFont val="Tahoma"/>
            <family val="2"/>
          </rPr>
          <t>&lt;[[DEVDeals] - [Primary Portfolio Property (Seq: 1)] - [Forecast Financials (Seq: 7)] - [Forecast Financial Line Items (Seq: 1)] L4 -06723 -021 - Workmens Compensation - Both]&gt;</t>
        </r>
      </text>
    </comment>
    <comment ref="L944" authorId="0" shapeId="0" xr:uid="{60ECD8B7-614A-48A5-848D-802BAC4740A0}">
      <text>
        <r>
          <rPr>
            <b/>
            <sz val="9"/>
            <color indexed="81"/>
            <rFont val="Tahoma"/>
            <family val="2"/>
          </rPr>
          <t>&lt;[[DEVDeals] - [Primary Portfolio Property (Seq: 1)] - [Forecast Financials (Seq: 8)] - [Forecast Financial Line Items (Seq: 1)] L4 -06723 -021 - Workmens Compensation - Both]&gt;</t>
        </r>
      </text>
    </comment>
    <comment ref="M944" authorId="0" shapeId="0" xr:uid="{F3F11852-2E7D-448A-B2DA-A7CCB80FF134}">
      <text>
        <r>
          <rPr>
            <b/>
            <sz val="9"/>
            <color indexed="81"/>
            <rFont val="Tahoma"/>
            <family val="2"/>
          </rPr>
          <t>&lt;[[DEVDeals] - [Primary Portfolio Property (Seq: 1)] - [Forecast Financials (Seq: 9)] - [Forecast Financial Line Items (Seq: 1)] L4 -06723 -021 - Workmens Compensation - Both]&gt;</t>
        </r>
      </text>
    </comment>
    <comment ref="N944" authorId="0" shapeId="0" xr:uid="{60A60DE4-2F5C-4C09-83E1-5D1A3412DCA4}">
      <text>
        <r>
          <rPr>
            <b/>
            <sz val="9"/>
            <color indexed="81"/>
            <rFont val="Tahoma"/>
            <family val="2"/>
          </rPr>
          <t>&lt;[[DEVDeals] - [Primary Portfolio Property (Seq: 1)] - [Forecast Financials (Seq: 10)] - [Forecast Financial Line Items (Seq: 1)] L4 -06723 -021 - Workmens Compensation - Both]&gt;</t>
        </r>
      </text>
    </comment>
    <comment ref="O944" authorId="0" shapeId="0" xr:uid="{5380BA37-4E6E-46FB-8764-CA958DD9A562}">
      <text>
        <r>
          <rPr>
            <b/>
            <sz val="9"/>
            <color indexed="81"/>
            <rFont val="Tahoma"/>
            <family val="2"/>
          </rPr>
          <t>&lt;[[DEVDeals] - [Primary Portfolio Property (Seq: 1)] - [Forecast Financials (Seq: 11)] - [Forecast Financial Line Items (Seq: 1)] L4 -06723 -021 - Workmens Compensation - Both]&gt;</t>
        </r>
      </text>
    </comment>
    <comment ref="P944" authorId="0" shapeId="0" xr:uid="{FB8D2E10-1E92-4C8F-8E7A-3DF3E11F0E48}">
      <text>
        <r>
          <rPr>
            <b/>
            <sz val="9"/>
            <color indexed="81"/>
            <rFont val="Tahoma"/>
            <family val="2"/>
          </rPr>
          <t>&lt;[[DEVDeals] - [Primary Portfolio Property (Seq: 1)] - [Forecast Financials (Seq: 12)] - [Forecast Financial Line Items (Seq: 1)] L4 -06723 -021 - Workmens Compensation - Both]&gt;</t>
        </r>
      </text>
    </comment>
    <comment ref="Q944" authorId="0" shapeId="0" xr:uid="{C198CF30-5F98-4484-AD09-E4BA70749553}">
      <text>
        <r>
          <rPr>
            <b/>
            <sz val="9"/>
            <color indexed="81"/>
            <rFont val="Tahoma"/>
            <family val="2"/>
          </rPr>
          <t>&lt;[[DEVDeals] - [Primary Portfolio Property (Seq: 1)] - [Forecast Financials (Seq: 13)] - [Forecast Financial Line Items (Seq: 1)] L4 -06723 -021 - Workmens Compensation - Both]&gt;</t>
        </r>
      </text>
    </comment>
    <comment ref="R944" authorId="0" shapeId="0" xr:uid="{0B3F8EFC-3709-4522-9D47-41D90738AB18}">
      <text>
        <r>
          <rPr>
            <b/>
            <sz val="9"/>
            <color indexed="81"/>
            <rFont val="Tahoma"/>
            <family val="2"/>
          </rPr>
          <t>&lt;[[DEVDeals] - [Primary Portfolio Property (Seq: 1)] - [Forecast Financials (Seq: 14)] - [Forecast Financial Line Items (Seq: 1)] L4 -06723 -021 - Workmens Compensation - Both]&gt;</t>
        </r>
      </text>
    </comment>
    <comment ref="S944" authorId="0" shapeId="0" xr:uid="{83001D68-D2E0-49B1-AA03-839D61D3B0E2}">
      <text>
        <r>
          <rPr>
            <b/>
            <sz val="9"/>
            <color indexed="81"/>
            <rFont val="Tahoma"/>
            <family val="2"/>
          </rPr>
          <t>&lt;[[DEVDeals] - [Primary Portfolio Property (Seq: 1)] - [Forecast Financials (Seq: 15)] - [Forecast Financial Line Items (Seq: 1)] L4 -06723 -021 - Workmens Compensation - Both]&gt;</t>
        </r>
      </text>
    </comment>
    <comment ref="T944" authorId="0" shapeId="0" xr:uid="{FAFCD4E7-7DFF-461B-B215-2D876A2AC925}">
      <text>
        <r>
          <rPr>
            <b/>
            <sz val="9"/>
            <color indexed="81"/>
            <rFont val="Tahoma"/>
            <family val="2"/>
          </rPr>
          <t>&lt;[[DEVDeals] - [Primary Portfolio Property (Seq: 1)] - [Forecast Financials (Seq: 16)] - [Forecast Financial Line Items (Seq: 1)] L4 -06723 -021 - Workmens Compensation - Both]&gt;</t>
        </r>
      </text>
    </comment>
    <comment ref="U944" authorId="0" shapeId="0" xr:uid="{509A81AF-FFDE-41DA-85E5-76B34D19F27D}">
      <text>
        <r>
          <rPr>
            <b/>
            <sz val="9"/>
            <color indexed="81"/>
            <rFont val="Tahoma"/>
            <family val="2"/>
          </rPr>
          <t>&lt;[[DEVDeals] - [Primary Portfolio Property (Seq: 1)] - [Forecast Financials (Seq: 17)] - [Forecast Financial Line Items (Seq: 1)] L4 -06723 -021 - Workmens Compensation - Both]&gt;</t>
        </r>
      </text>
    </comment>
    <comment ref="V944" authorId="0" shapeId="0" xr:uid="{F0114368-D73B-4C2A-86AA-FD024A0D88B5}">
      <text>
        <r>
          <rPr>
            <b/>
            <sz val="9"/>
            <color indexed="81"/>
            <rFont val="Tahoma"/>
            <family val="2"/>
          </rPr>
          <t>&lt;[[DEVDeals] - [Primary Portfolio Property (Seq: 1)] - [Forecast Financials (Seq: 18)] - [Forecast Financial Line Items (Seq: 1)] L4 -06723 -021 - Workmens Compensation - Both]&gt;</t>
        </r>
      </text>
    </comment>
    <comment ref="W944" authorId="0" shapeId="0" xr:uid="{B409D637-4386-48BB-97C8-E053E8793B48}">
      <text>
        <r>
          <rPr>
            <b/>
            <sz val="9"/>
            <color indexed="81"/>
            <rFont val="Tahoma"/>
            <family val="2"/>
          </rPr>
          <t>&lt;[[DEVDeals] - [Primary Portfolio Property (Seq: 1)] - [Forecast Financials (Seq: 19)] - [Forecast Financial Line Items (Seq: 1)] L4 -06723 -021 - Workmens Compensation - Both]&gt;</t>
        </r>
      </text>
    </comment>
    <comment ref="X944" authorId="0" shapeId="0" xr:uid="{8C96A4BD-4207-4E34-824E-E7728776C4BA}">
      <text>
        <r>
          <rPr>
            <b/>
            <sz val="9"/>
            <color indexed="81"/>
            <rFont val="Tahoma"/>
            <family val="2"/>
          </rPr>
          <t>&lt;[[DEVDeals] - [Primary Portfolio Property (Seq: 1)] - [Forecast Financials (Seq: 20)] - [Forecast Financial Line Items (Seq: 1)] L4 -06723 -021 - Workmens Compensation - Both]&gt;</t>
        </r>
      </text>
    </comment>
    <comment ref="E945" authorId="0" shapeId="0" xr:uid="{708B4E55-81B4-4697-A423-FF2D2CE87D52}">
      <text>
        <r>
          <rPr>
            <b/>
            <sz val="9"/>
            <color indexed="81"/>
            <rFont val="Tahoma"/>
            <family val="2"/>
          </rPr>
          <t>&lt;[[DEVDeals] - [Primary Portfolio Property (Seq: 1)] - [Forecast Financials (Seq: 1)] - [Forecast Financial Line Items (Seq: 1)] L4 -06723 -001 - Health Insuranceand Other Employee Benefits Catchall - Both]&gt;</t>
        </r>
      </text>
    </comment>
    <comment ref="F945" authorId="0" shapeId="0" xr:uid="{7EA6E023-9861-4E52-8D35-CEC306B4329A}">
      <text>
        <r>
          <rPr>
            <b/>
            <sz val="9"/>
            <color indexed="81"/>
            <rFont val="Tahoma"/>
            <family val="2"/>
          </rPr>
          <t>&lt;[[DEVDeals] - [Primary Portfolio Property (Seq: 1)] - [Forecast Financials (Seq: 2)] - [Forecast Financial Line Items (Seq: 1)] L4 -06723 -001 - Health Insuranceand Other Employee Benefits Catchall - Both]&gt;</t>
        </r>
      </text>
    </comment>
    <comment ref="G945" authorId="0" shapeId="0" xr:uid="{D51BE2B3-D0C5-4397-930D-1DFB584AC6BD}">
      <text>
        <r>
          <rPr>
            <b/>
            <sz val="9"/>
            <color indexed="81"/>
            <rFont val="Tahoma"/>
            <family val="2"/>
          </rPr>
          <t>&lt;[[DEVDeals] - [Primary Portfolio Property (Seq: 1)] - [Forecast Financials (Seq: 3)] - [Forecast Financial Line Items (Seq: 1)] L4 -06723 -001 - Health Insuranceand Other Employee Benefits Catchall - Both]&gt;</t>
        </r>
      </text>
    </comment>
    <comment ref="H945" authorId="0" shapeId="0" xr:uid="{5D615505-D1BB-44E4-A7D9-01EE2684926C}">
      <text>
        <r>
          <rPr>
            <b/>
            <sz val="9"/>
            <color indexed="81"/>
            <rFont val="Tahoma"/>
            <family val="2"/>
          </rPr>
          <t>&lt;[[DEVDeals] - [Primary Portfolio Property (Seq: 1)] - [Forecast Financials (Seq: 4)] - [Forecast Financial Line Items (Seq: 1)] L4 -06723 -001 - Health Insuranceand Other Employee Benefits Catchall - Both]&gt;</t>
        </r>
      </text>
    </comment>
    <comment ref="I945" authorId="0" shapeId="0" xr:uid="{6CFDB7F1-3B87-40E2-A59E-994834E443BD}">
      <text>
        <r>
          <rPr>
            <b/>
            <sz val="9"/>
            <color indexed="81"/>
            <rFont val="Tahoma"/>
            <family val="2"/>
          </rPr>
          <t>&lt;[[DEVDeals] - [Primary Portfolio Property (Seq: 1)] - [Forecast Financials (Seq: 5)] - [Forecast Financial Line Items (Seq: 1)] L4 -06723 -001 - Health Insuranceand Other Employee Benefits Catchall - Both]&gt;</t>
        </r>
      </text>
    </comment>
    <comment ref="J945" authorId="0" shapeId="0" xr:uid="{9E10A3ED-8B50-4256-9ED9-24D9187D8D81}">
      <text>
        <r>
          <rPr>
            <b/>
            <sz val="9"/>
            <color indexed="81"/>
            <rFont val="Tahoma"/>
            <family val="2"/>
          </rPr>
          <t>&lt;[[DEVDeals] - [Primary Portfolio Property (Seq: 1)] - [Forecast Financials (Seq: 6)] - [Forecast Financial Line Items (Seq: 1)] L4 -06723 -001 - Health Insuranceand Other Employee Benefits Catchall - Both]&gt;</t>
        </r>
      </text>
    </comment>
    <comment ref="K945" authorId="0" shapeId="0" xr:uid="{DD5D437D-7085-4F36-A3B0-018C4FA3825A}">
      <text>
        <r>
          <rPr>
            <b/>
            <sz val="9"/>
            <color indexed="81"/>
            <rFont val="Tahoma"/>
            <family val="2"/>
          </rPr>
          <t>&lt;[[DEVDeals] - [Primary Portfolio Property (Seq: 1)] - [Forecast Financials (Seq: 7)] - [Forecast Financial Line Items (Seq: 1)] L4 -06723 -001 - Health Insuranceand Other Employee Benefits Catchall - Both]&gt;</t>
        </r>
      </text>
    </comment>
    <comment ref="L945" authorId="0" shapeId="0" xr:uid="{915A53C9-FBFC-4B60-BC76-FACF4DAE4B03}">
      <text>
        <r>
          <rPr>
            <b/>
            <sz val="9"/>
            <color indexed="81"/>
            <rFont val="Tahoma"/>
            <family val="2"/>
          </rPr>
          <t>&lt;[[DEVDeals] - [Primary Portfolio Property (Seq: 1)] - [Forecast Financials (Seq: 8)] - [Forecast Financial Line Items (Seq: 1)] L4 -06723 -001 - Health Insuranceand Other Employee Benefits Catchall - Both]&gt;</t>
        </r>
      </text>
    </comment>
    <comment ref="M945" authorId="0" shapeId="0" xr:uid="{44B90E90-CE86-4111-A96A-57616C01ED1B}">
      <text>
        <r>
          <rPr>
            <b/>
            <sz val="9"/>
            <color indexed="81"/>
            <rFont val="Tahoma"/>
            <family val="2"/>
          </rPr>
          <t>&lt;[[DEVDeals] - [Primary Portfolio Property (Seq: 1)] - [Forecast Financials (Seq: 9)] - [Forecast Financial Line Items (Seq: 1)] L4 -06723 -001 - Health Insuranceand Other Employee Benefits Catchall - Both]&gt;</t>
        </r>
      </text>
    </comment>
    <comment ref="N945" authorId="0" shapeId="0" xr:uid="{F77E9595-9CC3-4724-B880-A82E8D433237}">
      <text>
        <r>
          <rPr>
            <b/>
            <sz val="9"/>
            <color indexed="81"/>
            <rFont val="Tahoma"/>
            <family val="2"/>
          </rPr>
          <t>&lt;[[DEVDeals] - [Primary Portfolio Property (Seq: 1)] - [Forecast Financials (Seq: 10)] - [Forecast Financial Line Items (Seq: 1)] L4 -06723 -001 - Health Insuranceand Other Employee Benefits Catchall - Both]&gt;</t>
        </r>
      </text>
    </comment>
    <comment ref="O945" authorId="0" shapeId="0" xr:uid="{5FCCAFC9-AE64-4CA3-85B6-0EBD4AAB7D50}">
      <text>
        <r>
          <rPr>
            <b/>
            <sz val="9"/>
            <color indexed="81"/>
            <rFont val="Tahoma"/>
            <family val="2"/>
          </rPr>
          <t>&lt;[[DEVDeals] - [Primary Portfolio Property (Seq: 1)] - [Forecast Financials (Seq: 11)] - [Forecast Financial Line Items (Seq: 1)] L4 -06723 -001 - Health Insuranceand Other Employee Benefits Catchall - Both]&gt;</t>
        </r>
      </text>
    </comment>
    <comment ref="P945" authorId="0" shapeId="0" xr:uid="{C81ADA97-0FD4-4FC7-A08A-5CFBB1035B7D}">
      <text>
        <r>
          <rPr>
            <b/>
            <sz val="9"/>
            <color indexed="81"/>
            <rFont val="Tahoma"/>
            <family val="2"/>
          </rPr>
          <t>&lt;[[DEVDeals] - [Primary Portfolio Property (Seq: 1)] - [Forecast Financials (Seq: 12)] - [Forecast Financial Line Items (Seq: 1)] L4 -06723 -001 - Health Insuranceand Other Employee Benefits Catchall - Both]&gt;</t>
        </r>
      </text>
    </comment>
    <comment ref="Q945" authorId="0" shapeId="0" xr:uid="{3458B590-F500-4549-8523-4F6CE988E6BF}">
      <text>
        <r>
          <rPr>
            <b/>
            <sz val="9"/>
            <color indexed="81"/>
            <rFont val="Tahoma"/>
            <family val="2"/>
          </rPr>
          <t>&lt;[[DEVDeals] - [Primary Portfolio Property (Seq: 1)] - [Forecast Financials (Seq: 13)] - [Forecast Financial Line Items (Seq: 1)] L4 -06723 -001 - Health Insuranceand Other Employee Benefits Catchall - Both]&gt;</t>
        </r>
      </text>
    </comment>
    <comment ref="R945" authorId="0" shapeId="0" xr:uid="{9839C92B-8EAB-4FBD-A36B-251AD14783A6}">
      <text>
        <r>
          <rPr>
            <b/>
            <sz val="9"/>
            <color indexed="81"/>
            <rFont val="Tahoma"/>
            <family val="2"/>
          </rPr>
          <t>&lt;[[DEVDeals] - [Primary Portfolio Property (Seq: 1)] - [Forecast Financials (Seq: 14)] - [Forecast Financial Line Items (Seq: 1)] L4 -06723 -001 - Health Insuranceand Other Employee Benefits Catchall - Both]&gt;</t>
        </r>
      </text>
    </comment>
    <comment ref="S945" authorId="0" shapeId="0" xr:uid="{5F4D7BF7-59C2-4B76-8517-5E20C96760A0}">
      <text>
        <r>
          <rPr>
            <b/>
            <sz val="9"/>
            <color indexed="81"/>
            <rFont val="Tahoma"/>
            <family val="2"/>
          </rPr>
          <t>&lt;[[DEVDeals] - [Primary Portfolio Property (Seq: 1)] - [Forecast Financials (Seq: 15)] - [Forecast Financial Line Items (Seq: 1)] L4 -06723 -001 - Health Insuranceand Other Employee Benefits Catchall - Both]&gt;</t>
        </r>
      </text>
    </comment>
    <comment ref="T945" authorId="0" shapeId="0" xr:uid="{766CD367-3F74-45FC-917E-C94C5C2B77E4}">
      <text>
        <r>
          <rPr>
            <b/>
            <sz val="9"/>
            <color indexed="81"/>
            <rFont val="Tahoma"/>
            <family val="2"/>
          </rPr>
          <t>&lt;[[DEVDeals] - [Primary Portfolio Property (Seq: 1)] - [Forecast Financials (Seq: 16)] - [Forecast Financial Line Items (Seq: 1)] L4 -06723 -001 - Health Insuranceand Other Employee Benefits Catchall - Both]&gt;</t>
        </r>
      </text>
    </comment>
    <comment ref="U945" authorId="0" shapeId="0" xr:uid="{F6CCA226-FB2E-4D25-AE78-BCF1638596A3}">
      <text>
        <r>
          <rPr>
            <b/>
            <sz val="9"/>
            <color indexed="81"/>
            <rFont val="Tahoma"/>
            <family val="2"/>
          </rPr>
          <t>&lt;[[DEVDeals] - [Primary Portfolio Property (Seq: 1)] - [Forecast Financials (Seq: 17)] - [Forecast Financial Line Items (Seq: 1)] L4 -06723 -001 - Health Insuranceand Other Employee Benefits Catchall - Both]&gt;</t>
        </r>
      </text>
    </comment>
    <comment ref="V945" authorId="0" shapeId="0" xr:uid="{F20E2889-482C-49E8-9BC4-FEDABBF80A49}">
      <text>
        <r>
          <rPr>
            <b/>
            <sz val="9"/>
            <color indexed="81"/>
            <rFont val="Tahoma"/>
            <family val="2"/>
          </rPr>
          <t>&lt;[[DEVDeals] - [Primary Portfolio Property (Seq: 1)] - [Forecast Financials (Seq: 18)] - [Forecast Financial Line Items (Seq: 1)] L4 -06723 -001 - Health Insuranceand Other Employee Benefits Catchall - Both]&gt;</t>
        </r>
      </text>
    </comment>
    <comment ref="W945" authorId="0" shapeId="0" xr:uid="{200B523D-8645-44C2-9CDC-8C30C1091F74}">
      <text>
        <r>
          <rPr>
            <b/>
            <sz val="9"/>
            <color indexed="81"/>
            <rFont val="Tahoma"/>
            <family val="2"/>
          </rPr>
          <t>&lt;[[DEVDeals] - [Primary Portfolio Property (Seq: 1)] - [Forecast Financials (Seq: 19)] - [Forecast Financial Line Items (Seq: 1)] L4 -06723 -001 - Health Insuranceand Other Employee Benefits Catchall - Both]&gt;</t>
        </r>
      </text>
    </comment>
    <comment ref="X945" authorId="0" shapeId="0" xr:uid="{E839357D-078E-4BBF-88E8-39AE1F5C6EB6}">
      <text>
        <r>
          <rPr>
            <b/>
            <sz val="9"/>
            <color indexed="81"/>
            <rFont val="Tahoma"/>
            <family val="2"/>
          </rPr>
          <t>&lt;[[DEVDeals] - [Primary Portfolio Property (Seq: 1)] - [Forecast Financials (Seq: 20)] - [Forecast Financial Line Items (Seq: 1)] L4 -06723 -001 - Health Insuranceand Other Employee Benefits Catchall - Both]&gt;</t>
        </r>
      </text>
    </comment>
    <comment ref="E946" authorId="0" shapeId="0" xr:uid="{01A90A0F-4572-4C75-A60A-C8C1C57D10F0}">
      <text>
        <r>
          <rPr>
            <b/>
            <sz val="9"/>
            <color indexed="81"/>
            <rFont val="Tahoma"/>
            <family val="2"/>
          </rPr>
          <t>&lt;[[DEVDeals] - [Primary Portfolio Property (Seq: 1)] - [Forecast Financials (Seq: 1)] - [Forecast Financial Line Items (Seq: 1)] L4 -01320 -001 - Replacement Reserve Catchall - Both]&gt;</t>
        </r>
      </text>
    </comment>
    <comment ref="F946" authorId="0" shapeId="0" xr:uid="{F1AD9CC3-D101-40AF-8791-D644E996010C}">
      <text>
        <r>
          <rPr>
            <b/>
            <sz val="9"/>
            <color indexed="81"/>
            <rFont val="Tahoma"/>
            <family val="2"/>
          </rPr>
          <t>&lt;[[DEVDeals] - [Primary Portfolio Property (Seq: 1)] - [Forecast Financials (Seq: 2)] - [Forecast Financial Line Items (Seq: 1)] L4 -01320 -001 - Replacement Reserve Catchall - Both]&gt;</t>
        </r>
      </text>
    </comment>
    <comment ref="G946" authorId="0" shapeId="0" xr:uid="{63A81A0B-0FD7-4720-9061-CFD13B557022}">
      <text>
        <r>
          <rPr>
            <b/>
            <sz val="9"/>
            <color indexed="81"/>
            <rFont val="Tahoma"/>
            <family val="2"/>
          </rPr>
          <t>&lt;[[DEVDeals] - [Primary Portfolio Property (Seq: 1)] - [Forecast Financials (Seq: 3)] - [Forecast Financial Line Items (Seq: 1)] L4 -01320 -001 - Replacement Reserve Catchall - Both]&gt;</t>
        </r>
      </text>
    </comment>
    <comment ref="H946" authorId="0" shapeId="0" xr:uid="{AD77B60D-53BE-4ED7-AFBE-546B0003CFAC}">
      <text>
        <r>
          <rPr>
            <b/>
            <sz val="9"/>
            <color indexed="81"/>
            <rFont val="Tahoma"/>
            <family val="2"/>
          </rPr>
          <t>&lt;[[DEVDeals] - [Primary Portfolio Property (Seq: 1)] - [Forecast Financials (Seq: 4)] - [Forecast Financial Line Items (Seq: 1)] L4 -01320 -001 - Replacement Reserve Catchall - Both]&gt;</t>
        </r>
      </text>
    </comment>
    <comment ref="I946" authorId="0" shapeId="0" xr:uid="{E7CF97F1-1C63-42BF-9DF5-BDFABDC763FF}">
      <text>
        <r>
          <rPr>
            <b/>
            <sz val="9"/>
            <color indexed="81"/>
            <rFont val="Tahoma"/>
            <family val="2"/>
          </rPr>
          <t>&lt;[[DEVDeals] - [Primary Portfolio Property (Seq: 1)] - [Forecast Financials (Seq: 5)] - [Forecast Financial Line Items (Seq: 1)] L4 -01320 -001 - Replacement Reserve Catchall - Both]&gt;</t>
        </r>
      </text>
    </comment>
    <comment ref="J946" authorId="0" shapeId="0" xr:uid="{372F0C5C-BC9A-4A61-AED9-569F0BBBA7FD}">
      <text>
        <r>
          <rPr>
            <b/>
            <sz val="9"/>
            <color indexed="81"/>
            <rFont val="Tahoma"/>
            <family val="2"/>
          </rPr>
          <t>&lt;[[DEVDeals] - [Primary Portfolio Property (Seq: 1)] - [Forecast Financials (Seq: 6)] - [Forecast Financial Line Items (Seq: 1)] L4 -01320 -001 - Replacement Reserve Catchall - Both]&gt;</t>
        </r>
      </text>
    </comment>
    <comment ref="K946" authorId="0" shapeId="0" xr:uid="{A7243F23-F8D1-4ED5-A295-6573545597C0}">
      <text>
        <r>
          <rPr>
            <b/>
            <sz val="9"/>
            <color indexed="81"/>
            <rFont val="Tahoma"/>
            <family val="2"/>
          </rPr>
          <t>&lt;[[DEVDeals] - [Primary Portfolio Property (Seq: 1)] - [Forecast Financials (Seq: 7)] - [Forecast Financial Line Items (Seq: 1)] L4 -01320 -001 - Replacement Reserve Catchall - Both]&gt;</t>
        </r>
      </text>
    </comment>
    <comment ref="L946" authorId="0" shapeId="0" xr:uid="{72B43E8D-8875-4FB4-95AC-E9B5002C0246}">
      <text>
        <r>
          <rPr>
            <b/>
            <sz val="9"/>
            <color indexed="81"/>
            <rFont val="Tahoma"/>
            <family val="2"/>
          </rPr>
          <t>&lt;[[DEVDeals] - [Primary Portfolio Property (Seq: 1)] - [Forecast Financials (Seq: 8)] - [Forecast Financial Line Items (Seq: 1)] L4 -01320 -001 - Replacement Reserve Catchall - Both]&gt;</t>
        </r>
      </text>
    </comment>
    <comment ref="M946" authorId="0" shapeId="0" xr:uid="{D5C80853-DF37-40DE-9B50-04877BE08EEC}">
      <text>
        <r>
          <rPr>
            <b/>
            <sz val="9"/>
            <color indexed="81"/>
            <rFont val="Tahoma"/>
            <family val="2"/>
          </rPr>
          <t>&lt;[[DEVDeals] - [Primary Portfolio Property (Seq: 1)] - [Forecast Financials (Seq: 9)] - [Forecast Financial Line Items (Seq: 1)] L4 -01320 -001 - Replacement Reserve Catchall - Both]&gt;</t>
        </r>
      </text>
    </comment>
    <comment ref="N946" authorId="0" shapeId="0" xr:uid="{C701618D-47A9-4EC8-8D95-C6FE49A0D68F}">
      <text>
        <r>
          <rPr>
            <b/>
            <sz val="9"/>
            <color indexed="81"/>
            <rFont val="Tahoma"/>
            <family val="2"/>
          </rPr>
          <t>&lt;[[DEVDeals] - [Primary Portfolio Property (Seq: 1)] - [Forecast Financials (Seq: 10)] - [Forecast Financial Line Items (Seq: 1)] L4 -01320 -001 - Replacement Reserve Catchall - Both]&gt;</t>
        </r>
      </text>
    </comment>
    <comment ref="O946" authorId="0" shapeId="0" xr:uid="{51CCC1E0-F038-4792-8A49-99005F5E81A5}">
      <text>
        <r>
          <rPr>
            <b/>
            <sz val="9"/>
            <color indexed="81"/>
            <rFont val="Tahoma"/>
            <family val="2"/>
          </rPr>
          <t>&lt;[[DEVDeals] - [Primary Portfolio Property (Seq: 1)] - [Forecast Financials (Seq: 11)] - [Forecast Financial Line Items (Seq: 1)] L4 -01320 -001 - Replacement Reserve Catchall - Both]&gt;</t>
        </r>
      </text>
    </comment>
    <comment ref="P946" authorId="0" shapeId="0" xr:uid="{1CCC68BB-70C2-4D20-8006-183466AD19BB}">
      <text>
        <r>
          <rPr>
            <b/>
            <sz val="9"/>
            <color indexed="81"/>
            <rFont val="Tahoma"/>
            <family val="2"/>
          </rPr>
          <t>&lt;[[DEVDeals] - [Primary Portfolio Property (Seq: 1)] - [Forecast Financials (Seq: 12)] - [Forecast Financial Line Items (Seq: 1)] L4 -01320 -001 - Replacement Reserve Catchall - Both]&gt;</t>
        </r>
      </text>
    </comment>
    <comment ref="Q946" authorId="0" shapeId="0" xr:uid="{569AACC9-3E67-438B-BBB4-5A8B2FCEDAC5}">
      <text>
        <r>
          <rPr>
            <b/>
            <sz val="9"/>
            <color indexed="81"/>
            <rFont val="Tahoma"/>
            <family val="2"/>
          </rPr>
          <t>&lt;[[DEVDeals] - [Primary Portfolio Property (Seq: 1)] - [Forecast Financials (Seq: 13)] - [Forecast Financial Line Items (Seq: 1)] L4 -01320 -001 - Replacement Reserve Catchall - Both]&gt;</t>
        </r>
      </text>
    </comment>
    <comment ref="R946" authorId="0" shapeId="0" xr:uid="{0768D3C8-177C-43F8-BA96-7AE599237880}">
      <text>
        <r>
          <rPr>
            <b/>
            <sz val="9"/>
            <color indexed="81"/>
            <rFont val="Tahoma"/>
            <family val="2"/>
          </rPr>
          <t>&lt;[[DEVDeals] - [Primary Portfolio Property (Seq: 1)] - [Forecast Financials (Seq: 14)] - [Forecast Financial Line Items (Seq: 1)] L4 -01320 -001 - Replacement Reserve Catchall - Both]&gt;</t>
        </r>
      </text>
    </comment>
    <comment ref="S946" authorId="0" shapeId="0" xr:uid="{67EF0423-8CE8-4F3A-9421-DA9241526CAC}">
      <text>
        <r>
          <rPr>
            <b/>
            <sz val="9"/>
            <color indexed="81"/>
            <rFont val="Tahoma"/>
            <family val="2"/>
          </rPr>
          <t>&lt;[[DEVDeals] - [Primary Portfolio Property (Seq: 1)] - [Forecast Financials (Seq: 15)] - [Forecast Financial Line Items (Seq: 1)] L4 -01320 -001 - Replacement Reserve Catchall - Both]&gt;</t>
        </r>
      </text>
    </comment>
    <comment ref="T946" authorId="0" shapeId="0" xr:uid="{1683AA13-B5C3-4FDE-9CF4-B0A9ECC48A53}">
      <text>
        <r>
          <rPr>
            <b/>
            <sz val="9"/>
            <color indexed="81"/>
            <rFont val="Tahoma"/>
            <family val="2"/>
          </rPr>
          <t>&lt;[[DEVDeals] - [Primary Portfolio Property (Seq: 1)] - [Forecast Financials (Seq: 16)] - [Forecast Financial Line Items (Seq: 1)] L4 -01320 -001 - Replacement Reserve Catchall - Both]&gt;</t>
        </r>
      </text>
    </comment>
    <comment ref="U946" authorId="0" shapeId="0" xr:uid="{BD49BB4C-2E88-49F4-AC07-92B12C457998}">
      <text>
        <r>
          <rPr>
            <b/>
            <sz val="9"/>
            <color indexed="81"/>
            <rFont val="Tahoma"/>
            <family val="2"/>
          </rPr>
          <t>&lt;[[DEVDeals] - [Primary Portfolio Property (Seq: 1)] - [Forecast Financials (Seq: 17)] - [Forecast Financial Line Items (Seq: 1)] L4 -01320 -001 - Replacement Reserve Catchall - Both]&gt;</t>
        </r>
      </text>
    </comment>
    <comment ref="V946" authorId="0" shapeId="0" xr:uid="{0799F846-628D-44CF-859E-59EC316966B3}">
      <text>
        <r>
          <rPr>
            <b/>
            <sz val="9"/>
            <color indexed="81"/>
            <rFont val="Tahoma"/>
            <family val="2"/>
          </rPr>
          <t>&lt;[[DEVDeals] - [Primary Portfolio Property (Seq: 1)] - [Forecast Financials (Seq: 18)] - [Forecast Financial Line Items (Seq: 1)] L4 -01320 -001 - Replacement Reserve Catchall - Both]&gt;</t>
        </r>
      </text>
    </comment>
    <comment ref="W946" authorId="0" shapeId="0" xr:uid="{48E4F67D-DD84-411A-9B8C-7A54ED3B7DFD}">
      <text>
        <r>
          <rPr>
            <b/>
            <sz val="9"/>
            <color indexed="81"/>
            <rFont val="Tahoma"/>
            <family val="2"/>
          </rPr>
          <t>&lt;[[DEVDeals] - [Primary Portfolio Property (Seq: 1)] - [Forecast Financials (Seq: 19)] - [Forecast Financial Line Items (Seq: 1)] L4 -01320 -001 - Replacement Reserve Catchall - Both]&gt;</t>
        </r>
      </text>
    </comment>
    <comment ref="X946" authorId="0" shapeId="0" xr:uid="{998D970D-C467-498A-A803-374C4216E79A}">
      <text>
        <r>
          <rPr>
            <b/>
            <sz val="9"/>
            <color indexed="81"/>
            <rFont val="Tahoma"/>
            <family val="2"/>
          </rPr>
          <t>&lt;[[DEVDeals] - [Primary Portfolio Property (Seq: 1)] - [Forecast Financials (Seq: 20)] - [Forecast Financial Line Items (Seq: 1)] L4 -01320 -001 - Replacement Reserve Catchall - Both]&gt;</t>
        </r>
      </text>
    </comment>
    <comment ref="I1037" authorId="0" shapeId="0" xr:uid="{5065A26E-6E0D-420A-A1B2-18A3E4F03F8F}">
      <text>
        <r>
          <rPr>
            <b/>
            <sz val="9"/>
            <color indexed="81"/>
            <rFont val="Tahoma"/>
            <family val="2"/>
          </rPr>
          <t>&lt;[[DEVDeals] - [DEV User Defined Fields (Seq: 1)] Applicant Self Scoring - 4.1.1  Development Team Experience - Both]&gt;</t>
        </r>
      </text>
    </comment>
    <comment ref="I1038" authorId="0" shapeId="0" xr:uid="{24D4CFEC-B9A5-44F7-8135-C1A4484277AF}">
      <text>
        <r>
          <rPr>
            <b/>
            <sz val="9"/>
            <color indexed="81"/>
            <rFont val="Tahoma"/>
            <family val="2"/>
          </rPr>
          <t>&lt;[[DEVDeals] - [DEV User Defined Fields (Seq: 1)] Applicant Self Scoring - 4.1.2  Deductions from Team experience score (Negative 10 Pts) - Both]&gt;</t>
        </r>
      </text>
    </comment>
    <comment ref="I1039" authorId="0" shapeId="0" xr:uid="{56C12073-4DB6-475B-82BA-92A81FA96F35}">
      <text>
        <r>
          <rPr>
            <b/>
            <sz val="9"/>
            <color indexed="81"/>
            <rFont val="Tahoma"/>
            <family val="2"/>
          </rPr>
          <t>&lt;[[DEVDeals] - [DEV User Defined Fields (Seq: 1)] Applicant Self Scoring - 4.1.3  Developer Financial Capacity - Both]&gt;</t>
        </r>
      </text>
    </comment>
    <comment ref="I1040" authorId="0" shapeId="0" xr:uid="{A471FD92-1AE7-480D-A4BE-CD964DD65639}">
      <text>
        <r>
          <rPr>
            <b/>
            <sz val="9"/>
            <color indexed="81"/>
            <rFont val="Tahoma"/>
            <family val="2"/>
          </rPr>
          <t>&lt;[[DEVDeals] - [DEV User Defined Fields (Seq: 1)] Applicant Self Scoring - 4.1.4  Nonprofits (NPs), Public Housing Authorities (PHAs), Minority Business Enterprises (MBE/DBEs) - Both]&gt;</t>
        </r>
      </text>
    </comment>
    <comment ref="I1041" authorId="0" shapeId="0" xr:uid="{DC50265B-C9C4-4EDF-BF34-796F06E4EB96}">
      <text>
        <r>
          <rPr>
            <b/>
            <sz val="9"/>
            <color indexed="81"/>
            <rFont val="Tahoma"/>
            <family val="2"/>
          </rPr>
          <t>&lt;[[DEVDeals] - [DEV User Defined Fields (Seq: 1)] Applicant Self Scoring - 4.2.1  Community Impact Projects - Both]&gt;</t>
        </r>
      </text>
    </comment>
    <comment ref="I1042" authorId="0" shapeId="0" xr:uid="{7AFE588F-6B96-4ED9-AB1C-B26A426B4202}">
      <text>
        <r>
          <rPr>
            <b/>
            <sz val="9"/>
            <color indexed="81"/>
            <rFont val="Tahoma"/>
            <family val="2"/>
          </rPr>
          <t>&lt;[[DEVDeals] - [DEV User Defined Fields (Seq: 1)] Applicant Self Scoring - 4.2.2  Communities of Opportunity - Both]&gt;</t>
        </r>
      </text>
    </comment>
    <comment ref="I1043" authorId="0" shapeId="0" xr:uid="{4C293A42-106F-40D9-B011-5364BEBE0347}">
      <text>
        <r>
          <rPr>
            <b/>
            <sz val="9"/>
            <color indexed="81"/>
            <rFont val="Tahoma"/>
            <family val="2"/>
          </rPr>
          <t>&lt;[[DEVDeals] - [DEV User Defined Fields (Seq: 1)] Applicant Self Scoring - 4.2.3  Defined Planning Areas and Opportunity Zones - Both]&gt;</t>
        </r>
      </text>
    </comment>
    <comment ref="I1044" authorId="0" shapeId="0" xr:uid="{E79131B5-9076-4B11-9B50-87EB865E236A}">
      <text>
        <r>
          <rPr>
            <b/>
            <sz val="9"/>
            <color indexed="81"/>
            <rFont val="Tahoma"/>
            <family val="2"/>
          </rPr>
          <t>&lt;[[DEVDeals] - [DEV User Defined Fields (Seq: 1)] Applicant Self Scoring - 4.3 Transit Oriented Development (TOD) - Both]&gt;</t>
        </r>
      </text>
    </comment>
    <comment ref="I1045" authorId="0" shapeId="0" xr:uid="{4E3D0F80-14BF-4F04-81AB-9F94CBB3779A}">
      <text>
        <r>
          <rPr>
            <b/>
            <sz val="9"/>
            <color indexed="81"/>
            <rFont val="Tahoma"/>
            <family val="2"/>
          </rPr>
          <t>&lt;[[DEVDeals] - [DEV User Defined Fields (Seq: 1)] Applicant Self Scoring - 4.4.1  Income Targeting - Both]&gt;</t>
        </r>
      </text>
    </comment>
    <comment ref="I1046" authorId="0" shapeId="0" xr:uid="{89496CD0-6CE7-4BB2-A9B6-59123372DB83}">
      <text>
        <r>
          <rPr>
            <b/>
            <sz val="9"/>
            <color indexed="81"/>
            <rFont val="Tahoma"/>
            <family val="2"/>
          </rPr>
          <t>&lt;[[DEVDeals] - [DEV User Defined Fields (Seq: 1)] Applicant Self Scoring - 4.4.2  Targeted Populations: Non-elderly PWD or Special Needs - Both]&gt;</t>
        </r>
      </text>
    </comment>
    <comment ref="I1047" authorId="0" shapeId="0" xr:uid="{0DA56F9D-6378-47A6-A54D-6DFB71AF93B0}">
      <text>
        <r>
          <rPr>
            <b/>
            <sz val="9"/>
            <color indexed="81"/>
            <rFont val="Tahoma"/>
            <family val="2"/>
          </rPr>
          <t>&lt;[[DEVDeals] - [DEV User Defined Fields (Seq: 1)] Applicant Self Scoring - 4.4.3  Family Housing - Both]&gt;</t>
        </r>
      </text>
    </comment>
    <comment ref="I1048" authorId="0" shapeId="0" xr:uid="{49538188-347A-4B84-9368-50EDD3A89CD6}">
      <text>
        <r>
          <rPr>
            <b/>
            <sz val="9"/>
            <color indexed="81"/>
            <rFont val="Tahoma"/>
            <family val="2"/>
          </rPr>
          <t>&lt;[[DEVDeals] - [DEV User Defined Fields (Seq: 1)] Applicant Self Scoring - 4.4.4  Tenant Services - Both]&gt;</t>
        </r>
      </text>
    </comment>
    <comment ref="I1049" authorId="0" shapeId="0" xr:uid="{59D0E48F-4441-4C9E-87C0-D0A11E66FB94}">
      <text>
        <r>
          <rPr>
            <b/>
            <sz val="9"/>
            <color indexed="81"/>
            <rFont val="Tahoma"/>
            <family val="2"/>
          </rPr>
          <t>&lt;[[DEVDeals] - [DEV User Defined Fields (Seq: 1)] Applicant Self Scoring - 4.4.5  Mixed Income Housing - Both]&gt;</t>
        </r>
      </text>
    </comment>
    <comment ref="I1051" authorId="0" shapeId="0" xr:uid="{FA7288C6-10F0-4C15-ABBA-0B1130DB8508}">
      <text>
        <r>
          <rPr>
            <b/>
            <sz val="9"/>
            <color indexed="81"/>
            <rFont val="Tahoma"/>
            <family val="2"/>
          </rPr>
          <t>&lt;[[DEVDeals] - [DEV User Defined Fields (Seq: 1)] Applicant Self Scoring - 4.5.1  Direct Leveraging - Both]&gt;</t>
        </r>
      </text>
    </comment>
    <comment ref="I1052" authorId="0" shapeId="0" xr:uid="{A7C1A1FC-7C98-4D06-B25A-EC0809CB2BDC}">
      <text>
        <r>
          <rPr>
            <b/>
            <sz val="9"/>
            <color indexed="81"/>
            <rFont val="Tahoma"/>
            <family val="2"/>
          </rPr>
          <t>&lt;[[DEVDeals] - [DEV User Defined Fields (Seq: 1)] Applicant Self Scoring - 4.5.2  Operating Subsidies - Both]&gt;</t>
        </r>
      </text>
    </comment>
    <comment ref="I1053" authorId="0" shapeId="0" xr:uid="{94421E9E-9B81-45DD-BC75-450BD0A55D36}">
      <text>
        <r>
          <rPr>
            <b/>
            <sz val="9"/>
            <color indexed="81"/>
            <rFont val="Tahoma"/>
            <family val="2"/>
          </rPr>
          <t>&lt;[[DEVDeals] - [DEV User Defined Fields (Seq: 1)] Applicant Self Scoring - 4.5.3  Construction or Rehabilitation Cost Incentives (Negative 8 pts) - Both]&gt;</t>
        </r>
      </text>
    </comment>
    <comment ref="I1054" authorId="0" shapeId="0" xr:uid="{4838BEC7-4759-4D91-A95F-A8776465D4D6}">
      <text>
        <r>
          <rPr>
            <b/>
            <sz val="9"/>
            <color indexed="81"/>
            <rFont val="Tahoma"/>
            <family val="2"/>
          </rPr>
          <t>&lt;[[DEVDeals] - [DEV User Defined Fields (Seq: 1)] Applicant Self Scoring - 4.6.1  Green Features - Both]&gt;</t>
        </r>
      </text>
    </comment>
    <comment ref="I1055" authorId="0" shapeId="0" xr:uid="{743C8315-938D-4E72-97E1-58EDCF76B29E}">
      <text>
        <r>
          <rPr>
            <b/>
            <sz val="9"/>
            <color indexed="81"/>
            <rFont val="Tahoma"/>
            <family val="2"/>
          </rPr>
          <t>&lt;[[DEVDeals] - [DEV User Defined Fields (Seq: 1)] Applicant Self Scoring - 4.6.2  Energy Efficiency - Both]&gt;</t>
        </r>
      </text>
    </comment>
    <comment ref="I1056" authorId="0" shapeId="0" xr:uid="{00836887-611B-4074-A0CD-82BFB4F49EEF}">
      <text>
        <r>
          <rPr>
            <b/>
            <sz val="9"/>
            <color indexed="81"/>
            <rFont val="Tahoma"/>
            <family val="2"/>
          </rPr>
          <t>&lt;[[DEVDeals] - [DEV User Defined Fields (Seq: 1)] Applicant Self Scoring - 4.6.3  Site and Building Design - Both]&gt;</t>
        </r>
      </text>
    </comment>
    <comment ref="I1057" authorId="0" shapeId="0" xr:uid="{CADF5C45-E89F-42B0-83DA-6CCC7C59BB19}">
      <text>
        <r>
          <rPr>
            <b/>
            <sz val="9"/>
            <color indexed="81"/>
            <rFont val="Tahoma"/>
            <family val="2"/>
          </rPr>
          <t>&lt;[[DEVDeals] - [DEV User Defined Fields (Seq: 1)] Applicant Self Scoring - 4.6.4  Loveable Places - Both]&gt;</t>
        </r>
      </text>
    </comment>
    <comment ref="I1058" authorId="0" shapeId="0" xr:uid="{B2C2C8FC-5A13-4EF1-AA7F-BD0C43E35B7B}">
      <text>
        <r>
          <rPr>
            <b/>
            <sz val="9"/>
            <color indexed="81"/>
            <rFont val="Tahoma"/>
            <charset val="1"/>
          </rPr>
          <t>&lt;[[DEVDeals] - [DEV User Defined Fields (Seq: 1)] Applicant Self Scoring - 4.7 Housing Starts Now - Both]&gt;</t>
        </r>
      </text>
    </comment>
    <comment ref="I1059" authorId="0" shapeId="0" xr:uid="{77CEF02F-A04E-44C0-AB75-BEA2B021F536}">
      <text>
        <r>
          <rPr>
            <b/>
            <sz val="9"/>
            <color indexed="81"/>
            <rFont val="Tahoma"/>
            <charset val="1"/>
          </rPr>
          <t>&lt;[[DEVDeals] - [DEV User Defined Fields (Seq: 1)] Applicant Self Scoring - Permanent Supportive Housing - Number of Units - Both]&gt;</t>
        </r>
      </text>
    </comment>
    <comment ref="I1060" authorId="0" shapeId="0" xr:uid="{89C829EF-9432-4A72-A9B0-E984BADEE640}">
      <text>
        <r>
          <rPr>
            <b/>
            <sz val="9"/>
            <color indexed="81"/>
            <rFont val="Tahoma"/>
            <charset val="1"/>
          </rPr>
          <t>&lt;[[DEVDeals] - [DEV User Defined Fields (Seq: 1)] Applicant Self Scoring - Permanent Supportive Housing - Percentage of Units - Both]&gt;</t>
        </r>
      </text>
    </comment>
    <comment ref="I1061" authorId="0" shapeId="0" xr:uid="{A6CDBB3F-6B0D-4049-9C53-4C42DF98EE23}">
      <text>
        <r>
          <rPr>
            <b/>
            <sz val="9"/>
            <color indexed="81"/>
            <rFont val="Tahoma"/>
            <charset val="1"/>
          </rPr>
          <t>&lt;[[DEVDeals] - [DEV User Defined Fields (Seq: 1)] Applicant Self Scoring - Total Self-Score - Both]&gt;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tc={5E39C9AC-77A7-45C7-8258-E8CA1E807A5F}</author>
    <author>tc={3230E2F9-37CC-4D78-A1BF-4C48AD3B153B}</author>
    <author>tc={BE9AC226-3BF5-415F-97AA-FF04ABE40C28}</author>
    <author>tc={467A1A4D-AD57-49BD-8701-AF902F14E5CB}</author>
    <author>tc={9CA5115A-F9D3-4BEB-84AA-ACE40356EE45}</author>
  </authors>
  <commentList>
    <comment ref="AR180" authorId="0" shapeId="0" xr:uid="{5E39C9AC-77A7-45C7-8258-E8CA1E807A5F}">
      <text>
        <t>[Threaded comment]
Your version of Excel allows you to read this threaded comment; however, any edits to it will get removed if the file is opened in a newer version of Excel. Learn more: https://go.microsoft.com/fwlink/?linkid=870924
Comment:
    Hard coded to balance</t>
      </text>
    </comment>
    <comment ref="BA180" authorId="1" shapeId="0" xr:uid="{3230E2F9-37CC-4D78-A1BF-4C48AD3B153B}">
      <text>
        <t>[Threaded comment]
Your version of Excel allows you to read this threaded comment; however, any edits to it will get removed if the file is opened in a newer version of Excel. Learn more: https://go.microsoft.com/fwlink/?linkid=870924
Comment:
    Hard coded to balance</t>
      </text>
    </comment>
    <comment ref="AR191" authorId="2" shapeId="0" xr:uid="{BE9AC226-3BF5-415F-97AA-FF04ABE40C28}">
      <text>
        <t>[Threaded comment]
Your version of Excel allows you to read this threaded comment; however, any edits to it will get removed if the file is opened in a newer version of Excel. Learn more: https://go.microsoft.com/fwlink/?linkid=870924
Comment:
    Hard coded to balance</t>
      </text>
    </comment>
    <comment ref="BA192" authorId="3" shapeId="0" xr:uid="{467A1A4D-AD57-49BD-8701-AF902F14E5CB}">
      <text>
        <t>[Threaded comment]
Your version of Excel allows you to read this threaded comment; however, any edits to it will get removed if the file is opened in a newer version of Excel. Learn more: https://go.microsoft.com/fwlink/?linkid=870924
Comment:
    Hard coded to balance</t>
      </text>
    </comment>
    <comment ref="BA219" authorId="4" shapeId="0" xr:uid="{9CA5115A-F9D3-4BEB-84AA-ACE40356EE45}">
      <text>
        <t>[Threaded comment]
Your version of Excel allows you to read this threaded comment; however, any edits to it will get removed if the file is opened in a newer version of Excel. Learn more: https://go.microsoft.com/fwlink/?linkid=870924
Comment:
    Hard coded to balance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<sst xmlns="http://schemas.openxmlformats.org/spreadsheetml/2006/main" count="7817" uniqueCount="2794">
  <si>
    <t xml:space="preserve">CDA FORM 202 -- APPLICATION FORM INSTRUCTIONS </t>
  </si>
  <si>
    <t>VISUALS</t>
  </si>
  <si>
    <t>GENERAL INFORMATION</t>
  </si>
  <si>
    <t>PROJECT EXPENSES</t>
  </si>
  <si>
    <t>SOURCES OF FUNDS</t>
  </si>
  <si>
    <t>Fill in the total estimated amount for each use of funds listed that is applicable to the project.  For applications requesting Low-Income Housing Tax Credits, show the total costs included in the project’s acquisition basis and construction or rehabilitation basis, and those that are not included in the tax credit basis. If you have any questions concerning the costs to be included in the project’s tax credit basis or the Low-Income Housing Tax Credit, please consult your accountant or attorney for more information before submitting an application for funding.</t>
  </si>
  <si>
    <t>Complete this section only if you are applying for a Low-Income Housing Tax Credit from the Department.  If you have any questions concerning this section or the Low Income Housing Tax Credit, please consult your accountant or attorney for more information before submitting an application for funding.</t>
  </si>
  <si>
    <t>20-YEAR OPERATING PRO FORMA</t>
  </si>
  <si>
    <t>MULTIFAMILY RENTAL FINANCING APPLICATION</t>
  </si>
  <si>
    <t>FORM</t>
  </si>
  <si>
    <t>Non-LIHTC Project</t>
  </si>
  <si>
    <t>9% Project</t>
  </si>
  <si>
    <t>Date</t>
  </si>
  <si>
    <t>9% Twinning Project</t>
  </si>
  <si>
    <t>4% Project</t>
  </si>
  <si>
    <t>4% Twinning Project</t>
  </si>
  <si>
    <t>X</t>
  </si>
  <si>
    <t xml:space="preserve">  Application for Submission</t>
  </si>
  <si>
    <t xml:space="preserve">  Viability/Commitment Review Submission</t>
  </si>
  <si>
    <t>Funding Applied For</t>
  </si>
  <si>
    <t>Low Income Housing Tax Credit</t>
  </si>
  <si>
    <t>Basis</t>
  </si>
  <si>
    <t>FTEL</t>
  </si>
  <si>
    <r>
      <t xml:space="preserve">Multifamily Bonds </t>
    </r>
    <r>
      <rPr>
        <i/>
        <sz val="10"/>
        <rFont val="Times New Roman"/>
        <family val="1"/>
      </rPr>
      <t>(taxable)</t>
    </r>
  </si>
  <si>
    <t>Land</t>
  </si>
  <si>
    <t>Risk Sharing</t>
  </si>
  <si>
    <r>
      <t xml:space="preserve">Multifamily Bonds </t>
    </r>
    <r>
      <rPr>
        <i/>
        <sz val="10"/>
        <rFont val="Times New Roman"/>
        <family val="1"/>
      </rPr>
      <t xml:space="preserve">(long term tax-exempt) </t>
    </r>
  </si>
  <si>
    <r>
      <t xml:space="preserve">Multifamily Bonds </t>
    </r>
    <r>
      <rPr>
        <i/>
        <sz val="10"/>
        <rFont val="Times New Roman"/>
        <family val="1"/>
      </rPr>
      <t xml:space="preserve">(short term tax-exempt) </t>
    </r>
  </si>
  <si>
    <t>MTEB</t>
  </si>
  <si>
    <t>DHCD Subordinate Financing</t>
  </si>
  <si>
    <t>Other:</t>
  </si>
  <si>
    <t>PROJECT NAME AND LOCATION</t>
  </si>
  <si>
    <t>Project Name</t>
  </si>
  <si>
    <t>Street Address</t>
  </si>
  <si>
    <t>If no street address indicate lot</t>
  </si>
  <si>
    <t>Parcel</t>
  </si>
  <si>
    <t>Tax Map</t>
  </si>
  <si>
    <t>AL</t>
  </si>
  <si>
    <t>City</t>
  </si>
  <si>
    <t>County</t>
  </si>
  <si>
    <t>AK</t>
  </si>
  <si>
    <t>Zip Code</t>
  </si>
  <si>
    <t>Census Tract</t>
  </si>
  <si>
    <t>AZ</t>
  </si>
  <si>
    <t>Congressional District</t>
  </si>
  <si>
    <t>Legislative District</t>
  </si>
  <si>
    <t>AR</t>
  </si>
  <si>
    <t>Existing HUD Project No.</t>
  </si>
  <si>
    <t>CA</t>
  </si>
  <si>
    <t>SPONSOR INFORMATION</t>
  </si>
  <si>
    <t>CO</t>
  </si>
  <si>
    <t>CT</t>
  </si>
  <si>
    <t>Sponsor Company Name</t>
  </si>
  <si>
    <t>DC</t>
  </si>
  <si>
    <t>DE</t>
  </si>
  <si>
    <t>State</t>
  </si>
  <si>
    <t>Zip</t>
  </si>
  <si>
    <t>FL</t>
  </si>
  <si>
    <t>Contact</t>
  </si>
  <si>
    <t>Phone</t>
  </si>
  <si>
    <t>GA</t>
  </si>
  <si>
    <t>Title</t>
  </si>
  <si>
    <t>E-mail</t>
  </si>
  <si>
    <t>HI</t>
  </si>
  <si>
    <t>ID</t>
  </si>
  <si>
    <t>IL</t>
  </si>
  <si>
    <t>OWNERSHIP ENTITY INFORMATION</t>
  </si>
  <si>
    <t>IN</t>
  </si>
  <si>
    <t>IA</t>
  </si>
  <si>
    <t>KS</t>
  </si>
  <si>
    <t>KY</t>
  </si>
  <si>
    <t>LA</t>
  </si>
  <si>
    <t>ME</t>
  </si>
  <si>
    <t xml:space="preserve">  Individual</t>
  </si>
  <si>
    <t xml:space="preserve">  General Partnership</t>
  </si>
  <si>
    <t xml:space="preserve">  Local Government</t>
  </si>
  <si>
    <t>MD</t>
  </si>
  <si>
    <t xml:space="preserve">  Corporation</t>
  </si>
  <si>
    <t xml:space="preserve">  Limited Partnership</t>
  </si>
  <si>
    <t xml:space="preserve">  Other:</t>
  </si>
  <si>
    <t>Describe</t>
  </si>
  <si>
    <t>MA</t>
  </si>
  <si>
    <t xml:space="preserve">  Limited Liability Corporation</t>
  </si>
  <si>
    <t>MI</t>
  </si>
  <si>
    <t>MN</t>
  </si>
  <si>
    <r>
      <t>Principals</t>
    </r>
    <r>
      <rPr>
        <i/>
        <sz val="10"/>
        <rFont val="Times New Roman"/>
        <family val="1"/>
      </rPr>
      <t xml:space="preserve"> (complete information for corporations and controlling general partners)</t>
    </r>
  </si>
  <si>
    <t>MS</t>
  </si>
  <si>
    <t>MO</t>
  </si>
  <si>
    <t>Name</t>
  </si>
  <si>
    <t>GP/LP</t>
  </si>
  <si>
    <t>MT</t>
  </si>
  <si>
    <t xml:space="preserve"> GP</t>
  </si>
  <si>
    <t>NE</t>
  </si>
  <si>
    <t xml:space="preserve"> Administrative GP</t>
  </si>
  <si>
    <t>NV</t>
  </si>
  <si>
    <t xml:space="preserve"> LP</t>
  </si>
  <si>
    <t>NH</t>
  </si>
  <si>
    <t>NJ</t>
  </si>
  <si>
    <t>NM</t>
  </si>
  <si>
    <t>NY</t>
  </si>
  <si>
    <t>NC</t>
  </si>
  <si>
    <t>ND</t>
  </si>
  <si>
    <t>OH</t>
  </si>
  <si>
    <t>OK</t>
  </si>
  <si>
    <t>OR</t>
  </si>
  <si>
    <t>PA</t>
  </si>
  <si>
    <t>RI</t>
  </si>
  <si>
    <t>SC</t>
  </si>
  <si>
    <t>SD</t>
  </si>
  <si>
    <t>TN</t>
  </si>
  <si>
    <t>PROJECT INFORMATION</t>
  </si>
  <si>
    <t>TX</t>
  </si>
  <si>
    <t>UT</t>
  </si>
  <si>
    <t>VT</t>
  </si>
  <si>
    <t xml:space="preserve">  Cable Access</t>
  </si>
  <si>
    <t xml:space="preserve">  Laundry Facilities</t>
  </si>
  <si>
    <t>VA</t>
  </si>
  <si>
    <t xml:space="preserve">  Transportation Services</t>
  </si>
  <si>
    <t xml:space="preserve">  Washer/Dryer Hook-up</t>
  </si>
  <si>
    <t>WA</t>
  </si>
  <si>
    <t xml:space="preserve">  Carpet</t>
  </si>
  <si>
    <t xml:space="preserve">  High Speed Internet Access</t>
  </si>
  <si>
    <t>WV</t>
  </si>
  <si>
    <t xml:space="preserve">  Dishwasher</t>
  </si>
  <si>
    <t>WI</t>
  </si>
  <si>
    <t xml:space="preserve">  Disposal</t>
  </si>
  <si>
    <t>WY</t>
  </si>
  <si>
    <t xml:space="preserve">  Microwave</t>
  </si>
  <si>
    <t xml:space="preserve">  Acquisition of Existing Building(s)</t>
  </si>
  <si>
    <t xml:space="preserve">  New Construction</t>
  </si>
  <si>
    <t xml:space="preserve">  Refinance</t>
  </si>
  <si>
    <t xml:space="preserve">  Rehabilitation</t>
  </si>
  <si>
    <r>
      <t xml:space="preserve">Unit Types - NC and/or Rehab  </t>
    </r>
    <r>
      <rPr>
        <i/>
        <sz val="10"/>
        <color rgb="FF0000FF"/>
        <rFont val="Times New Roman"/>
        <family val="1"/>
      </rPr>
      <t>(indicate number of units by type)</t>
    </r>
  </si>
  <si>
    <r>
      <t>UFAS Units</t>
    </r>
    <r>
      <rPr>
        <i/>
        <sz val="10"/>
        <rFont val="Times New Roman"/>
        <family val="1"/>
      </rPr>
      <t xml:space="preserve">  </t>
    </r>
    <r>
      <rPr>
        <i/>
        <sz val="10"/>
        <color rgb="FF0000FF"/>
        <rFont val="Times New Roman"/>
        <family val="1"/>
      </rPr>
      <t>(indicate number of units)</t>
    </r>
  </si>
  <si>
    <t>Units</t>
  </si>
  <si>
    <t xml:space="preserve">UFAS 1 BR </t>
  </si>
  <si>
    <t xml:space="preserve">UFAS 2 BR </t>
  </si>
  <si>
    <t xml:space="preserve">UFAS 3 BR </t>
  </si>
  <si>
    <t xml:space="preserve">UFAS 4 BR </t>
  </si>
  <si>
    <t xml:space="preserve">UFAS 5 BR </t>
  </si>
  <si>
    <t xml:space="preserve">UFAS 6 BR </t>
  </si>
  <si>
    <t>Minimum UFAS Units = 5% of Total Units</t>
  </si>
  <si>
    <t>A transaction between parties where familial, business, controlling interests, or other close ties exist prior to the transaction, as defined in Section 3.9.8.1  of the Guide.</t>
  </si>
  <si>
    <t>Minimum Visual/Hearing Impaired Units = 2% of Total Units</t>
  </si>
  <si>
    <r>
      <t>Existing Building Information</t>
    </r>
    <r>
      <rPr>
        <i/>
        <sz val="10"/>
        <rFont val="Times New Roman"/>
        <family val="1"/>
      </rPr>
      <t xml:space="preserve"> </t>
    </r>
    <r>
      <rPr>
        <i/>
        <sz val="10"/>
        <color rgb="FF0000FF"/>
        <rFont val="Times New Roman"/>
        <family val="1"/>
      </rPr>
      <t>(complete all that apply)</t>
    </r>
  </si>
  <si>
    <t>Developer Fee Funded Services / Rent Subsidy /Reserve</t>
  </si>
  <si>
    <t>Percentage currently occupied</t>
  </si>
  <si>
    <t>Developer Fee Funded Supportive Services / Rent Subsidy/Sponsor Note Reserve?</t>
  </si>
  <si>
    <t>Project includes historic rehabilitation?</t>
  </si>
  <si>
    <t>Project involves the permanent relocation of tenants?</t>
  </si>
  <si>
    <t>Project involves the temporary relocation of tenants?</t>
  </si>
  <si>
    <r>
      <t xml:space="preserve">Number of Residential Buildings  </t>
    </r>
    <r>
      <rPr>
        <i/>
        <sz val="10"/>
        <color rgb="FF0000FF"/>
        <rFont val="Times New Roman"/>
        <family val="1"/>
      </rPr>
      <t>(complete all that apply)</t>
    </r>
  </si>
  <si>
    <t>Garden (walk-up)</t>
  </si>
  <si>
    <t>Townhouse</t>
  </si>
  <si>
    <t>Cottage, single-family, or semi-detached</t>
  </si>
  <si>
    <t>Residential Units: Low-Income</t>
  </si>
  <si>
    <t>Elevator (&lt;= 4 floors w/frame construction)</t>
  </si>
  <si>
    <t>Residential Units: Market</t>
  </si>
  <si>
    <t>Elevator (&gt;= 5 floors w/concrete construction)</t>
  </si>
  <si>
    <t>Nonresidential Units and Staff Units</t>
  </si>
  <si>
    <t>Units Stacked- no elevator</t>
  </si>
  <si>
    <t>Commercial  Space:</t>
  </si>
  <si>
    <t>Total Buildings</t>
  </si>
  <si>
    <t>Common Space:</t>
  </si>
  <si>
    <t xml:space="preserve">   Circulation (hallways, stairways etc.)</t>
  </si>
  <si>
    <t xml:space="preserve">   Recreation</t>
  </si>
  <si>
    <t xml:space="preserve">    Other:  </t>
  </si>
  <si>
    <t>General Occupancy</t>
  </si>
  <si>
    <t>Elderly (See Guide, Section 3.2.2)</t>
  </si>
  <si>
    <t>Special Needs or Alternative Housing</t>
  </si>
  <si>
    <t>Total Residential Units</t>
  </si>
  <si>
    <t>Total Gross Square Footage</t>
  </si>
  <si>
    <t>Commercial Unit(s)</t>
  </si>
  <si>
    <t>Housing for Targeted Populations at or below 30% AMI (See Guide, Section 4.4.2)</t>
  </si>
  <si>
    <t>PWDs – nonelderly</t>
  </si>
  <si>
    <t>PWD – elderly</t>
  </si>
  <si>
    <t xml:space="preserve">Homeless </t>
  </si>
  <si>
    <t>Youth Aging Out of Foster Care</t>
  </si>
  <si>
    <t>* (Enter specific subsidy information in the Rental Subsidy column in the Project Income tab)</t>
  </si>
  <si>
    <t>Units with Project Based Rental Subsidy (i.e., Section 8, 236, etc.)  *</t>
  </si>
  <si>
    <r>
      <t xml:space="preserve">Occupancy Restrictions of Project </t>
    </r>
    <r>
      <rPr>
        <b/>
        <i/>
        <sz val="10"/>
        <rFont val="Times New Roman"/>
        <family val="1"/>
      </rPr>
      <t xml:space="preserve"> </t>
    </r>
    <r>
      <rPr>
        <i/>
        <sz val="10"/>
        <color rgb="FF0000FF"/>
        <rFont val="Times New Roman"/>
        <family val="1"/>
      </rPr>
      <t>(Indicate number of units)</t>
    </r>
  </si>
  <si>
    <t>Units to be occupied by households with income 20% or less of the area median</t>
  </si>
  <si>
    <t>Units to be occupied by households with income 21-30% of the area median</t>
  </si>
  <si>
    <t>Units to be occupied by households with income at 31-40% of the area median</t>
  </si>
  <si>
    <t>Units to be occupied by households with income at 41-50% of the area median</t>
  </si>
  <si>
    <t>Units to be occupied by households with income at 51-60% of the area median</t>
  </si>
  <si>
    <t>Units to be occupied by households with income at 61-70% of the area median</t>
  </si>
  <si>
    <t>Units to be occupied by households with income at 71-80% of the area median</t>
  </si>
  <si>
    <t>Units to be occupied by households with no income restrictions</t>
  </si>
  <si>
    <t>Non Income Producing Residential Units</t>
  </si>
  <si>
    <t>Total Units</t>
  </si>
  <si>
    <t>Long Term Use Restrictions and Homeownership Opportunities (See Guide, Section 3.2.3)</t>
  </si>
  <si>
    <t>ANTICIPATED DEVELOPMENT SCHEDULE (See Guide, Section 3.11)</t>
  </si>
  <si>
    <t>Activity</t>
  </si>
  <si>
    <t>Site Control</t>
  </si>
  <si>
    <t>Does the sponsor have site control?</t>
  </si>
  <si>
    <t>Deed</t>
  </si>
  <si>
    <t>Type of site control?</t>
  </si>
  <si>
    <t>Long Term Lease</t>
  </si>
  <si>
    <t>Option</t>
  </si>
  <si>
    <t>Date site will be acquired by the ownership entity</t>
  </si>
  <si>
    <t>Purchase Contract</t>
  </si>
  <si>
    <t>Zoning Status</t>
  </si>
  <si>
    <t>Current Zoning Classification</t>
  </si>
  <si>
    <t>Describe Current Classification</t>
  </si>
  <si>
    <t xml:space="preserve">Enter: (MM//DD/YY) </t>
  </si>
  <si>
    <t>Date application for zoning change, variance or waiver filed</t>
  </si>
  <si>
    <t>Date of final hearing on zoning change, variance or waiver</t>
  </si>
  <si>
    <t>Date of final approval of zoning change, variance or waiver</t>
  </si>
  <si>
    <t>Date of local planning approval</t>
  </si>
  <si>
    <r>
      <t>Date financing applications filed with other lenders</t>
    </r>
    <r>
      <rPr>
        <i/>
        <sz val="10"/>
        <rFont val="Times New Roman"/>
        <family val="1"/>
      </rPr>
      <t xml:space="preserve"> (public and private)</t>
    </r>
  </si>
  <si>
    <r>
      <t>Date firm commitments received from other lenders</t>
    </r>
    <r>
      <rPr>
        <i/>
        <sz val="10"/>
        <rFont val="Times New Roman"/>
        <family val="1"/>
      </rPr>
      <t xml:space="preserve"> (public and private)</t>
    </r>
  </si>
  <si>
    <t>Date final plans and specifications completed</t>
  </si>
  <si>
    <r>
      <t>Date 10% of project costs incurred</t>
    </r>
    <r>
      <rPr>
        <i/>
        <sz val="10"/>
        <rFont val="Times New Roman"/>
        <family val="1"/>
      </rPr>
      <t xml:space="preserve"> (No later than 12 months from carryover allocation.)</t>
    </r>
  </si>
  <si>
    <t>Date evidence will be provided that 10% of project costs have been incurred</t>
  </si>
  <si>
    <t>Date of construction loan closing</t>
  </si>
  <si>
    <t>The total Construction Period will be</t>
  </si>
  <si>
    <t>months</t>
  </si>
  <si>
    <t>Date 50% of construction or rehabilitation completed</t>
  </si>
  <si>
    <t>Date of substantial completion of construction or rehabilitation</t>
  </si>
  <si>
    <t>Date first certificate of occupancy received</t>
  </si>
  <si>
    <t>Date final certificate of occupancy received</t>
  </si>
  <si>
    <t>Date sustaining occupancy achieved</t>
  </si>
  <si>
    <t>Date of permanent loan closing</t>
  </si>
  <si>
    <t xml:space="preserve">Construction Loan Period </t>
  </si>
  <si>
    <t>(minimum = construction period plus four months for cost certification)</t>
  </si>
  <si>
    <t>BUILDING LIST</t>
  </si>
  <si>
    <t>Date:</t>
  </si>
  <si>
    <t>NEW BUILDING INFORMATION</t>
  </si>
  <si>
    <t>Building Identification Number (BIN)</t>
  </si>
  <si>
    <t>Building Address</t>
  </si>
  <si>
    <t>Total Units*</t>
  </si>
  <si>
    <t>Total Restricted Units</t>
  </si>
  <si>
    <t>Unit Applicable Fraction</t>
  </si>
  <si>
    <t>Total Square Footage</t>
  </si>
  <si>
    <t>Restricted Unit Square Footage</t>
  </si>
  <si>
    <t>Square Footage Applicable Fraction</t>
  </si>
  <si>
    <t>Minimum Applicable Fraction</t>
  </si>
  <si>
    <t>Year Building was built</t>
  </si>
  <si>
    <t>Building Type</t>
  </si>
  <si>
    <t>Total</t>
  </si>
  <si>
    <t>DEVELOPMENT TEAM INFORMATION</t>
  </si>
  <si>
    <t>DEVELOPMENT TEAM MEMBERS</t>
  </si>
  <si>
    <t>Development Team Role</t>
  </si>
  <si>
    <t>Developer</t>
  </si>
  <si>
    <t>Company Name</t>
  </si>
  <si>
    <t>Contact Name</t>
  </si>
  <si>
    <t>D&amp;B Duns Number</t>
  </si>
  <si>
    <t>Guarantor</t>
  </si>
  <si>
    <t>N/A</t>
  </si>
  <si>
    <t>General Contractor</t>
  </si>
  <si>
    <t>MDOT</t>
  </si>
  <si>
    <t>Management Agent</t>
  </si>
  <si>
    <t>MBE/DBE Certification Number</t>
  </si>
  <si>
    <t>Allegany County</t>
  </si>
  <si>
    <t>Architect</t>
  </si>
  <si>
    <t>Anne Arundel County</t>
  </si>
  <si>
    <t>Secondary Development Team Member</t>
  </si>
  <si>
    <t>Baltimore City</t>
  </si>
  <si>
    <t>Baltimore County</t>
  </si>
  <si>
    <t>Calvert County</t>
  </si>
  <si>
    <t>Caroline County</t>
  </si>
  <si>
    <t>Carroll County</t>
  </si>
  <si>
    <t>Cecil County</t>
  </si>
  <si>
    <t>Charles County</t>
  </si>
  <si>
    <t>Dorchester County</t>
  </si>
  <si>
    <t>Frederick County</t>
  </si>
  <si>
    <t>Garrett County</t>
  </si>
  <si>
    <t>Harford County</t>
  </si>
  <si>
    <t>Howard County</t>
  </si>
  <si>
    <t>Kent County</t>
  </si>
  <si>
    <t>Montgomery County</t>
  </si>
  <si>
    <t>Prince George's County</t>
  </si>
  <si>
    <t>Queen Anne's County</t>
  </si>
  <si>
    <t>St. Mary's County</t>
  </si>
  <si>
    <t>Somerset County</t>
  </si>
  <si>
    <t>Talbot County</t>
  </si>
  <si>
    <t>Washington County</t>
  </si>
  <si>
    <t>Wicomico County</t>
  </si>
  <si>
    <t>Worcester County</t>
  </si>
  <si>
    <t>Other</t>
  </si>
  <si>
    <t>LENDING AND INVESTMENT PARTNERS</t>
  </si>
  <si>
    <t>Private/Public Lender</t>
  </si>
  <si>
    <t>LIHTC Equity Provider</t>
  </si>
  <si>
    <t>Federal Historic Equity Provider</t>
  </si>
  <si>
    <t>State Historic Equity Provider</t>
  </si>
  <si>
    <t>DEVELOPMENT TEAM HISTORY</t>
  </si>
  <si>
    <t>Are there direct or indirect identity of interests, financial or otherwise, among any members of the development team? If yes, explain.</t>
  </si>
  <si>
    <t>No</t>
  </si>
  <si>
    <t xml:space="preserve">Has any development team member* participated  as owner or manager in the development or operation of a project that has defaulted on a Department or other government or private sector loan in the previous five years?   If yes, explain. Please list the names and dates of projects in question. </t>
  </si>
  <si>
    <t>Has any development team member* consistently failed to provide documentation required by the Department in connection with other loan applications or the management and operation of other, existing developments? If yes, explain.</t>
  </si>
  <si>
    <t>Does any development team member* have a limited denial of participation from HUD or is any development team member* debarred, suspended or voluntarily excluded from participation in any federal or state program, or have been involuntarily removed within the previous 5 years as a general partner or managing member from any affordable housing project whether or not financed or subsidized by the programs of this Department?  If yes, explain.</t>
  </si>
  <si>
    <t>Has any development team member* acting in the roles of sponsor, developer, guarantor or owner been involved with any project placed on the Department's defaulted loans watch list due to actions that are attributable to the sponsor or development team? If yes, explain.</t>
  </si>
  <si>
    <t>Has any development team member* received a reservation, allocation or commitment of funding or a carryover allocation of tax credits from the Department within the last four years that it was unable to use, or place their project in service within the time allowed by the tax credit program?  If yes, explain.</t>
  </si>
  <si>
    <t>Does any development team member* have unpaid fees, loan arrearages or other obligations due to the Department on other projects, or for general partners or management agents, have tax credit compliance problems resulting in the issuance of an IRS Form 8823 and that are still outstanding in the following year?  If yes, explain.</t>
  </si>
  <si>
    <t>* Refer to the Multifamily Rental Financing Program Guide for a definition of development team members.</t>
  </si>
  <si>
    <t>Acq</t>
  </si>
  <si>
    <t>100%</t>
  </si>
  <si>
    <t>SRO</t>
  </si>
  <si>
    <t>Yes</t>
  </si>
  <si>
    <t>1 BA</t>
  </si>
  <si>
    <t>1</t>
  </si>
  <si>
    <t>Cash Flow Financing and Grants</t>
  </si>
  <si>
    <t>New Construction</t>
  </si>
  <si>
    <t>100% AMI</t>
  </si>
  <si>
    <t>Costs are at least X amount per Unit (amount per Form 202)</t>
  </si>
  <si>
    <t>Public</t>
  </si>
  <si>
    <t>Individuals</t>
  </si>
  <si>
    <t>Date of allocation</t>
  </si>
  <si>
    <t>Company</t>
  </si>
  <si>
    <t>AM Special Activity</t>
  </si>
  <si>
    <t>Annual</t>
  </si>
  <si>
    <t>Acq/New</t>
  </si>
  <si>
    <t>120%</t>
  </si>
  <si>
    <t>Efficiency</t>
  </si>
  <si>
    <t>1.5 BA</t>
  </si>
  <si>
    <t>2</t>
  </si>
  <si>
    <t>Debt Service Financing</t>
  </si>
  <si>
    <t>Baltimore Regional Neighborhood Initiative</t>
  </si>
  <si>
    <t>Rehabilitation</t>
  </si>
  <si>
    <t>120% AMI</t>
  </si>
  <si>
    <t>Costs are at least 20% of project's adjusted basis</t>
  </si>
  <si>
    <t>Private</t>
  </si>
  <si>
    <t>Fund</t>
  </si>
  <si>
    <t>Date the project is placed in service</t>
  </si>
  <si>
    <t>Individual</t>
  </si>
  <si>
    <t>Applicant</t>
  </si>
  <si>
    <t>Budget</t>
  </si>
  <si>
    <t>Acq/New/Refinance</t>
  </si>
  <si>
    <t>140%</t>
  </si>
  <si>
    <t>1 BR</t>
  </si>
  <si>
    <t>2 BA</t>
  </si>
  <si>
    <t>3</t>
  </si>
  <si>
    <t>Equity</t>
  </si>
  <si>
    <t>BeSmart Multifamily</t>
  </si>
  <si>
    <t>Acquisition/Rehab</t>
  </si>
  <si>
    <t>140% AMI</t>
  </si>
  <si>
    <t>Corporation</t>
  </si>
  <si>
    <t>Auditor</t>
  </si>
  <si>
    <t>Forecast</t>
  </si>
  <si>
    <t>HOME</t>
  </si>
  <si>
    <t>Acq/New/Rehab</t>
  </si>
  <si>
    <t>20%</t>
  </si>
  <si>
    <t>2 BR</t>
  </si>
  <si>
    <t>2.5 BA</t>
  </si>
  <si>
    <t>4</t>
  </si>
  <si>
    <t>Community Legacy Program</t>
  </si>
  <si>
    <t>Existing</t>
  </si>
  <si>
    <t>20% AMI</t>
  </si>
  <si>
    <t>Business Relationship</t>
  </si>
  <si>
    <t>Periodic - Monthly</t>
  </si>
  <si>
    <t>Acq/New/Rehab/Refinance</t>
  </si>
  <si>
    <t>30%</t>
  </si>
  <si>
    <t>3 BR</t>
  </si>
  <si>
    <t>3 BA</t>
  </si>
  <si>
    <t>5</t>
  </si>
  <si>
    <t xml:space="preserve">Construction Loan Program </t>
  </si>
  <si>
    <t>Adaptive Reuse</t>
  </si>
  <si>
    <t>30% AMI</t>
  </si>
  <si>
    <t>Construction Inspector</t>
  </si>
  <si>
    <t>Periodic - Quarterly</t>
  </si>
  <si>
    <t>Acq/Refinance</t>
  </si>
  <si>
    <t>40%</t>
  </si>
  <si>
    <t>4 BR</t>
  </si>
  <si>
    <t>3.5 BA</t>
  </si>
  <si>
    <t>6</t>
  </si>
  <si>
    <t>Construction Relief Fund</t>
  </si>
  <si>
    <t>New Construction/Rehab</t>
  </si>
  <si>
    <t>40% AMI</t>
  </si>
  <si>
    <t>Consultant</t>
  </si>
  <si>
    <t>Acq/Rehab</t>
  </si>
  <si>
    <t>50%</t>
  </si>
  <si>
    <t>5 BR</t>
  </si>
  <si>
    <t>4 BA</t>
  </si>
  <si>
    <t>7</t>
  </si>
  <si>
    <t>Customer Investment Fund</t>
  </si>
  <si>
    <t>New Construction/Adaptive Reuse</t>
  </si>
  <si>
    <t>50% AMI</t>
  </si>
  <si>
    <t>Engineer</t>
  </si>
  <si>
    <t>Acq/Rehab/Refinance</t>
  </si>
  <si>
    <t>60%</t>
  </si>
  <si>
    <t>6 BR</t>
  </si>
  <si>
    <t>4.5 BA</t>
  </si>
  <si>
    <t>8</t>
  </si>
  <si>
    <t>Deferred Developer Fee</t>
  </si>
  <si>
    <t>60% AMI</t>
  </si>
  <si>
    <t>New</t>
  </si>
  <si>
    <t>70%</t>
  </si>
  <si>
    <t>9</t>
  </si>
  <si>
    <t>Developer Equity</t>
  </si>
  <si>
    <t>70% AMI</t>
  </si>
  <si>
    <t>New/Refinance</t>
  </si>
  <si>
    <t>80%</t>
  </si>
  <si>
    <t>10</t>
  </si>
  <si>
    <t>Development Relief Fund</t>
  </si>
  <si>
    <t>80% AMI</t>
  </si>
  <si>
    <t>Insurance Broker</t>
  </si>
  <si>
    <t>New/Rehab</t>
  </si>
  <si>
    <t>85%</t>
  </si>
  <si>
    <t>11</t>
  </si>
  <si>
    <t>Elderly Rental Housing Program</t>
  </si>
  <si>
    <t>Market</t>
  </si>
  <si>
    <t>Insurance Carrier</t>
  </si>
  <si>
    <t>New/Rehab/Refinance</t>
  </si>
  <si>
    <t>12</t>
  </si>
  <si>
    <t>Emergency Rental Assistance Program</t>
  </si>
  <si>
    <t>Landlord</t>
  </si>
  <si>
    <t>Refinance</t>
  </si>
  <si>
    <t>13</t>
  </si>
  <si>
    <t>Emergency Solutions Grant Program</t>
  </si>
  <si>
    <t>Law Firm</t>
  </si>
  <si>
    <t>Rehab</t>
  </si>
  <si>
    <t>14</t>
  </si>
  <si>
    <t>Emerging Developer Loan Fund</t>
  </si>
  <si>
    <t>MBE-WBE Participant</t>
  </si>
  <si>
    <t>Rehab/Refinance</t>
  </si>
  <si>
    <t>15</t>
  </si>
  <si>
    <t>EmPOWER</t>
  </si>
  <si>
    <t>Mortgagor</t>
  </si>
  <si>
    <t>16</t>
  </si>
  <si>
    <t>Energy Investment Fund</t>
  </si>
  <si>
    <t>17</t>
  </si>
  <si>
    <t>Federal Historic Tax Credit Proceeds</t>
  </si>
  <si>
    <t>Partner</t>
  </si>
  <si>
    <t>18</t>
  </si>
  <si>
    <t>Federal Home Loan Bank</t>
  </si>
  <si>
    <t>19</t>
  </si>
  <si>
    <t>Federal Lead Hazard Reduction Program</t>
  </si>
  <si>
    <t>Site Management</t>
  </si>
  <si>
    <t>20</t>
  </si>
  <si>
    <t>FHA MIP</t>
  </si>
  <si>
    <t>Sponsor</t>
  </si>
  <si>
    <t>21</t>
  </si>
  <si>
    <t>Financial Adjustment Factor</t>
  </si>
  <si>
    <t>Syndicator</t>
  </si>
  <si>
    <t>22</t>
  </si>
  <si>
    <t>General Bond Reserve Fund</t>
  </si>
  <si>
    <t>Title Company</t>
  </si>
  <si>
    <t>23</t>
  </si>
  <si>
    <t>Group Home Acquisition Program</t>
  </si>
  <si>
    <t>24</t>
  </si>
  <si>
    <t>Group Home Financing Program</t>
  </si>
  <si>
    <t>25</t>
  </si>
  <si>
    <t>HOME - American Rescue Plan</t>
  </si>
  <si>
    <t>Owner</t>
  </si>
  <si>
    <t>26</t>
  </si>
  <si>
    <t>HOME - Group Home</t>
  </si>
  <si>
    <t>Accountant</t>
  </si>
  <si>
    <t>27</t>
  </si>
  <si>
    <t>HOME - Investment Program</t>
  </si>
  <si>
    <t>28</t>
  </si>
  <si>
    <t>HOME (non-DHCD)</t>
  </si>
  <si>
    <t>Lender</t>
  </si>
  <si>
    <t>29</t>
  </si>
  <si>
    <t>Home Energy Loan Program</t>
  </si>
  <si>
    <t>Management Entity</t>
  </si>
  <si>
    <t>30</t>
  </si>
  <si>
    <t>Home Ownership Works - a/k/a UpLIFT</t>
  </si>
  <si>
    <t>Mortgage Banker</t>
  </si>
  <si>
    <t>31</t>
  </si>
  <si>
    <t>HOME Special Loans</t>
  </si>
  <si>
    <t>Partnership</t>
  </si>
  <si>
    <t>32</t>
  </si>
  <si>
    <t>HOME-Initiatives</t>
  </si>
  <si>
    <t>33</t>
  </si>
  <si>
    <t>Housing Innovation Pilot Program</t>
  </si>
  <si>
    <t>34</t>
  </si>
  <si>
    <t>Housing Trust Fund</t>
  </si>
  <si>
    <t>35</t>
  </si>
  <si>
    <t>Indoor Plumbing Program</t>
  </si>
  <si>
    <t>36</t>
  </si>
  <si>
    <t>Interim Income</t>
  </si>
  <si>
    <t>37</t>
  </si>
  <si>
    <t>Lead Hazard Reduction Grant and Loan Program</t>
  </si>
  <si>
    <t>38</t>
  </si>
  <si>
    <t>Low Income Housing Tax Credit (Section 42)</t>
  </si>
  <si>
    <t>39</t>
  </si>
  <si>
    <t>MacArthur Loan/Grant Funds</t>
  </si>
  <si>
    <t>40</t>
  </si>
  <si>
    <t>Maryland Affordable Housing Trust</t>
  </si>
  <si>
    <t>41</t>
  </si>
  <si>
    <t>Maryland Appalachian Housing Fund</t>
  </si>
  <si>
    <t>42</t>
  </si>
  <si>
    <t>Maryland Historic Trust</t>
  </si>
  <si>
    <t>43</t>
  </si>
  <si>
    <t>Maryland Housing Fund</t>
  </si>
  <si>
    <t>44</t>
  </si>
  <si>
    <t>Maryland Housing Rehabilitation Program - MF</t>
  </si>
  <si>
    <t>45</t>
  </si>
  <si>
    <t>Maryland Multifamily Bond Program</t>
  </si>
  <si>
    <t>46</t>
  </si>
  <si>
    <t>Maryland Multifamily Bond Program - Tax Exempt</t>
  </si>
  <si>
    <t>47</t>
  </si>
  <si>
    <t>Maryland Multifamily Bond Program - Taxable</t>
  </si>
  <si>
    <t>01A</t>
  </si>
  <si>
    <t>MD - Base Realignment</t>
  </si>
  <si>
    <t>01B</t>
  </si>
  <si>
    <t>Multifamily Capital Fund</t>
  </si>
  <si>
    <t>01C</t>
  </si>
  <si>
    <t>Multifamily Energy Efficiency and Housing Affordability</t>
  </si>
  <si>
    <t>02A</t>
  </si>
  <si>
    <t>Naional Capital Strategic Economic Development Fund</t>
  </si>
  <si>
    <t>02B</t>
  </si>
  <si>
    <t>Neighborhood Business Development Program</t>
  </si>
  <si>
    <t>02C</t>
  </si>
  <si>
    <t>Neighborhood Conservation Initiative</t>
  </si>
  <si>
    <t>03A</t>
  </si>
  <si>
    <t>Neighborhood Rehabilitation Program</t>
  </si>
  <si>
    <t>03B</t>
  </si>
  <si>
    <t>Net Zero</t>
  </si>
  <si>
    <t>04A</t>
  </si>
  <si>
    <t>NonProfit Rehabilitation Program</t>
  </si>
  <si>
    <t>05A</t>
  </si>
  <si>
    <t>Office and Commercial Space Conversion Program</t>
  </si>
  <si>
    <t>09A</t>
  </si>
  <si>
    <t>Other Cash Flow Financing</t>
  </si>
  <si>
    <t>09B</t>
  </si>
  <si>
    <t>Other Debt Service</t>
  </si>
  <si>
    <t>12A</t>
  </si>
  <si>
    <t>Other Equity</t>
  </si>
  <si>
    <t>12B</t>
  </si>
  <si>
    <t>Partnership Rental Housing Program</t>
  </si>
  <si>
    <t>13A</t>
  </si>
  <si>
    <t>Private Loan</t>
  </si>
  <si>
    <t>13B</t>
  </si>
  <si>
    <t>Project CORE</t>
  </si>
  <si>
    <t>14B</t>
  </si>
  <si>
    <t>Rental Housing Production Program (formerly RHP)</t>
  </si>
  <si>
    <t>22A</t>
  </si>
  <si>
    <t>Rental Housing Program</t>
  </si>
  <si>
    <t>22B</t>
  </si>
  <si>
    <t>Rental Housing Works</t>
  </si>
  <si>
    <t>23B</t>
  </si>
  <si>
    <t>Rental Rehabilitation Program</t>
  </si>
  <si>
    <t>27A</t>
  </si>
  <si>
    <t>Residential Lead Abatement Program</t>
  </si>
  <si>
    <t>27B</t>
  </si>
  <si>
    <t>RHPP - Rental Housing Production Program;</t>
  </si>
  <si>
    <t>29A</t>
  </si>
  <si>
    <t>Seller Note</t>
  </si>
  <si>
    <t>29B</t>
  </si>
  <si>
    <t>Shelter and Transitional Housing Facilities Grant Program</t>
  </si>
  <si>
    <t>29C</t>
  </si>
  <si>
    <t>Special Housing Opportunity Program</t>
  </si>
  <si>
    <t>33A</t>
  </si>
  <si>
    <t>State Historic Tax Credit Proceeds</t>
  </si>
  <si>
    <t>34A</t>
  </si>
  <si>
    <t>State Revitalization Program</t>
  </si>
  <si>
    <t>34B</t>
  </si>
  <si>
    <t>State Small Business Credit Initiative (SSBCI)</t>
  </si>
  <si>
    <t>35A</t>
  </si>
  <si>
    <t>Strategic Demolition Fund (SDF) [formerly Smart Growth Impact Fund (SGIF)]</t>
  </si>
  <si>
    <t>35B</t>
  </si>
  <si>
    <t>Supportive Housing for Persons with Disabilities</t>
  </si>
  <si>
    <t>37A</t>
  </si>
  <si>
    <t>Tax Credit Assistance Program</t>
  </si>
  <si>
    <t>37B</t>
  </si>
  <si>
    <t>Tax Credit Exchange Program</t>
  </si>
  <si>
    <t>38A</t>
  </si>
  <si>
    <t>Transitional Housing Grant Program</t>
  </si>
  <si>
    <t>38B</t>
  </si>
  <si>
    <t>Weinberg Loan</t>
  </si>
  <si>
    <t>47A</t>
  </si>
  <si>
    <t>Yield Reduction Factor</t>
  </si>
  <si>
    <t>PROJECT INCOME</t>
  </si>
  <si>
    <t>RESIDENTIAL RENTAL INCOME</t>
  </si>
  <si>
    <t>Low-Income Units</t>
  </si>
  <si>
    <t>Unit Description</t>
  </si>
  <si>
    <t>Unit Size</t>
  </si>
  <si>
    <t>Median Income</t>
  </si>
  <si>
    <t>Bedrooms</t>
  </si>
  <si>
    <t>Baths</t>
  </si>
  <si>
    <t xml:space="preserve">Number of Units </t>
  </si>
  <si>
    <t>(Net leasable Sq. Ft.)</t>
  </si>
  <si>
    <t>Tenant Utilities*</t>
  </si>
  <si>
    <t>"Resident Paid" Rent</t>
  </si>
  <si>
    <t>Rent Subsidy</t>
  </si>
  <si>
    <t>Rent Subsidy Source</t>
  </si>
  <si>
    <t>Income       Per Unit</t>
  </si>
  <si>
    <t>Monthly Income</t>
  </si>
  <si>
    <t>Annual Income</t>
  </si>
  <si>
    <t>Rent Subsidy?</t>
  </si>
  <si>
    <t xml:space="preserve">Rental Assistance Demonstration (RAD) or other PHA conversion to </t>
  </si>
  <si>
    <t xml:space="preserve">based rental assistance. </t>
  </si>
  <si>
    <t>Section 8 New Construction Substantial Rehabilitation</t>
  </si>
  <si>
    <t>Section 8 Moderate Rehabilitation</t>
  </si>
  <si>
    <t>Section 8 Certificates</t>
  </si>
  <si>
    <t>Section 8 Project Based Assistance</t>
  </si>
  <si>
    <t>RD 515 Rental Assistance</t>
  </si>
  <si>
    <t>Section 8 Vouchers</t>
  </si>
  <si>
    <t>*Administering Organization:</t>
  </si>
  <si>
    <t>State Assistance</t>
  </si>
  <si>
    <t>Total LIHTC</t>
  </si>
  <si>
    <r>
      <t>Vacancy Allowance</t>
    </r>
    <r>
      <rPr>
        <i/>
        <sz val="10"/>
        <rFont val="Times New Roman"/>
        <family val="1"/>
      </rPr>
      <t xml:space="preserve"> (Total Annual Income x Vacancy Rate)</t>
    </r>
  </si>
  <si>
    <r>
      <t>Effective Gross Income/Low Income Units</t>
    </r>
    <r>
      <rPr>
        <i/>
        <sz val="10"/>
        <rFont val="Times New Roman"/>
        <family val="1"/>
      </rPr>
      <t xml:space="preserve"> (Total Annual Income - Vacancy Allowance)</t>
    </r>
  </si>
  <si>
    <t>Market Rate Units</t>
  </si>
  <si>
    <r>
      <t>(Net Leasable Sq. Ft.</t>
    </r>
    <r>
      <rPr>
        <i/>
        <sz val="10"/>
        <rFont val="Times New Roman"/>
        <family val="1"/>
      </rPr>
      <t>)</t>
    </r>
  </si>
  <si>
    <t>Resident Paid Rent</t>
  </si>
  <si>
    <t>Total Market Rate</t>
  </si>
  <si>
    <r>
      <t>Vacancy Allowance</t>
    </r>
    <r>
      <rPr>
        <i/>
        <sz val="9.5"/>
        <rFont val="Times New Roman"/>
        <family val="1"/>
      </rPr>
      <t xml:space="preserve"> </t>
    </r>
    <r>
      <rPr>
        <i/>
        <sz val="9"/>
        <rFont val="Times New Roman"/>
        <family val="1"/>
      </rPr>
      <t>(Total Annual Income x Vacancy Rate)</t>
    </r>
  </si>
  <si>
    <r>
      <t>Effective Gross Income/Market Rate Units</t>
    </r>
    <r>
      <rPr>
        <sz val="10"/>
        <rFont val="Times New Roman"/>
        <family val="1"/>
      </rPr>
      <t/>
    </r>
  </si>
  <si>
    <t>(Total Annual Income - Vacancy Allowance)</t>
  </si>
  <si>
    <t xml:space="preserve">  Household Electric</t>
  </si>
  <si>
    <t xml:space="preserve">  Cooking </t>
  </si>
  <si>
    <t xml:space="preserve">  Air Conditioning</t>
  </si>
  <si>
    <t xml:space="preserve">  Heat:</t>
  </si>
  <si>
    <t xml:space="preserve">  Hot Water</t>
  </si>
  <si>
    <t>NONRESIDENTIAL INCOME</t>
  </si>
  <si>
    <t>Description of Type and Size</t>
  </si>
  <si>
    <t>Lease Years</t>
  </si>
  <si>
    <t>Square footage</t>
  </si>
  <si>
    <t>Misc. Income</t>
  </si>
  <si>
    <t>Commercial Income</t>
  </si>
  <si>
    <t>Total Nonresidential</t>
  </si>
  <si>
    <t>Vacancy Allowance - Nonresidential (Total Annual Income x Vacancy Rate)</t>
  </si>
  <si>
    <t>Vacancy Allowance - Commercial Income (Total Annual Income x Vacancy Rate)</t>
  </si>
  <si>
    <r>
      <t>Effective Gross Income/Nonresidential Space</t>
    </r>
    <r>
      <rPr>
        <i/>
        <sz val="10"/>
        <rFont val="Times New Roman"/>
        <family val="1"/>
      </rPr>
      <t xml:space="preserve"> (Total Annual Income - Vacancy Allowance)</t>
    </r>
  </si>
  <si>
    <r>
      <t>Effective Gross Income</t>
    </r>
    <r>
      <rPr>
        <i/>
        <sz val="10"/>
        <rFont val="Times New Roman"/>
        <family val="1"/>
      </rPr>
      <t xml:space="preserve"> (sum Low Income, Market Rate, Nonresidential totals)</t>
    </r>
  </si>
  <si>
    <t>NON-INCOME PRODUCING RESIDENTIAL UNITS</t>
  </si>
  <si>
    <t>Number of Units</t>
  </si>
  <si>
    <t>Square Footage</t>
  </si>
  <si>
    <t>Total Non-income Producing Units</t>
  </si>
  <si>
    <t>ADMINISTRATIVE EXPENSES</t>
  </si>
  <si>
    <t>Advertising and Marketing</t>
  </si>
  <si>
    <t>Office Salaries</t>
  </si>
  <si>
    <t>Office Supplies</t>
  </si>
  <si>
    <t>Office or Model Apartment Rent</t>
  </si>
  <si>
    <t>Management Fee</t>
  </si>
  <si>
    <t xml:space="preserve"> (Effective Gross Income x Annual Rate of </t>
  </si>
  <si>
    <t>)</t>
  </si>
  <si>
    <t>Manager or Superintendent Rent Free Unit</t>
  </si>
  <si>
    <r>
      <t>Legal Expenses</t>
    </r>
    <r>
      <rPr>
        <i/>
        <sz val="10"/>
        <rFont val="Times New Roman"/>
        <family val="1"/>
      </rPr>
      <t xml:space="preserve"> (project only)</t>
    </r>
  </si>
  <si>
    <r>
      <t>Auditing Expenses</t>
    </r>
    <r>
      <rPr>
        <i/>
        <sz val="10"/>
        <rFont val="Times New Roman"/>
        <family val="1"/>
      </rPr>
      <t xml:space="preserve"> (project only)</t>
    </r>
  </si>
  <si>
    <t>Bookkeeping Fees and Accounting Services</t>
  </si>
  <si>
    <t>Telephone and Answering Services</t>
  </si>
  <si>
    <t>Bad Debts</t>
  </si>
  <si>
    <t>Miscellaneous Administrative Expenses 1</t>
  </si>
  <si>
    <t>Miscellaneous Administrative Expenses 2</t>
  </si>
  <si>
    <t>Miscellaneous Administrative Expenses 3</t>
  </si>
  <si>
    <t>Total Administrative Expenses</t>
  </si>
  <si>
    <t>Fuel Oil</t>
  </si>
  <si>
    <t>Electricity</t>
  </si>
  <si>
    <t>Gas</t>
  </si>
  <si>
    <t>Water</t>
  </si>
  <si>
    <t>Sewer</t>
  </si>
  <si>
    <t>Total Utility Expenses</t>
  </si>
  <si>
    <t>OPERATING AND MAINTENANCE EXPENSES</t>
  </si>
  <si>
    <t>Janitor and Cleaning Payroll</t>
  </si>
  <si>
    <t>Janitor and Cleaning Supplies</t>
  </si>
  <si>
    <t>Janitor and Cleaning Contract</t>
  </si>
  <si>
    <t>Exterminating Payroll or Contract</t>
  </si>
  <si>
    <t>Exterminating Supplies</t>
  </si>
  <si>
    <t>Garbage and Trash Removal</t>
  </si>
  <si>
    <t>Security Payroll or Contract</t>
  </si>
  <si>
    <t>Grounds Payroll</t>
  </si>
  <si>
    <t>Grounds Supplies</t>
  </si>
  <si>
    <t>Grounds Contract</t>
  </si>
  <si>
    <t>Repairs Payroll</t>
  </si>
  <si>
    <t>Repairs Material</t>
  </si>
  <si>
    <t>Repairs Contract</t>
  </si>
  <si>
    <t>Elevator Maintenance or Contract</t>
  </si>
  <si>
    <t>Heating and Air Conditioning Maintenance or Contract</t>
  </si>
  <si>
    <t>Swimming Pool Maintenance or Contract</t>
  </si>
  <si>
    <t>Snow Removal</t>
  </si>
  <si>
    <t>Decorating Payroll or Contract</t>
  </si>
  <si>
    <t>Decorating Supplies</t>
  </si>
  <si>
    <r>
      <t>Other Operating and Maintenance Expenses</t>
    </r>
    <r>
      <rPr>
        <i/>
        <sz val="10"/>
        <rFont val="Times New Roman"/>
        <family val="1"/>
      </rPr>
      <t/>
    </r>
  </si>
  <si>
    <t>Miscellaneous Operating and Maintenance Expenses</t>
  </si>
  <si>
    <t>Total Operating and Maintenance Expenses</t>
  </si>
  <si>
    <t>Real Estate Taxes</t>
  </si>
  <si>
    <t>Payment in Lieu of Real Estate Taxes</t>
  </si>
  <si>
    <t xml:space="preserve">Total: </t>
  </si>
  <si>
    <t xml:space="preserve">Years: </t>
  </si>
  <si>
    <t xml:space="preserve">Annual: </t>
  </si>
  <si>
    <t>Payroll Taxes (FICA)</t>
  </si>
  <si>
    <t>Miscellaneous Taxes, Licenses and Permits</t>
  </si>
  <si>
    <r>
      <t xml:space="preserve">Property Insurance </t>
    </r>
    <r>
      <rPr>
        <i/>
        <sz val="10"/>
        <rFont val="Times New Roman"/>
        <family val="1"/>
      </rPr>
      <t>(hazard)</t>
    </r>
  </si>
  <si>
    <t>Liability Insurance</t>
  </si>
  <si>
    <t>Fidelity Bond Insurance</t>
  </si>
  <si>
    <t>Workmen's Compensation</t>
  </si>
  <si>
    <t>Health Insurance and Other Employee Benefits</t>
  </si>
  <si>
    <r>
      <t>Other Insurance</t>
    </r>
    <r>
      <rPr>
        <i/>
        <sz val="10"/>
        <rFont val="Times New Roman"/>
        <family val="1"/>
      </rPr>
      <t xml:space="preserve"> </t>
    </r>
  </si>
  <si>
    <t>Reserve for Replacement</t>
  </si>
  <si>
    <t>Per unit</t>
  </si>
  <si>
    <t>Per month</t>
  </si>
  <si>
    <t>Total Operating Expenses</t>
  </si>
  <si>
    <r>
      <t>Net Operating Income</t>
    </r>
    <r>
      <rPr>
        <b/>
        <i/>
        <sz val="10"/>
        <rFont val="Times New Roman"/>
        <family val="1"/>
      </rPr>
      <t xml:space="preserve"> </t>
    </r>
    <r>
      <rPr>
        <i/>
        <sz val="10"/>
        <rFont val="Times New Roman"/>
        <family val="1"/>
      </rPr>
      <t>(Effective Gross Income - Total Operating Expenses)</t>
    </r>
  </si>
  <si>
    <t>Per Unit Operating Expenses less Reserve for Replacement</t>
  </si>
  <si>
    <t>DEBT</t>
  </si>
  <si>
    <t>Rate Guidance as of:</t>
  </si>
  <si>
    <t>1st  Mortgage</t>
  </si>
  <si>
    <t>Type of Funds</t>
  </si>
  <si>
    <t>Source of Funds</t>
  </si>
  <si>
    <t>Annual Payment</t>
  </si>
  <si>
    <t>Interest Rate</t>
  </si>
  <si>
    <t>Amortization Term</t>
  </si>
  <si>
    <t>Loan Term</t>
  </si>
  <si>
    <t>Loan Amount</t>
  </si>
  <si>
    <t>Rate</t>
  </si>
  <si>
    <t>_</t>
  </si>
  <si>
    <t>Proposed 1st Mortgage</t>
  </si>
  <si>
    <t>Enter Entity Name</t>
  </si>
  <si>
    <r>
      <t xml:space="preserve">MIP </t>
    </r>
    <r>
      <rPr>
        <b/>
        <i/>
        <sz val="10"/>
        <color rgb="FFC00000"/>
        <rFont val="Times New Roman"/>
        <family val="1"/>
      </rPr>
      <t xml:space="preserve"> (if Applicable)</t>
    </r>
  </si>
  <si>
    <t>Rental Housing Program Funds</t>
  </si>
  <si>
    <t xml:space="preserve"> (Must pay debt)</t>
  </si>
  <si>
    <t>Maryland DHCD</t>
  </si>
  <si>
    <t>Amount</t>
  </si>
  <si>
    <r>
      <t>HOME</t>
    </r>
    <r>
      <rPr>
        <i/>
        <sz val="10"/>
        <rFont val="Times New Roman"/>
        <family val="1"/>
      </rPr>
      <t xml:space="preserve"> </t>
    </r>
    <r>
      <rPr>
        <i/>
        <sz val="10"/>
        <color rgb="FF0000FF"/>
        <rFont val="Times New Roman"/>
        <family val="1"/>
      </rPr>
      <t>(non-DHCD)</t>
    </r>
  </si>
  <si>
    <t>MIP Payment</t>
  </si>
  <si>
    <r>
      <t xml:space="preserve">2nd Must Pay Loan </t>
    </r>
    <r>
      <rPr>
        <b/>
        <i/>
        <sz val="10"/>
        <color rgb="FFC00000"/>
        <rFont val="Times New Roman"/>
        <family val="1"/>
      </rPr>
      <t>(if applicable)</t>
    </r>
  </si>
  <si>
    <t>Total Debt Service Financing</t>
  </si>
  <si>
    <t xml:space="preserve">Total Tax-Exempt Loan: </t>
  </si>
  <si>
    <t>Total Payment</t>
  </si>
  <si>
    <t>Partnership Rental Housing Program Funds</t>
  </si>
  <si>
    <t>Weinberg</t>
  </si>
  <si>
    <t>MEEHA</t>
  </si>
  <si>
    <t>Total Cash Flow Financing</t>
  </si>
  <si>
    <r>
      <t>Total Debt</t>
    </r>
    <r>
      <rPr>
        <b/>
        <i/>
        <sz val="10"/>
        <rFont val="Times New Roman"/>
        <family val="1"/>
      </rPr>
      <t xml:space="preserve"> </t>
    </r>
    <r>
      <rPr>
        <i/>
        <sz val="10"/>
        <rFont val="Times New Roman"/>
        <family val="1"/>
      </rPr>
      <t>(Debt Service + Cash Flow Financing)</t>
    </r>
  </si>
  <si>
    <t>EQUITY</t>
  </si>
  <si>
    <t>Type of Equity</t>
  </si>
  <si>
    <t>Source of Equity</t>
  </si>
  <si>
    <r>
      <rPr>
        <sz val="10"/>
        <rFont val="Times New Roman"/>
        <family val="1"/>
      </rPr>
      <t>Federal Historic Tax Credit Proceeds</t>
    </r>
    <r>
      <rPr>
        <i/>
        <sz val="10"/>
        <rFont val="Times New Roman"/>
        <family val="1"/>
      </rPr>
      <t xml:space="preserve"> (from Tax Credit section)</t>
    </r>
  </si>
  <si>
    <r>
      <t>State Historic Tax Credit Proceeds</t>
    </r>
    <r>
      <rPr>
        <i/>
        <sz val="10"/>
        <rFont val="Times New Roman"/>
        <family val="1"/>
      </rPr>
      <t xml:space="preserve"> (from Tax Credit section)</t>
    </r>
  </si>
  <si>
    <r>
      <t>Low Income Housing Tax Credit Proceeds</t>
    </r>
    <r>
      <rPr>
        <i/>
        <sz val="10"/>
        <rFont val="Times New Roman"/>
        <family val="1"/>
      </rPr>
      <t xml:space="preserve"> (from Tax Credit section)</t>
    </r>
  </si>
  <si>
    <t>Provide a construction period income and expense budget</t>
  </si>
  <si>
    <t>Total Equity</t>
  </si>
  <si>
    <r>
      <t>Total Sources of Funds</t>
    </r>
    <r>
      <rPr>
        <sz val="10"/>
        <rFont val="Times New Roman"/>
        <family val="1"/>
      </rPr>
      <t xml:space="preserve"> </t>
    </r>
    <r>
      <rPr>
        <i/>
        <sz val="10"/>
        <rFont val="Times New Roman"/>
        <family val="1"/>
      </rPr>
      <t>(Total Debt + Equity)</t>
    </r>
  </si>
  <si>
    <t>=IF((USES!I128-M42)&gt;'TAX CREDIT'!J103,'TAX CREDIT'!J103,(USES!I128-M42))</t>
  </si>
  <si>
    <t>Uses</t>
  </si>
  <si>
    <r>
      <t xml:space="preserve">Surplus / </t>
    </r>
    <r>
      <rPr>
        <b/>
        <sz val="10"/>
        <color rgb="FFC00000"/>
        <rFont val="Times New Roman"/>
        <family val="1"/>
      </rPr>
      <t>(Gap)</t>
    </r>
  </si>
  <si>
    <t>USES OF FUNDS</t>
  </si>
  <si>
    <t>TOTAL DEVELOPMENT COSTS</t>
  </si>
  <si>
    <t>Construction  or Rehabilitation Costs</t>
  </si>
  <si>
    <t>Type of Uses</t>
  </si>
  <si>
    <t>Percentage</t>
  </si>
  <si>
    <t>Total Budgeted Cost</t>
  </si>
  <si>
    <t>Acquisition Basis*</t>
  </si>
  <si>
    <t>Construction Basis*</t>
  </si>
  <si>
    <t>Not in Basis*</t>
  </si>
  <si>
    <t>Net Construction Costs</t>
  </si>
  <si>
    <t>General Requirements</t>
  </si>
  <si>
    <t>Builder's Profit</t>
  </si>
  <si>
    <t>Builder's General Overhead</t>
  </si>
  <si>
    <t>Bond Premium</t>
  </si>
  <si>
    <t xml:space="preserve">Total Construction Contract </t>
  </si>
  <si>
    <t>Construction Contingency</t>
  </si>
  <si>
    <t>Fees Related to Construction or Rehabilitation</t>
  </si>
  <si>
    <t>Architect's Design Fee</t>
  </si>
  <si>
    <t>Architect's Supervision Fee</t>
  </si>
  <si>
    <t>Architect Reimbursable Additional Design</t>
  </si>
  <si>
    <t>Real Estate Attorney</t>
  </si>
  <si>
    <t>Marketing</t>
  </si>
  <si>
    <t>Surveys</t>
  </si>
  <si>
    <t>Soil Borings</t>
  </si>
  <si>
    <t>Appraisal</t>
  </si>
  <si>
    <t>Market Study</t>
  </si>
  <si>
    <t>Environmental Report</t>
  </si>
  <si>
    <t>Environmental Consultant</t>
  </si>
  <si>
    <t>Building Permits and Fees</t>
  </si>
  <si>
    <t>Tap Fees</t>
  </si>
  <si>
    <t>FF&amp;E</t>
  </si>
  <si>
    <t>Offsite Infrastructure</t>
  </si>
  <si>
    <t>Solar Installation</t>
  </si>
  <si>
    <t>Financing Fees and Charges</t>
  </si>
  <si>
    <t>Negative Arbitrage</t>
  </si>
  <si>
    <t>Insurance Premium</t>
  </si>
  <si>
    <t>Mortgage Insurance Premium</t>
  </si>
  <si>
    <t>Title and Recording</t>
  </si>
  <si>
    <t>2.5% maximum =</t>
  </si>
  <si>
    <t>CDA Subordinate Loan Commitment Fees (RHP)</t>
  </si>
  <si>
    <t>CDA Subordinate Loan Commitment Fees (RHW)</t>
  </si>
  <si>
    <t>CDA Subordinate Loan Commitment Fees (PRHP)</t>
  </si>
  <si>
    <t>CDA Loan Servicing Fee</t>
  </si>
  <si>
    <t>Other Lenders' Origination Fees (non-syndication only)</t>
  </si>
  <si>
    <t>Other Lenders' Legal Fees (non-syndication only)</t>
  </si>
  <si>
    <t>FHA Lender Legal</t>
  </si>
  <si>
    <t>FHA Lender Fee</t>
  </si>
  <si>
    <t>FHA Lender Due Diligence</t>
  </si>
  <si>
    <t>Total Financing Fees and Charges</t>
  </si>
  <si>
    <t>* Complete for Tax Credit Applications Only</t>
  </si>
  <si>
    <t>Acquisition Costs</t>
  </si>
  <si>
    <t>Building Acquisition</t>
  </si>
  <si>
    <t>Land Acquisition</t>
  </si>
  <si>
    <t>If a rehabilitation project, describe land acquisition cost</t>
  </si>
  <si>
    <t>Special Assessment</t>
  </si>
  <si>
    <t>Carrying Charges</t>
  </si>
  <si>
    <t>Relocation Costs</t>
  </si>
  <si>
    <t>Off-Site Improvements</t>
  </si>
  <si>
    <t>Total Acquisition Costs</t>
  </si>
  <si>
    <t>Total Development Costs (TDC)</t>
  </si>
  <si>
    <t>OTHER USES OF FUNDS</t>
  </si>
  <si>
    <t>Developer's Fee</t>
  </si>
  <si>
    <r>
      <t>Fee on Non-Acquisition Costs</t>
    </r>
    <r>
      <rPr>
        <i/>
        <sz val="10"/>
        <rFont val="Times New Roman"/>
        <family val="1"/>
      </rPr>
      <t xml:space="preserve"> (calculated below)</t>
    </r>
  </si>
  <si>
    <r>
      <t>Fee on Acquisition Costs</t>
    </r>
    <r>
      <rPr>
        <i/>
        <sz val="10"/>
        <rFont val="Times New Roman"/>
        <family val="1"/>
      </rPr>
      <t xml:space="preserve"> (calculated below)</t>
    </r>
  </si>
  <si>
    <t>Total Developer's Fee</t>
  </si>
  <si>
    <t>Syndication Related Costs</t>
  </si>
  <si>
    <t>Syndication Fee</t>
  </si>
  <si>
    <r>
      <t>Legal</t>
    </r>
    <r>
      <rPr>
        <i/>
        <sz val="10"/>
        <rFont val="Times New Roman"/>
        <family val="1"/>
      </rPr>
      <t xml:space="preserve"> (syndication only)</t>
    </r>
  </si>
  <si>
    <t>Bridge Loan Fees</t>
  </si>
  <si>
    <t>Bridge Loan Interest</t>
  </si>
  <si>
    <t>Organizational Costs</t>
  </si>
  <si>
    <t>Tax Credit Application Fee</t>
  </si>
  <si>
    <t>Tax Credit Allocation Fee</t>
  </si>
  <si>
    <t>Tax Credit Reservation Fee</t>
  </si>
  <si>
    <t>Accounting and Auditing Fee</t>
  </si>
  <si>
    <t>Total Syndication Related Costs</t>
  </si>
  <si>
    <r>
      <t>Guarantees and Reserves</t>
    </r>
    <r>
      <rPr>
        <i/>
        <sz val="10"/>
        <rFont val="Times New Roman"/>
        <family val="1"/>
      </rPr>
      <t xml:space="preserve"> (funded amounts only)</t>
    </r>
  </si>
  <si>
    <t>Construction Guarantee</t>
  </si>
  <si>
    <t>Operating Reserve</t>
  </si>
  <si>
    <t>6 months (Operating + Debt Service Reserve) =</t>
  </si>
  <si>
    <t>Debt Service Reserve</t>
  </si>
  <si>
    <t>Rent-up Reserve</t>
  </si>
  <si>
    <t>Supportive Services Reserve</t>
  </si>
  <si>
    <r>
      <rPr>
        <sz val="10"/>
        <rFont val="Times New Roman"/>
        <family val="1"/>
      </rPr>
      <t xml:space="preserve">Developer Fee Funded Supportive Services / Rent Subsidy / Sponsor Note Reserve </t>
    </r>
  </si>
  <si>
    <t>Transition Reserve / Operating Deficit Reserve</t>
  </si>
  <si>
    <t>Other Reserve:</t>
  </si>
  <si>
    <t>Total Guarantees and Reserves</t>
  </si>
  <si>
    <t>Total Uses of Funds</t>
  </si>
  <si>
    <t>MAXIMUM DEVELOPER'S FEE</t>
  </si>
  <si>
    <t>Fee on Non-acquisition Costs</t>
  </si>
  <si>
    <t>Fee on Costs Over $10 Million</t>
  </si>
  <si>
    <t>Non-acquisition Costs</t>
  </si>
  <si>
    <t>Non-acquisition Fee Basis</t>
  </si>
  <si>
    <t>Fee Percentage</t>
  </si>
  <si>
    <t>Total =</t>
  </si>
  <si>
    <t>Fee on Acquisition Costs</t>
  </si>
  <si>
    <t>Acquisition Fee Basis</t>
  </si>
  <si>
    <r>
      <t>Total Developer's Fee</t>
    </r>
    <r>
      <rPr>
        <b/>
        <i/>
        <sz val="10"/>
        <rFont val="Times New Roman"/>
        <family val="1"/>
      </rPr>
      <t xml:space="preserve"> </t>
    </r>
    <r>
      <rPr>
        <i/>
        <sz val="10"/>
        <rFont val="Times New Roman"/>
        <family val="1"/>
      </rPr>
      <t>(Fee on Non-acquisition Costs + Fee on Acquisition Cost)</t>
    </r>
  </si>
  <si>
    <t>See Guide, Section 3.9.8.3 for Limitations on Developer's Fees</t>
  </si>
  <si>
    <t xml:space="preserve">MAXIMUM DEVELOPER FEE FUNDED SUPPORTIVE SERVICES /RENT SUBSIDY/SPONSOR NOTE RESERVE </t>
  </si>
  <si>
    <t>Total Developer's Fee Attributed to Supportive Services Reserve</t>
  </si>
  <si>
    <t>Complete This Section Only If Applying For Low Income Housing Tax Credits</t>
  </si>
  <si>
    <r>
      <t>Acquisition</t>
    </r>
    <r>
      <rPr>
        <i/>
        <sz val="10"/>
        <rFont val="Times New Roman"/>
        <family val="1"/>
      </rPr>
      <t xml:space="preserve"> (must include substantial rehabilitation as defined in Tax Credit Regulations)</t>
    </r>
  </si>
  <si>
    <r>
      <t xml:space="preserve">Substantial Rehabilitation </t>
    </r>
    <r>
      <rPr>
        <i/>
        <sz val="10"/>
        <rFont val="Times New Roman"/>
        <family val="1"/>
      </rPr>
      <t>(as defined in Tax Credit Regulations--Department's standard is different)</t>
    </r>
  </si>
  <si>
    <r>
      <t xml:space="preserve">EXISTING BUILDING INFORMATION </t>
    </r>
    <r>
      <rPr>
        <i/>
        <sz val="10"/>
        <color rgb="FF0000FF"/>
        <rFont val="Times New Roman"/>
        <family val="1"/>
      </rPr>
      <t>(fill out if applicable)</t>
    </r>
  </si>
  <si>
    <t>Location and Placed-in-Service Information</t>
  </si>
  <si>
    <t>Building Identification Number (BIN) (If Applicable)</t>
  </si>
  <si>
    <t>Control Document</t>
  </si>
  <si>
    <t>Date Control Document Expires</t>
  </si>
  <si>
    <t>Purchase Price</t>
  </si>
  <si>
    <t>Date Last Placed in Service (PIS)</t>
  </si>
  <si>
    <t>Sponsor's  Purchase Date</t>
  </si>
  <si>
    <t>Years Between PIS &amp; Purchase Date</t>
  </si>
  <si>
    <r>
      <t>Ten Year Rule Exemption:</t>
    </r>
    <r>
      <rPr>
        <sz val="10"/>
        <rFont val="Times New Roman"/>
        <family val="1"/>
      </rPr>
      <t xml:space="preserve">  Does the building qualify for an exemption to the 10 Year Rule as provided in HR 3221?*</t>
    </r>
  </si>
  <si>
    <t>* If yes, application must include written explanation and legal opinion.</t>
  </si>
  <si>
    <r>
      <t>Substantial Rehabilitation Determination</t>
    </r>
    <r>
      <rPr>
        <i/>
        <sz val="10"/>
        <rFont val="Times New Roman"/>
        <family val="1"/>
      </rPr>
      <t xml:space="preserve"> (for Tax Credit eligibility -- Department's standard is different)</t>
    </r>
  </si>
  <si>
    <t>Total rehabilitation related costs equal:</t>
  </si>
  <si>
    <r>
      <t>Costs are at least $7,900</t>
    </r>
    <r>
      <rPr>
        <vertAlign val="superscript"/>
        <sz val="12"/>
        <rFont val="Times New Roman"/>
        <family val="1"/>
      </rPr>
      <t>*</t>
    </r>
    <r>
      <rPr>
        <sz val="10"/>
        <rFont val="Times New Roman"/>
        <family val="1"/>
      </rPr>
      <t xml:space="preserve"> per unit:</t>
    </r>
  </si>
  <si>
    <t>Total Units:</t>
  </si>
  <si>
    <t>x  $6,000* =</t>
  </si>
  <si>
    <t>Costs are at least 20% of the project's adjusted basis:</t>
  </si>
  <si>
    <t>Basis:</t>
  </si>
  <si>
    <t>x  20% =</t>
  </si>
  <si>
    <r>
      <rPr>
        <i/>
        <vertAlign val="superscript"/>
        <sz val="12"/>
        <color rgb="FF0000FF"/>
        <rFont val="Times New Roman"/>
        <family val="1"/>
      </rPr>
      <t>*</t>
    </r>
    <r>
      <rPr>
        <i/>
        <sz val="10"/>
        <color rgb="FF0000FF"/>
        <rFont val="Times New Roman"/>
        <family val="1"/>
      </rPr>
      <t>Adjusted annually for inflation.</t>
    </r>
  </si>
  <si>
    <t>ELECTIONS</t>
  </si>
  <si>
    <t>20% of the units will be occupied by households with income below 50% of the area median</t>
  </si>
  <si>
    <t>40% of the units will be occupied by households with income below 60% of the area median</t>
  </si>
  <si>
    <t>Income Averaging Set-Aside</t>
  </si>
  <si>
    <t>Rent Floor Election</t>
  </si>
  <si>
    <t>SYNDICATION INFORMATION</t>
  </si>
  <si>
    <t>Name of Syndicator</t>
  </si>
  <si>
    <t>Contact:</t>
  </si>
  <si>
    <t>Phone:</t>
  </si>
  <si>
    <t>Schedule for Funds to be Paid</t>
  </si>
  <si>
    <t>Percent Paid</t>
  </si>
  <si>
    <t>Amount Paid</t>
  </si>
  <si>
    <t>CALCULATION OF TAX CREDIT AMOUNT</t>
  </si>
  <si>
    <t>Maximum Low-Income Housing Tax Credit Based on Eligible Costs</t>
  </si>
  <si>
    <t>Description</t>
  </si>
  <si>
    <t>Acquisition Basis</t>
  </si>
  <si>
    <t>Construction Basis</t>
  </si>
  <si>
    <r>
      <t>Total Uses of Funds</t>
    </r>
    <r>
      <rPr>
        <i/>
        <sz val="10"/>
        <rFont val="Times New Roman"/>
        <family val="1"/>
      </rPr>
      <t xml:space="preserve"> (from Uses of Funds worksheet)</t>
    </r>
  </si>
  <si>
    <r>
      <t>Less: Federal Grants Financing Qualifying Costs</t>
    </r>
    <r>
      <rPr>
        <i/>
        <sz val="10"/>
        <rFont val="Times New Roman"/>
        <family val="1"/>
      </rPr>
      <t xml:space="preserve"> (list below)</t>
    </r>
  </si>
  <si>
    <t>Less: Other Non-qualifying Financing</t>
  </si>
  <si>
    <t>=CEILING((M72*M73),5000)</t>
  </si>
  <si>
    <t>Less: Non-qualifying Units of Higher Quality</t>
  </si>
  <si>
    <t>Less: Federal Historic Tax Credit</t>
  </si>
  <si>
    <t>Less: State Historic Tax Credit</t>
  </si>
  <si>
    <t>Adjusted Project Costs</t>
  </si>
  <si>
    <r>
      <t xml:space="preserve">Adjustment for Federal QCT/DDA  or State Basis Boost </t>
    </r>
    <r>
      <rPr>
        <i/>
        <sz val="10"/>
        <rFont val="Times New Roman"/>
        <family val="1"/>
      </rPr>
      <t>(130% maximum)</t>
    </r>
  </si>
  <si>
    <t xml:space="preserve">CENSUS TRACT/DDA # </t>
  </si>
  <si>
    <t>Eligible Basis</t>
  </si>
  <si>
    <r>
      <t>Applicable Fraction</t>
    </r>
    <r>
      <rPr>
        <i/>
        <sz val="10"/>
        <rFont val="Times New Roman"/>
        <family val="1"/>
      </rPr>
      <t xml:space="preserve"> (calculate below)</t>
    </r>
  </si>
  <si>
    <t>=IF(GENERAL!$D$8="4% Project",4%,IF(GENERAL!$D$8="4% Twinning Project",4%,9%))</t>
  </si>
  <si>
    <t>Qualified Basis</t>
  </si>
  <si>
    <r>
      <t xml:space="preserve">Applicable Percentage </t>
    </r>
    <r>
      <rPr>
        <i/>
        <sz val="10"/>
        <rFont val="Times New Roman"/>
        <family val="1"/>
      </rPr>
      <t>(enter correct percentage per IRS rules)</t>
    </r>
  </si>
  <si>
    <t>Estimated Low-Income Housing Tax Credit Syndication Proceeds</t>
  </si>
  <si>
    <t>=IF((J82=9%),MIN(SUM(I83:J83),1500000),(I83+J83))</t>
  </si>
  <si>
    <t xml:space="preserve">Combined Low Income Housing Tax Credit Eligible </t>
  </si>
  <si>
    <r>
      <t xml:space="preserve">Tax Credit Period </t>
    </r>
    <r>
      <rPr>
        <i/>
        <sz val="10"/>
        <rFont val="Times New Roman"/>
        <family val="1"/>
      </rPr>
      <t>(10 years)</t>
    </r>
  </si>
  <si>
    <t>x 10</t>
  </si>
  <si>
    <t>Total Tax Credit Received Over Period</t>
  </si>
  <si>
    <t xml:space="preserve"> Calculated Raise Ratio</t>
  </si>
  <si>
    <t>Raise Ratio from Syndicator's Proposal</t>
  </si>
  <si>
    <t>Gross Proceeds from Low Income Housing Tax Credit</t>
  </si>
  <si>
    <r>
      <t xml:space="preserve">Less: Gross Proceeds from Federal Historic Tax Credit </t>
    </r>
    <r>
      <rPr>
        <i/>
        <sz val="10"/>
        <rFont val="Times New Roman"/>
        <family val="1"/>
      </rPr>
      <t>(calculate below)</t>
    </r>
  </si>
  <si>
    <r>
      <t xml:space="preserve">Less: Gross Proceeds from State Historic Tax Credit </t>
    </r>
    <r>
      <rPr>
        <i/>
        <sz val="10"/>
        <rFont val="Times New Roman"/>
        <family val="1"/>
      </rPr>
      <t>(calculate below)</t>
    </r>
  </si>
  <si>
    <t>Total Equity from Syndication Proceeds</t>
  </si>
  <si>
    <t>Maximum Low-Income Housing Tax Credit Based on Proceeds Needed</t>
  </si>
  <si>
    <r>
      <t>Proceeds Needed</t>
    </r>
    <r>
      <rPr>
        <i/>
        <sz val="10"/>
        <rFont val="Times New Roman"/>
        <family val="1"/>
      </rPr>
      <t xml:space="preserve"> </t>
    </r>
    <r>
      <rPr>
        <b/>
        <i/>
        <sz val="10"/>
        <rFont val="Times New Roman"/>
        <family val="1"/>
      </rPr>
      <t>(enter lesser of Total Equity from Syndication Proceeds or Financing Gap)</t>
    </r>
  </si>
  <si>
    <r>
      <t xml:space="preserve">Less: Gross Proceeds from  State Historic Tax Credit </t>
    </r>
    <r>
      <rPr>
        <i/>
        <sz val="10"/>
        <rFont val="Times New Roman"/>
        <family val="1"/>
      </rPr>
      <t>(calculate below)</t>
    </r>
  </si>
  <si>
    <r>
      <t>Low Income Housing Tax Credit Syndication Proceeds</t>
    </r>
    <r>
      <rPr>
        <i/>
        <sz val="10"/>
        <rFont val="Times New Roman"/>
        <family val="1"/>
      </rPr>
      <t xml:space="preserve"> (to Sources of Funds worksheet)</t>
    </r>
  </si>
  <si>
    <r>
      <t>Tax Credit Period</t>
    </r>
    <r>
      <rPr>
        <i/>
        <sz val="10"/>
        <rFont val="Times New Roman"/>
        <family val="1"/>
      </rPr>
      <t xml:space="preserve"> (10 years)</t>
    </r>
  </si>
  <si>
    <t>÷ 10</t>
  </si>
  <si>
    <t>Maximum Low-Income Housing Tax Credit</t>
  </si>
  <si>
    <t>Sources of Federal Financing</t>
  </si>
  <si>
    <t>Show all direct and indirect federal funds financing qualified costs below</t>
  </si>
  <si>
    <t>Amount Deducted</t>
  </si>
  <si>
    <t>from Eligible Basis</t>
  </si>
  <si>
    <t>Rural Housing and Community Development Service</t>
  </si>
  <si>
    <t>Community Development Block Grant</t>
  </si>
  <si>
    <t>Urban Development Assistance Grant</t>
  </si>
  <si>
    <t>Housing Development Assistance Grant</t>
  </si>
  <si>
    <t>HOME Investment Program</t>
  </si>
  <si>
    <t>Total Federal Funds</t>
  </si>
  <si>
    <t>Applicable Fraction</t>
  </si>
  <si>
    <r>
      <t xml:space="preserve">The applicable fraction is the lesser of the following formulas </t>
    </r>
    <r>
      <rPr>
        <i/>
        <sz val="10"/>
        <color rgb="FF0000FF"/>
        <rFont val="Times New Roman"/>
        <family val="1"/>
      </rPr>
      <t xml:space="preserve">(complete the Unit Percentage information </t>
    </r>
    <r>
      <rPr>
        <b/>
        <i/>
        <u/>
        <sz val="10"/>
        <color rgb="FFC00000"/>
        <rFont val="Times New Roman"/>
        <family val="1"/>
      </rPr>
      <t>AND</t>
    </r>
    <r>
      <rPr>
        <i/>
        <sz val="10"/>
        <color rgb="FF0000FF"/>
        <rFont val="Times New Roman"/>
        <family val="1"/>
      </rPr>
      <t xml:space="preserve"> the Square Footage Percentage information)</t>
    </r>
  </si>
  <si>
    <t>Unit Percentage</t>
  </si>
  <si>
    <t>Square Footage Percentage</t>
  </si>
  <si>
    <t>Low Income Units</t>
  </si>
  <si>
    <t>Low Income Sq. Ft.</t>
  </si>
  <si>
    <t>Total Residential Units Sq. Ft.</t>
  </si>
  <si>
    <t>Sq. Ft. Percentage</t>
  </si>
  <si>
    <t>Gross Proceeds from Historic Tax Credits</t>
  </si>
  <si>
    <t>Federal HTC</t>
  </si>
  <si>
    <t>State HTC</t>
  </si>
  <si>
    <t>Total HTC</t>
  </si>
  <si>
    <t>Historic Tax Credit</t>
  </si>
  <si>
    <r>
      <t>Gross Proceeds from Historic Tax Credit</t>
    </r>
    <r>
      <rPr>
        <i/>
        <sz val="10"/>
        <rFont val="Times New Roman"/>
        <family val="1"/>
      </rPr>
      <t xml:space="preserve"> (to Sources of Funds worksheet)</t>
    </r>
  </si>
  <si>
    <t>PROJECT SUMMARY INFORMATION</t>
  </si>
  <si>
    <t>Project Information</t>
  </si>
  <si>
    <t>Address</t>
  </si>
  <si>
    <t>Occupancy Restrictions</t>
  </si>
  <si>
    <t>Units 20% or less of AMI</t>
  </si>
  <si>
    <t>Units at 21-30% of AMI</t>
  </si>
  <si>
    <t>Units at 31-40% of AMI</t>
  </si>
  <si>
    <t>Units at 41-50% of AMI</t>
  </si>
  <si>
    <t>Units at 51-60% of AMI</t>
  </si>
  <si>
    <t>Units at 61-70% of AMI</t>
  </si>
  <si>
    <t>Units at 71-80% of AMI</t>
  </si>
  <si>
    <t>Units at market rates</t>
  </si>
  <si>
    <t>Staff Unit(s)</t>
  </si>
  <si>
    <t xml:space="preserve">                         Source of Income</t>
  </si>
  <si>
    <t>Annual Gross Potential Income</t>
  </si>
  <si>
    <t>Annual Trending</t>
  </si>
  <si>
    <t>Trended Income</t>
  </si>
  <si>
    <t>Nonresidential</t>
  </si>
  <si>
    <t>Total Gross Potential Income</t>
  </si>
  <si>
    <t>Vacancy Allowance</t>
  </si>
  <si>
    <t>Trended Effective Gross Income</t>
  </si>
  <si>
    <t>Expense Categories</t>
  </si>
  <si>
    <t>Annual Expense</t>
  </si>
  <si>
    <t>Trended Expense</t>
  </si>
  <si>
    <t>Administrative</t>
  </si>
  <si>
    <r>
      <t>Management Fee</t>
    </r>
    <r>
      <rPr>
        <i/>
        <sz val="10"/>
        <rFont val="Times New Roman"/>
        <family val="1"/>
      </rPr>
      <t xml:space="preserve"> (Effective Gross Income x percentage)</t>
    </r>
  </si>
  <si>
    <t>Utilities</t>
  </si>
  <si>
    <t>Operating and Maintenance</t>
  </si>
  <si>
    <t>Other Taxes, Insurance, and Benefits</t>
  </si>
  <si>
    <t>Total Project Expenses</t>
  </si>
  <si>
    <r>
      <t>Trended Net Operating Income</t>
    </r>
    <r>
      <rPr>
        <i/>
        <sz val="10"/>
        <rFont val="Times New Roman"/>
        <family val="1"/>
      </rPr>
      <t xml:space="preserve"> (Effective Gross Income - Project Expenses)</t>
    </r>
  </si>
  <si>
    <t>Annual Debt Service Financing Payments</t>
  </si>
  <si>
    <r>
      <t>Remaining Cash Flow</t>
    </r>
    <r>
      <rPr>
        <i/>
        <sz val="10"/>
        <rFont val="Times New Roman"/>
        <family val="1"/>
      </rPr>
      <t xml:space="preserve"> (Net Operating Income - Financing Payments)</t>
    </r>
  </si>
  <si>
    <t>Debt Coverage</t>
  </si>
  <si>
    <r>
      <t>Total Sources of Funds</t>
    </r>
    <r>
      <rPr>
        <i/>
        <sz val="10"/>
        <rFont val="Times New Roman"/>
        <family val="1"/>
      </rPr>
      <t xml:space="preserve"> (must equal Total Uses of Funds)</t>
    </r>
  </si>
  <si>
    <t>Construction or Rehabilitation Costs</t>
  </si>
  <si>
    <t>Total Development Costs</t>
  </si>
  <si>
    <t>Guarantees and Reserves</t>
  </si>
  <si>
    <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</si>
  <si>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</si>
  <si>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</si>
  <si>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</si>
  <si>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</si>
  <si>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</si>
  <si>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</si>
  <si>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</si>
  <si>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</si>
  <si>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</si>
  <si>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</si>
  <si>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</si>
  <si>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</si>
  <si>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</si>
  <si>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</si>
  <si>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</si>
  <si>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</si>
  <si>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</si>
  <si>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</si>
  <si>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</si>
  <si>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</si>
  <si>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Income</t>
  </si>
  <si>
    <t>Gross Project Income</t>
  </si>
  <si>
    <t>Effective Gross Income</t>
  </si>
  <si>
    <t>Expenses</t>
  </si>
  <si>
    <t>Replacement Reserve</t>
  </si>
  <si>
    <t>Total Expenses</t>
  </si>
  <si>
    <t>Net Operating Income</t>
  </si>
  <si>
    <t>Transition/Operating Deficit Reserve Draws</t>
  </si>
  <si>
    <t>Total Debt Service</t>
  </si>
  <si>
    <t>Cash Flow</t>
  </si>
  <si>
    <t>Debt Coverage Ratio</t>
  </si>
  <si>
    <t>Cash Flow Financing</t>
  </si>
  <si>
    <t>CDA Subordinate Debt</t>
  </si>
  <si>
    <t>Total Cash Flow Debt</t>
  </si>
  <si>
    <t>Remaining Cash Flow</t>
  </si>
  <si>
    <t xml:space="preserve">Years 1 - 15   </t>
  </si>
  <si>
    <t>Years 16+</t>
  </si>
  <si>
    <t>DDF</t>
  </si>
  <si>
    <t xml:space="preserve">- OR - </t>
  </si>
  <si>
    <t>During DDF Period</t>
  </si>
  <si>
    <t>Post DDF Period</t>
  </si>
  <si>
    <t xml:space="preserve">Deferred Developer Fee </t>
  </si>
  <si>
    <t xml:space="preserve">DHCD Loans </t>
  </si>
  <si>
    <t xml:space="preserve">Local Gov't </t>
  </si>
  <si>
    <t xml:space="preserve">Remaining Cash Flow </t>
  </si>
  <si>
    <t>Transition Reserve / Operating Deficit Reserve Schedule</t>
  </si>
  <si>
    <t>Beginning Balance</t>
  </si>
  <si>
    <t>Draw</t>
  </si>
  <si>
    <t>Ending Balance</t>
  </si>
  <si>
    <t>Lien Position</t>
  </si>
  <si>
    <t>Loan Number</t>
  </si>
  <si>
    <t>Credit Enhancement</t>
  </si>
  <si>
    <r>
      <t xml:space="preserve">Net Worth </t>
    </r>
    <r>
      <rPr>
        <b/>
        <sz val="10"/>
        <color rgb="FF0000FF"/>
        <rFont val="Times New Roman"/>
        <family val="1"/>
      </rPr>
      <t>(Developer/Sponsor/General Partner/Managing Member)</t>
    </r>
    <r>
      <rPr>
        <b/>
        <sz val="10"/>
        <rFont val="Times New Roman"/>
        <family val="1"/>
      </rPr>
      <t xml:space="preserve"> as a Percentage of Total Development Costs</t>
    </r>
  </si>
  <si>
    <t>Entity</t>
  </si>
  <si>
    <t>Co-Developer</t>
  </si>
  <si>
    <t>2nd Co-Developer</t>
  </si>
  <si>
    <t>Date of audited financials</t>
  </si>
  <si>
    <t>Total Assets</t>
  </si>
  <si>
    <t>Total Liabilities</t>
  </si>
  <si>
    <t>Net Worth</t>
  </si>
  <si>
    <t>Total Dev Costs</t>
  </si>
  <si>
    <t>Percent of TDC</t>
  </si>
  <si>
    <t>General Partner</t>
  </si>
  <si>
    <t>Managing Member</t>
  </si>
  <si>
    <t>TOTAL</t>
  </si>
  <si>
    <t xml:space="preserve"> Points</t>
  </si>
  <si>
    <t>Pts.</t>
  </si>
  <si>
    <t>Range</t>
  </si>
  <si>
    <t>Combined net worth is less than 10% of Total Development Costs (TDC)</t>
  </si>
  <si>
    <t>Combined net worth is less than 25% but at least 10% of Total Development Costs (TDC)</t>
  </si>
  <si>
    <t>Combined net worth is over 25% of Total Development Costs (TDC)</t>
  </si>
  <si>
    <t xml:space="preserve">Guarantor: </t>
  </si>
  <si>
    <r>
      <t xml:space="preserve">Insert Name                  </t>
    </r>
    <r>
      <rPr>
        <i/>
        <sz val="10"/>
        <color rgb="FF0000FF"/>
        <rFont val="Times New Roman"/>
        <family val="1"/>
      </rPr>
      <t>(if applicable)</t>
    </r>
  </si>
  <si>
    <t>Current Assets</t>
  </si>
  <si>
    <t>Current Liabilities</t>
  </si>
  <si>
    <t>Working Capital</t>
  </si>
  <si>
    <t>Total Dev. Costs</t>
  </si>
  <si>
    <r>
      <t xml:space="preserve">Liquid Assets </t>
    </r>
    <r>
      <rPr>
        <b/>
        <sz val="10"/>
        <color rgb="FF0000FF"/>
        <rFont val="Times New Roman"/>
        <family val="1"/>
      </rPr>
      <t>(Developer/Sponsor/General Partner/Managing Member)</t>
    </r>
    <r>
      <rPr>
        <b/>
        <sz val="10"/>
        <rFont val="Times New Roman"/>
        <family val="1"/>
      </rPr>
      <t xml:space="preserve"> as Percentage of Total Development Costs</t>
    </r>
  </si>
  <si>
    <t>Combined liquid assets are under 2% of Total Development Costs (TDC)</t>
  </si>
  <si>
    <t>Combined liquid assets are between 2% and 4% of Total Development Costs (TDC)</t>
  </si>
  <si>
    <r>
      <t xml:space="preserve">Liquid Assets </t>
    </r>
    <r>
      <rPr>
        <b/>
        <sz val="10"/>
        <color rgb="FF0000FF"/>
        <rFont val="Times New Roman"/>
        <family val="1"/>
      </rPr>
      <t>(Guarantor)</t>
    </r>
    <r>
      <rPr>
        <b/>
        <sz val="10"/>
        <rFont val="Times New Roman"/>
        <family val="1"/>
      </rPr>
      <t xml:space="preserve"> as Percentage of Total Development Costs</t>
    </r>
  </si>
  <si>
    <t>Combined liquid assets are between 4% and 10% of Total Development Costs (TDC)</t>
  </si>
  <si>
    <t>Combined liquid assets are over 10% of Total Development Costs (TDC)</t>
  </si>
  <si>
    <t xml:space="preserve"> Total Score</t>
  </si>
  <si>
    <t xml:space="preserve">1. Determine the number of income-restricted bedrooms serving each percentage of the AMI by multiplying the number of units of a given size by the number of bedrooms per unit. </t>
  </si>
  <si>
    <t xml:space="preserve">2. Multiply each income-restricted bedroom by the maximum income target and add the sum of those totals together. </t>
  </si>
  <si>
    <t xml:space="preserve">3. Divide the result by the total number of income restricted bedrooms and round to the nearest one hundredth of a percentage point to determine the weighted average. </t>
  </si>
  <si>
    <t>Note: units restricted at 20% exclude PBV, PBRA contracts, and federal rental assistance programs that serve households at or below 30% AMI</t>
  </si>
  <si>
    <t>Weighted Bedrooms</t>
  </si>
  <si>
    <t>Formula to use for Column C amounts</t>
  </si>
  <si>
    <t>= 0BR*0.67 +1BR*1 +2BR*2 +3BR*3 +4BR*4 +5BR*5 +6BR*6</t>
  </si>
  <si>
    <t>Total Affordable BRs</t>
  </si>
  <si>
    <t>Market Rate</t>
  </si>
  <si>
    <t>Market BRs</t>
  </si>
  <si>
    <t>Total Weighted BRs / Total # Affordable BRs =</t>
  </si>
  <si>
    <t>Total BRs</t>
  </si>
  <si>
    <t>Points</t>
  </si>
  <si>
    <t>Av. AMI - All Other Projects</t>
  </si>
  <si>
    <t>32.00% or below</t>
  </si>
  <si>
    <t>32.01% to 33.50%</t>
  </si>
  <si>
    <t>47.01% to 48.50%</t>
  </si>
  <si>
    <t>33.51% to 35.00%</t>
  </si>
  <si>
    <t>48.51% to 50.00%</t>
  </si>
  <si>
    <t>35.01% to 36.50%</t>
  </si>
  <si>
    <t>50.01% to 51.00%</t>
  </si>
  <si>
    <t>36.51% to 38.00%</t>
  </si>
  <si>
    <t>51.01% to 52.00%</t>
  </si>
  <si>
    <t>38.01% to 39.50%</t>
  </si>
  <si>
    <t>52.01% to 53.00%</t>
  </si>
  <si>
    <t>39.51% to 41.00%</t>
  </si>
  <si>
    <t>53.01% to 54.00%</t>
  </si>
  <si>
    <t>41.01% to 42.50%</t>
  </si>
  <si>
    <t>54.01% to 54.50%</t>
  </si>
  <si>
    <t>42.51% to 44.00%</t>
  </si>
  <si>
    <t>54.51% to 55.00%</t>
  </si>
  <si>
    <t>44.01% to 45.50%</t>
  </si>
  <si>
    <t>55.01% to 55.50%</t>
  </si>
  <si>
    <t>45.51% to 47.00%</t>
  </si>
  <si>
    <t>55.51% or greater</t>
  </si>
  <si>
    <t>A project will receive five (5) points if at least 10% of the income-restricted units in the project will be income-restricted at 30% of the area median or below for the LIHTC compliance period (including the extended use period). These points are available (1) if the project rent restricts those units at the 30% area median income level for the compliance period or (2) for units supported by the award of a project-based housing choice voucher contract (or a DHCD approved equivalent form of project-based assistance) with a term of fifteen (15) years or more. DHCD will consider project-based housing choice vouchers awarded through a recognized mobility program in awarding points in this section. For initial lease-up, project-based voucher units will be considered 30% units for the purposes of income targeting.</t>
  </si>
  <si>
    <t>30% Units</t>
  </si>
  <si>
    <t>Total Income Restricted Units</t>
  </si>
  <si>
    <t xml:space="preserve">Points = </t>
  </si>
  <si>
    <t>TOTAL SCORE =</t>
  </si>
  <si>
    <t>DIRECT LEVERAGING (Sec. 4.5.1 of the Guide)</t>
  </si>
  <si>
    <t xml:space="preserve">1.  Relevant Project Scoring Characteristics </t>
  </si>
  <si>
    <t>OPERATING SUBSIDIES (Sec. 4.5.2 of the Guide)</t>
  </si>
  <si>
    <r>
      <t xml:space="preserve">Is the project Located in QCT/DDA?  </t>
    </r>
    <r>
      <rPr>
        <b/>
        <sz val="11"/>
        <rFont val="Times New Roman"/>
        <family val="1"/>
      </rPr>
      <t>- or -</t>
    </r>
    <r>
      <rPr>
        <sz val="11"/>
        <rFont val="Times New Roman"/>
        <family val="1"/>
      </rPr>
      <t xml:space="preserve">  A Competitive Round Family project located in COO?</t>
    </r>
  </si>
  <si>
    <t>Points are awarded to projects that include other long-term subsidies.</t>
  </si>
  <si>
    <t>Is project considered a rural transaction?</t>
  </si>
  <si>
    <t>Subsidy Type</t>
  </si>
  <si>
    <t>Project Based Rental Subsidy *</t>
  </si>
  <si>
    <t>PILOT **</t>
  </si>
  <si>
    <t>2.  Tax Credit Subsidy</t>
  </si>
  <si>
    <t>Annual Subsidy/Unit</t>
  </si>
  <si>
    <t>Note: Do not include automatic 4% LIHTC</t>
  </si>
  <si>
    <t>Eligible Units</t>
  </si>
  <si>
    <t>Basis Boost (If any)</t>
  </si>
  <si>
    <t>Total Annual Subsidy</t>
  </si>
  <si>
    <t>Tax Credit less Basis Boost (if any)</t>
  </si>
  <si>
    <t>Credit Period</t>
  </si>
  <si>
    <t>Total Subsidy</t>
  </si>
  <si>
    <t>Imputed Raise-Up</t>
  </si>
  <si>
    <t>Imputed Equity</t>
  </si>
  <si>
    <t>Final Adjusted LIHTC Subsidy</t>
  </si>
  <si>
    <t>* Minimum 10-year term</t>
  </si>
  <si>
    <t>3.  Total DHCD Non-LIHTC Capital Subsidy</t>
  </si>
  <si>
    <t>Is this Project located in and Entitlement Jurisdiction?</t>
  </si>
  <si>
    <t>Total DHCD Non-LIHTC Subsidy Funds</t>
  </si>
  <si>
    <t>4.  Total DHCD Resources</t>
  </si>
  <si>
    <t>Total of Attributed DHCD Resources</t>
  </si>
  <si>
    <t>5.  Adjusted Costs (Proportion of project costs attributable to affordable units.)</t>
  </si>
  <si>
    <t># Affordable BRs</t>
  </si>
  <si>
    <t>% Affordable</t>
  </si>
  <si>
    <t>Total Uses</t>
  </si>
  <si>
    <t>Adjusted Total Uses</t>
  </si>
  <si>
    <t>Percentage of Total Uses Leveraged</t>
  </si>
  <si>
    <t>Non-Rural</t>
  </si>
  <si>
    <t>Rural</t>
  </si>
  <si>
    <t>Scoring Summary Table</t>
  </si>
  <si>
    <t>Applicant                          Self-Score</t>
  </si>
  <si>
    <r>
      <rPr>
        <b/>
        <sz val="10"/>
        <color theme="1"/>
        <rFont val="Calibri"/>
        <family val="2"/>
        <scheme val="minor"/>
      </rPr>
      <t>DHCD USE ONLY</t>
    </r>
    <r>
      <rPr>
        <sz val="10"/>
        <color theme="1"/>
        <rFont val="Calibri"/>
        <family val="2"/>
        <scheme val="minor"/>
      </rPr>
      <t xml:space="preserve"> (Team Score)</t>
    </r>
  </si>
  <si>
    <t>4.1  Capacity of Development Team</t>
  </si>
  <si>
    <t>4.1.1  Development Team Experience</t>
  </si>
  <si>
    <t>4.1.2  Deductions from Team experience score (Negative 10 Pts)</t>
  </si>
  <si>
    <t>4.1.3  Developer Financial Capacity</t>
  </si>
  <si>
    <t>Section Total:</t>
  </si>
  <si>
    <t>4.2.1  Community Impact Projects</t>
  </si>
  <si>
    <t>16*</t>
  </si>
  <si>
    <t>4.2.2  Communities of Opportunity</t>
  </si>
  <si>
    <t>4.2.3  Defined Planning Areas and Opportunity Zones</t>
  </si>
  <si>
    <t>4.3 Transit Oriented Development (TOD)</t>
  </si>
  <si>
    <t>4.4 Public Purpose</t>
  </si>
  <si>
    <t>4.4.1  Income Targeting</t>
  </si>
  <si>
    <t>4.2.2  Targeted Populations: Non-elderly PWD or Special Needs</t>
  </si>
  <si>
    <t>4.4.3  Family Housing</t>
  </si>
  <si>
    <t>4.4.4  Tenant Services</t>
  </si>
  <si>
    <t>4.4.5  Mixed Income Housing</t>
  </si>
  <si>
    <t>4.4.6  Policy Incentives</t>
  </si>
  <si>
    <t>4.5 Leveraging and Cost-Effectiveness</t>
  </si>
  <si>
    <t>4.5.1  Direct Leveraging</t>
  </si>
  <si>
    <t>4.5.2  Operating Subsidies</t>
  </si>
  <si>
    <t>4.5.3  Construction or Rehabilitation Cost Incentives (Negative 8 pts)</t>
  </si>
  <si>
    <t>4.6 Development Quality</t>
  </si>
  <si>
    <t>4.6.1  Green Features</t>
  </si>
  <si>
    <t>4.6.2  Energy Efficiency</t>
  </si>
  <si>
    <t>4.6.3  Site and Building Design</t>
  </si>
  <si>
    <t>4.6.4  Loveable Places</t>
  </si>
  <si>
    <t>GRAND TOTAL:</t>
  </si>
  <si>
    <r>
      <rPr>
        <b/>
        <sz val="10"/>
        <color theme="1"/>
        <rFont val="Calibri"/>
        <family val="2"/>
        <scheme val="minor"/>
      </rPr>
      <t>*</t>
    </r>
    <r>
      <rPr>
        <sz val="10"/>
        <color theme="1"/>
        <rFont val="Calibri"/>
        <family val="2"/>
        <scheme val="minor"/>
      </rPr>
      <t xml:space="preserve">  Project cannot receive points under more than one of the following categories:   Community Impact, Communities of Opportunity, or Defined Planning Areas and Opportunity Zones.</t>
    </r>
  </si>
  <si>
    <t>ProLink Mapping Tab</t>
  </si>
  <si>
    <t>Section 1</t>
  </si>
  <si>
    <t>General Information</t>
  </si>
  <si>
    <t>Section 4</t>
  </si>
  <si>
    <t>Deal Entities</t>
  </si>
  <si>
    <t>Section 7</t>
  </si>
  <si>
    <t>INCOME</t>
  </si>
  <si>
    <t>Section 10</t>
  </si>
  <si>
    <t>SOURCES</t>
  </si>
  <si>
    <t>Section 13</t>
  </si>
  <si>
    <t>SUMMARY</t>
  </si>
  <si>
    <t>Section 16</t>
  </si>
  <si>
    <t>Financial Forecasts</t>
  </si>
  <si>
    <t>Section 2</t>
  </si>
  <si>
    <t>Project Name, Location, Information</t>
  </si>
  <si>
    <t>Section 5</t>
  </si>
  <si>
    <t>Dev Team History</t>
  </si>
  <si>
    <t>Section 8</t>
  </si>
  <si>
    <t>Other Income data</t>
  </si>
  <si>
    <t>Section 11</t>
  </si>
  <si>
    <t>USES</t>
  </si>
  <si>
    <t>Section 14</t>
  </si>
  <si>
    <t>PRO FORMA</t>
  </si>
  <si>
    <t>Section 17</t>
  </si>
  <si>
    <t>Picklists</t>
  </si>
  <si>
    <t>Section 3</t>
  </si>
  <si>
    <t>Population, Site Control, Zoning</t>
  </si>
  <si>
    <t>Section 6</t>
  </si>
  <si>
    <t>Building</t>
  </si>
  <si>
    <t>Section 9</t>
  </si>
  <si>
    <t>Section 12</t>
  </si>
  <si>
    <t>Tax Credit</t>
  </si>
  <si>
    <t>Section 15</t>
  </si>
  <si>
    <t>CURR FIN INFO</t>
  </si>
  <si>
    <t>Section 18</t>
  </si>
  <si>
    <t>Self-Score</t>
  </si>
  <si>
    <t>ProLink Mapping - DEV Modules</t>
  </si>
  <si>
    <t>ProLink Mapping - TCA Modules</t>
  </si>
  <si>
    <t>ProLink Mapping - Formulaic mapping</t>
  </si>
  <si>
    <t>ProLink Mapping - DEV Location Modules</t>
  </si>
  <si>
    <t>Sheet</t>
  </si>
  <si>
    <t>Section</t>
  </si>
  <si>
    <t>Field</t>
  </si>
  <si>
    <t>Value</t>
  </si>
  <si>
    <t>Mapped to Object</t>
  </si>
  <si>
    <t>Mapped to Field</t>
  </si>
  <si>
    <t>GENERAL</t>
  </si>
  <si>
    <t>Application Type</t>
  </si>
  <si>
    <t>DEV Deal</t>
  </si>
  <si>
    <t>PL_TaxCreditPercentTypeId</t>
  </si>
  <si>
    <t>Basis Boost Documentation</t>
  </si>
  <si>
    <t>TC Current Stage</t>
  </si>
  <si>
    <t>Is QCT</t>
  </si>
  <si>
    <t>DEV Location</t>
  </si>
  <si>
    <t>Address1</t>
  </si>
  <si>
    <t>Stage of Processing</t>
  </si>
  <si>
    <t>Application for Submission</t>
  </si>
  <si>
    <t>Is DDA</t>
  </si>
  <si>
    <t>Viability Review Submission</t>
  </si>
  <si>
    <t>State Discretionary Boost</t>
  </si>
  <si>
    <t>ZipCode</t>
  </si>
  <si>
    <t>Commitment Review Submission</t>
  </si>
  <si>
    <t>PL_JurisdictionId</t>
  </si>
  <si>
    <t>Viability/Commitment Review Submission</t>
  </si>
  <si>
    <t>HasLaundry</t>
  </si>
  <si>
    <t>Type of Credit Enhancement</t>
  </si>
  <si>
    <t>IsElectricLandlordPaid</t>
  </si>
  <si>
    <t>SELF-SCORE</t>
  </si>
  <si>
    <t>Grand Total</t>
  </si>
  <si>
    <t>Total Score</t>
  </si>
  <si>
    <t>TotalScore</t>
  </si>
  <si>
    <t>IsACLandlordPaid</t>
  </si>
  <si>
    <t>PL_ProcessType</t>
  </si>
  <si>
    <t>TBD</t>
  </si>
  <si>
    <t>IsHotWaterLandlordPaid</t>
  </si>
  <si>
    <t>IsCookingLandlordPaid</t>
  </si>
  <si>
    <t>IsHeatLandlordPaid</t>
  </si>
  <si>
    <t>HasOtherAmenity1</t>
  </si>
  <si>
    <t>Project Name and Location</t>
  </si>
  <si>
    <t>DealName</t>
  </si>
  <si>
    <t>TC Deal</t>
  </si>
  <si>
    <t>OtherAmenity1Desc</t>
  </si>
  <si>
    <t>DEV Property</t>
  </si>
  <si>
    <t>HasOtherAmenity2</t>
  </si>
  <si>
    <t>Portfolio Property</t>
  </si>
  <si>
    <t>Tax Lot</t>
  </si>
  <si>
    <t>OtherAmenity2Desc</t>
  </si>
  <si>
    <t>HasOtherAmenity3</t>
  </si>
  <si>
    <t>OtherAmenity3Desc</t>
  </si>
  <si>
    <t>Additional Deal Information - Congressional District</t>
  </si>
  <si>
    <t>HasOtherAmenity4</t>
  </si>
  <si>
    <t>Tax Parcel</t>
  </si>
  <si>
    <t>OtherAmenity4Desc</t>
  </si>
  <si>
    <t>CensusTract</t>
  </si>
  <si>
    <t>Additional Deal Information - Legislative District</t>
  </si>
  <si>
    <t>Total Beds</t>
  </si>
  <si>
    <t>HUD_ID / HUD_PIN</t>
  </si>
  <si>
    <t>Number of Stories</t>
  </si>
  <si>
    <t>Tax Max</t>
  </si>
  <si>
    <t>Amenities - Cable Access</t>
  </si>
  <si>
    <t>Additional Property Information - Cable Access</t>
  </si>
  <si>
    <t>Amenities - Transportation Services</t>
  </si>
  <si>
    <t>Additional Property Information - Transportation Services</t>
  </si>
  <si>
    <t>Amenities - Carpet</t>
  </si>
  <si>
    <t>Additional Property Information - Carpet</t>
  </si>
  <si>
    <t>Amenities - Dishwasher</t>
  </si>
  <si>
    <t>Additional Property Information - Dishwasher</t>
  </si>
  <si>
    <t>Amenities - Disposal</t>
  </si>
  <si>
    <t>Additional Property Information - Disposal</t>
  </si>
  <si>
    <t>Amenities - Microwave</t>
  </si>
  <si>
    <t>Additional Property Information - Microwave</t>
  </si>
  <si>
    <t>Amenities - Laundry Facilities</t>
  </si>
  <si>
    <t>Amenities - Washer/Dryer Hook-up</t>
  </si>
  <si>
    <t>Additional Property Information - Washer/Dryer</t>
  </si>
  <si>
    <t>Amenities - High Speed Internet Access</t>
  </si>
  <si>
    <t>Additional Property Information - High Speed Internet</t>
  </si>
  <si>
    <t>Amenities - Other 1</t>
  </si>
  <si>
    <t>Amenities - Other 1 Describe</t>
  </si>
  <si>
    <t>Amenities - Other 2</t>
  </si>
  <si>
    <t>Amenities - Other 2 Describe</t>
  </si>
  <si>
    <t>Amenities - Other 3</t>
  </si>
  <si>
    <t>Amenities - Other 3 Describe</t>
  </si>
  <si>
    <t>Formula</t>
  </si>
  <si>
    <t>Type of Project</t>
  </si>
  <si>
    <t>Acquisition of Existing Building(s)</t>
  </si>
  <si>
    <t>DEVDeal</t>
  </si>
  <si>
    <t>PL_DEVDealTypeId</t>
  </si>
  <si>
    <t>Acquisition</t>
  </si>
  <si>
    <t>Unit Types - New Construction</t>
  </si>
  <si>
    <t>TotalNewUnits</t>
  </si>
  <si>
    <t>Combined</t>
  </si>
  <si>
    <t>Unit Types - Rehabilitation</t>
  </si>
  <si>
    <t>TotalRehabUnits</t>
  </si>
  <si>
    <t>UFAS Units 1 BR</t>
  </si>
  <si>
    <t>Tax Credit Info - UFAS Units 1 BR</t>
  </si>
  <si>
    <t>UFAS Units 2 BR</t>
  </si>
  <si>
    <t>Tax Credit Info - UFAS Units 2 BR</t>
  </si>
  <si>
    <t>UFAS Units 3 BR</t>
  </si>
  <si>
    <t>Tax Credit Info - UFAS Units 3 BR</t>
  </si>
  <si>
    <t>UFAS Units 4 BR</t>
  </si>
  <si>
    <t>Tax Credit Info - UFAS Units 4 BR</t>
  </si>
  <si>
    <t>UFAS Units 5 BR</t>
  </si>
  <si>
    <t>Tax Credit Info - UFAS Units 5 BR</t>
  </si>
  <si>
    <t>UFAS Units 6 BR</t>
  </si>
  <si>
    <t>Tax Credit Info - UFAS Units 6 BR</t>
  </si>
  <si>
    <t>Building, Population, Site Control, Zoning</t>
  </si>
  <si>
    <t>Related Party Transaction</t>
  </si>
  <si>
    <t>Tax Credit Info - Transaction between parties</t>
  </si>
  <si>
    <t>Existing Building Information</t>
  </si>
  <si>
    <t>OccupancyPct</t>
  </si>
  <si>
    <t>Additional Property Info</t>
  </si>
  <si>
    <t>DEV Budget</t>
  </si>
  <si>
    <t>Budget - Developer Fee Funded</t>
  </si>
  <si>
    <t>Total Land Area</t>
  </si>
  <si>
    <t>SiteAcreage</t>
  </si>
  <si>
    <t>Total Building Area</t>
  </si>
  <si>
    <t>Additional Property Info - Square Footage - Residential Low income</t>
  </si>
  <si>
    <t>Additional Property Info - Square Footage - Residential Market</t>
  </si>
  <si>
    <t>Total Gross Sqft</t>
  </si>
  <si>
    <t>DEV Properties</t>
  </si>
  <si>
    <t>Additional Property Info - Square Footage - Nonresidential</t>
  </si>
  <si>
    <t>Commercial Space</t>
  </si>
  <si>
    <t>Additional Property Info - Square Footage - Commercial Space</t>
  </si>
  <si>
    <t>Commercial Space Description</t>
  </si>
  <si>
    <t>Additional Property Info - Square Footage - Commercial Space Describe</t>
  </si>
  <si>
    <t>Common Space</t>
  </si>
  <si>
    <t>Additional Property Info - Square Footage - Common Space</t>
  </si>
  <si>
    <t>Circulation (hallways, stairways etc.)</t>
  </si>
  <si>
    <t>Additional Property Info - Square Footage - Circulation</t>
  </si>
  <si>
    <t>Recreation</t>
  </si>
  <si>
    <t>Additional Property Info - Square Footage - Recreation</t>
  </si>
  <si>
    <t>Other 1</t>
  </si>
  <si>
    <t>Additional Property Info - Square Footage - Other 1</t>
  </si>
  <si>
    <t>Other 2</t>
  </si>
  <si>
    <t>Additional Property Info - Square Footage - Other 2</t>
  </si>
  <si>
    <t>Other 3</t>
  </si>
  <si>
    <t>Additional Property Info - Square Footage - Other 3</t>
  </si>
  <si>
    <t>Other 4</t>
  </si>
  <si>
    <t>Additional Property Info - Square Footage - Other 4</t>
  </si>
  <si>
    <t>Other 5</t>
  </si>
  <si>
    <t>Additional Property Info - Square Footage - Other 5</t>
  </si>
  <si>
    <t>Other 1 Description</t>
  </si>
  <si>
    <t>Additional Property Info - Square Footage - Other 1 Describe</t>
  </si>
  <si>
    <t>Other 2 Description</t>
  </si>
  <si>
    <t>Additional Property Info - Square Footage - Other 2 Describe</t>
  </si>
  <si>
    <t>Other 3 Description</t>
  </si>
  <si>
    <t>Additional Property Info - Square Footage - Other 3 Describe</t>
  </si>
  <si>
    <t>Other 4 Description</t>
  </si>
  <si>
    <t>Additional Property Info - Square Footage - Other 4 Describe</t>
  </si>
  <si>
    <t>Other 5 Description</t>
  </si>
  <si>
    <t>Additional Property Info - Square Footage - Other 5 Describe</t>
  </si>
  <si>
    <t>Type of Occupancy</t>
  </si>
  <si>
    <t>Additional Property Information - Units</t>
  </si>
  <si>
    <t>Housing for Targeted Populations at or below 30% AMI</t>
  </si>
  <si>
    <t>Target Population(s) - Units Count 1</t>
  </si>
  <si>
    <t>Additional Property Information - Target Population</t>
  </si>
  <si>
    <t>Target Population(s) - Units Count 2</t>
  </si>
  <si>
    <t>Target Population(s) - Targeted Population 1</t>
  </si>
  <si>
    <t>Target Population(s) - Targeted Population 2</t>
  </si>
  <si>
    <t>NumUnitsWithAssistance</t>
  </si>
  <si>
    <t>Long Term Use Restrictions and Homeownership Opportunities</t>
  </si>
  <si>
    <t>Is this a structured Year-15 transition to a homeownership program?</t>
  </si>
  <si>
    <t>Additional Property Information - Structure 15 year</t>
  </si>
  <si>
    <t>Site control</t>
  </si>
  <si>
    <t>Additional Property Information - Site Control</t>
  </si>
  <si>
    <t>PL_SiteControlTypeId</t>
  </si>
  <si>
    <t>Identity of interest between the seller and sponsor/applicant?</t>
  </si>
  <si>
    <t>Additional Property Information - Site Control Identity of interest</t>
  </si>
  <si>
    <t>Date site control expires Site 1</t>
  </si>
  <si>
    <t>Date site control expires Site 2</t>
  </si>
  <si>
    <t>Date site control expires Site 3</t>
  </si>
  <si>
    <t>No. of extensions 1</t>
  </si>
  <si>
    <t>No. of extensions 2</t>
  </si>
  <si>
    <t>No. of extensions 3</t>
  </si>
  <si>
    <t>Additional Property Information - Date Site acquired</t>
  </si>
  <si>
    <t xml:space="preserve">Contract extension period (in days) </t>
  </si>
  <si>
    <t>Additional Property Information - Contract Extension period</t>
  </si>
  <si>
    <t>Additional Property Information - Site Control Info</t>
  </si>
  <si>
    <t>Zoning change, variance or waiver required?</t>
  </si>
  <si>
    <t>Development Dates</t>
  </si>
  <si>
    <t>Development Dates - Form 202 Dates</t>
  </si>
  <si>
    <t>Date financing applications filed with other lenders (public and private)</t>
  </si>
  <si>
    <t>Date firm commitments received from other lenders (public and private)</t>
  </si>
  <si>
    <t>Date 10% of project costs incurred (No later than 12 months from carryover allocation.)</t>
  </si>
  <si>
    <t xml:space="preserve">Date construction or rehabilitation begins </t>
  </si>
  <si>
    <t>Proxy Entity</t>
  </si>
  <si>
    <t>Deal Entity Role</t>
  </si>
  <si>
    <t>Email Address</t>
  </si>
  <si>
    <t>Direct Phone</t>
  </si>
  <si>
    <t>Tax ID Number</t>
  </si>
  <si>
    <t>Company/Individual</t>
  </si>
  <si>
    <t>Ownership entity type</t>
  </si>
  <si>
    <t>Sponsor Information</t>
  </si>
  <si>
    <t>Proxy Entity 1</t>
  </si>
  <si>
    <t>Ownership Entity</t>
  </si>
  <si>
    <t>Proxy Entity 2</t>
  </si>
  <si>
    <t>Limited Liability Corporation</t>
  </si>
  <si>
    <t>Principal 1</t>
  </si>
  <si>
    <t>Proxy Entity 3</t>
  </si>
  <si>
    <t>General Partnership</t>
  </si>
  <si>
    <t>Principal 2</t>
  </si>
  <si>
    <t>Proxy Entity 4</t>
  </si>
  <si>
    <t>Limited Partnership</t>
  </si>
  <si>
    <t>Principal 3</t>
  </si>
  <si>
    <t>Proxy Entity 5</t>
  </si>
  <si>
    <t>Local Government</t>
  </si>
  <si>
    <t>DEV TEAM</t>
  </si>
  <si>
    <t>Development members</t>
  </si>
  <si>
    <t>Proxy Entity 6</t>
  </si>
  <si>
    <t>Proxy Entity 7</t>
  </si>
  <si>
    <t>Proxy Entity 8</t>
  </si>
  <si>
    <t>Proxy Entity 9</t>
  </si>
  <si>
    <t>Proxy Entity 10</t>
  </si>
  <si>
    <t>Proxy Entity 11</t>
  </si>
  <si>
    <t>Proxy Entity 12</t>
  </si>
  <si>
    <t>Proxy Entity 13</t>
  </si>
  <si>
    <t>Proxy Entity 14</t>
  </si>
  <si>
    <t>Proxy Entity 15</t>
  </si>
  <si>
    <t>Proxy Entity 16</t>
  </si>
  <si>
    <t>Proxy Entity 17</t>
  </si>
  <si>
    <t>Proxy Entity 18</t>
  </si>
  <si>
    <t>Proxy Entity 19</t>
  </si>
  <si>
    <t>Proxy Entity 20</t>
  </si>
  <si>
    <t>Proxy Entity 21</t>
  </si>
  <si>
    <t>Proxy Entity 22</t>
  </si>
  <si>
    <t>Proxy Entity 23</t>
  </si>
  <si>
    <t>Proxy Entity 24</t>
  </si>
  <si>
    <t>Proxy Entity 25</t>
  </si>
  <si>
    <t>Lending and Investment</t>
  </si>
  <si>
    <t>Proxy Entity 26</t>
  </si>
  <si>
    <t>Proxy Entity 27</t>
  </si>
  <si>
    <t>Proxy Entity 28</t>
  </si>
  <si>
    <t>Proxy Entity 29</t>
  </si>
  <si>
    <t>Proxy Entity 30</t>
  </si>
  <si>
    <t>Proxy Entity 31</t>
  </si>
  <si>
    <t>Development Team History</t>
  </si>
  <si>
    <t>Are there direct or indirect identity of interests, financial or otherwise, among any members of the development team? (Y/N)</t>
  </si>
  <si>
    <t>Direct or indirect identity of interests / financial among the development team? (Y/N)</t>
  </si>
  <si>
    <t>Are there direct or indirect identity of interests, financial or otherwise, among any members of the development team? (Explanation)</t>
  </si>
  <si>
    <t>Direct or indirect identity of interests / financial among the development team? (Explain)</t>
  </si>
  <si>
    <t>Has any development team member* participated  as owner or manager in the development or operation of a project that has defaulted on a Department or other government or private sector loan in the previous five years? (Y/N)</t>
  </si>
  <si>
    <t>Dev member in a project that has defaulted on a loan in the previous five years? (Y/N)</t>
  </si>
  <si>
    <t>Has any development team member* participated  as owner or manager in the development or operation of a project that has defaulted on a Department or other government or private sector loan in the previous five years? (Explanation)</t>
  </si>
  <si>
    <t>Dev member in a project that has defaulted on a loan in the previous five years? (Explain)</t>
  </si>
  <si>
    <t>Has any development team member* consistently failed to provide documentation required by the Department in connection with other loan applications or the management and operation of other, existing developments? (Y/N)</t>
  </si>
  <si>
    <t>Dev member consistently failed to provide documentation required by the Department? (Y/N)</t>
  </si>
  <si>
    <t>Has any development team member* consistently failed to provide documentation required by the Department in connection with other loan applications or the management and operation of other, existing developments? (Explanation)</t>
  </si>
  <si>
    <t>Dev member consistently failed to provide documentation required by the Department? (Explain)</t>
  </si>
  <si>
    <t>Does any development team member* have a limited denial of participation from HUD or is any development team member* debarred, suspended or voluntarily excluded from participation in any federal or state program, or have been involuntarily removed within the previous 5 years as a general partner or managing member from any affordable housing project whether or not financed or subsidized by the programs of this Department? (Y/N)</t>
  </si>
  <si>
    <t>Dev member have a denial of participation from HUD or is debarred / suspended? (Y/N)</t>
  </si>
  <si>
    <t>Does any development team member* have a limited denial of participation from HUD or is any development team member* debarred, suspended or voluntarily excluded from participation in any federal or state program, or have been involuntarily removed within the previous 5 years as a general partner or managing member from any affordable housing project whether or not financed or subsidized by the programs of this Department? (Explanation)</t>
  </si>
  <si>
    <t>Dev member have a denial of participation from HUD or is debarred / suspended? (Explain)</t>
  </si>
  <si>
    <t>Does any development team member* acting in the roles of sponsor, developer, guarantor or owner have any chronic past due accounts, substantial liens or judgments, three or more instances of unpaid taxes (even if cured prior to the application date), foreclosures or bankruptcies, or deeds in lieu of foreclosure within the past five years? (Y/N)</t>
  </si>
  <si>
    <t>Dev member have chronic past due accounts, substantial liens within the past 5 years? (Y/N)</t>
  </si>
  <si>
    <t>Does any development team member* acting in the roles of sponsor, developer, guarantor or owner have any chronic past due accounts, substantial liens or judgments, three or more instances of unpaid taxes (even if cured prior to the application date), foreclosures or bankruptcies, or deeds in lieu of foreclosure within the past five years? (Explanation)</t>
  </si>
  <si>
    <t>Dev member have chronic past due accounts, substantial liens within the past 5 years? (Explain)</t>
  </si>
  <si>
    <t>Has any development team member* acting in the roles of sponsor, developer, guarantor or owner been involved with any project placed on the Department's defaulted loans watch list due to actions that are attributable to the sponsor or development team? (Y/N)</t>
  </si>
  <si>
    <t>Dev member involved with any project on Department's defaulted loans watch list? (Y/N)</t>
  </si>
  <si>
    <t>Has any development team member* acting in the roles of sponsor, developer, guarantor or owner been involved with any project placed on the Department's defaulted loans watch list due to actions that are attributable to the sponsor or development team? (Explanation)</t>
  </si>
  <si>
    <t>Dev member involved with any project on Department's defaulted loans watch list? (Explain)</t>
  </si>
  <si>
    <t>Has any development team member* received a reservation, allocation or commitment of funding or a carryover allocation of tax credits from the Department within the last four years that it was unable to use, or place their project in service within the time allowed by the tax credit program? (Y/N)</t>
  </si>
  <si>
    <t>Dev member received reservation it was unable to use within time allowed? (Y/N)</t>
  </si>
  <si>
    <t>Has any development team member* received a reservation, allocation or commitment of funding or a carryover allocation of tax credits from the Department within the last four years that it was unable to use, or place their project in service within the time allowed by the tax credit program? (Explanation)</t>
  </si>
  <si>
    <t>Dev member received reservation it was unable to use within time allowed? (Explain)</t>
  </si>
  <si>
    <t>Does any development team member* have unpaid fees, loan arrearages or other obligations due to the Department on other projects, or for general partners or management agents, have tax credit compliance problems resulting in the issuance of an IRS Form 8823 and that are still outstanding in the following year?  (Y/N)</t>
  </si>
  <si>
    <t>Dev member issued an IRS Form 8823 that is outstanding in the following year?  (Y/N)</t>
  </si>
  <si>
    <t>Does any development team member* have unpaid fees, loan arrearages or other obligations due to the Department on other projects, or for general partners or management agents, have tax credit compliance problems resulting in the issuance of an IRS Form 8823 and that are still outstanding in the following year?  (Explanation)</t>
  </si>
  <si>
    <t>Dev member issued an IRS Form 8823 that is outstanding in the following year?  (Explain)</t>
  </si>
  <si>
    <t>Section 6a</t>
  </si>
  <si>
    <t>Section 6b</t>
  </si>
  <si>
    <t>Tax Credit Tab</t>
  </si>
  <si>
    <t>Total Mkt Units</t>
  </si>
  <si>
    <t>Minimum Set Aside</t>
  </si>
  <si>
    <t>BUILDING</t>
  </si>
  <si>
    <t>TAX CREDIT</t>
  </si>
  <si>
    <t>TC Buildings</t>
  </si>
  <si>
    <t>Income Per Unit</t>
  </si>
  <si>
    <t>UFAS Unit</t>
  </si>
  <si>
    <t>Visitable Unit</t>
  </si>
  <si>
    <t>Unit Mix AMI</t>
  </si>
  <si>
    <t>Unit Type</t>
  </si>
  <si>
    <t>Bathroom</t>
  </si>
  <si>
    <t>DEV Location - Unit Mix</t>
  </si>
  <si>
    <t>TC Unit Mix</t>
  </si>
  <si>
    <t>Other Income tab data</t>
  </si>
  <si>
    <t>Vacancy</t>
  </si>
  <si>
    <t>Vacancy Allowance LIHTC</t>
  </si>
  <si>
    <t>Income - Vacancy Allowance</t>
  </si>
  <si>
    <t>Annual EGI Low Income</t>
  </si>
  <si>
    <t>Vacancy Allowance Market Rate</t>
  </si>
  <si>
    <t>Annual EGI Market and other income</t>
  </si>
  <si>
    <t>Vacancy Allowance Nonresidential</t>
  </si>
  <si>
    <t>Vacancy Allowance Commercial Income</t>
  </si>
  <si>
    <t>Total Low Income Units</t>
  </si>
  <si>
    <t>Household Electric</t>
  </si>
  <si>
    <t>Total Annual Credit Amt Request</t>
  </si>
  <si>
    <t>Air Conditioning</t>
  </si>
  <si>
    <t>Hot Water</t>
  </si>
  <si>
    <t xml:space="preserve">Cooking </t>
  </si>
  <si>
    <t>Total Market Rate Units</t>
  </si>
  <si>
    <t>Heat</t>
  </si>
  <si>
    <t>Total Non income Units</t>
  </si>
  <si>
    <t>Other Describe</t>
  </si>
  <si>
    <t>Nonresidential Income</t>
  </si>
  <si>
    <t>Misc Income 1 Describe</t>
  </si>
  <si>
    <t>Income UDF Tab</t>
  </si>
  <si>
    <t>Misc Income 2 Describe</t>
  </si>
  <si>
    <t>Other 1 Describe</t>
  </si>
  <si>
    <t>Other 2 Describe</t>
  </si>
  <si>
    <t>Commercial Income Describe</t>
  </si>
  <si>
    <t>Misc Income 1 Square footage</t>
  </si>
  <si>
    <t>Misc Income 2 Square footage</t>
  </si>
  <si>
    <t>Other 1 Square footage</t>
  </si>
  <si>
    <t>Other 2 Square footage</t>
  </si>
  <si>
    <t>Commercial Income Square footage</t>
  </si>
  <si>
    <t>Misc Income 1 Monthly Income</t>
  </si>
  <si>
    <t>Misc Income 2 Monthly Income</t>
  </si>
  <si>
    <t>Other 1 Monthly Income</t>
  </si>
  <si>
    <t>Other 2 Monthly Income</t>
  </si>
  <si>
    <t>Commercial Income Monthly Income</t>
  </si>
  <si>
    <t>Non-income producting units</t>
  </si>
  <si>
    <t>Description 1</t>
  </si>
  <si>
    <t>Description 2</t>
  </si>
  <si>
    <t>Description 3</t>
  </si>
  <si>
    <t>Description 4</t>
  </si>
  <si>
    <t>Description 5</t>
  </si>
  <si>
    <t>Number of Units 1</t>
  </si>
  <si>
    <t>Number of Units 2</t>
  </si>
  <si>
    <t>Number of Units 3</t>
  </si>
  <si>
    <t>Number of Units 4</t>
  </si>
  <si>
    <t>Number of Units 5</t>
  </si>
  <si>
    <t>Square Footage 1</t>
  </si>
  <si>
    <t>Square Footage 2</t>
  </si>
  <si>
    <t>Square Footage 3</t>
  </si>
  <si>
    <t>Square Footage 4</t>
  </si>
  <si>
    <t>Square Footage 5</t>
  </si>
  <si>
    <t>ProLink Mapping - TCA Module UDF</t>
  </si>
  <si>
    <t>Total Budgeted Cost / Value</t>
  </si>
  <si>
    <t>EXPENSES</t>
  </si>
  <si>
    <t>Administrative Expenses</t>
  </si>
  <si>
    <t>AdminAdvMrktg</t>
  </si>
  <si>
    <t>AdminOfficeSalaries</t>
  </si>
  <si>
    <t>AdminOfficeSupplies</t>
  </si>
  <si>
    <t>AdminOfficeModelApt</t>
  </si>
  <si>
    <t>AdminMgtFee</t>
  </si>
  <si>
    <t>Management Fee Annual Rate %</t>
  </si>
  <si>
    <t>AdminStaffUnit</t>
  </si>
  <si>
    <t>Legal Expenses (project only)</t>
  </si>
  <si>
    <t>AdminLegal</t>
  </si>
  <si>
    <t>Auditing Expenses (project only)</t>
  </si>
  <si>
    <t>AdminAuditing</t>
  </si>
  <si>
    <t>AdminBookkeepingfees</t>
  </si>
  <si>
    <t>AdminTelephoneAndAnsweringSvc</t>
  </si>
  <si>
    <t>Grouped with Admin Misc</t>
  </si>
  <si>
    <t>Miscellaneous Administrative Expenses 1 Describe</t>
  </si>
  <si>
    <t>AdminMisc</t>
  </si>
  <si>
    <t>Miscellaneous Administrative Expenses 2 Describe</t>
  </si>
  <si>
    <t>Miscellaneous Administrative Expenses 3 Describe</t>
  </si>
  <si>
    <t>Annual Tax Credit Compliance Monitoring Fee ($35.00 per tax credit unit, if applicable)</t>
  </si>
  <si>
    <t>AdminTaxCreditMonitoringFee</t>
  </si>
  <si>
    <t>Utility Expenses</t>
  </si>
  <si>
    <t>UtilitiesFuelOil</t>
  </si>
  <si>
    <t>UtilitiesElectricity</t>
  </si>
  <si>
    <t>UtilitiesGas</t>
  </si>
  <si>
    <t>UtilitiesWater</t>
  </si>
  <si>
    <t>UtilitiesSewer</t>
  </si>
  <si>
    <t>O&amp;M Expenses</t>
  </si>
  <si>
    <t>OperJanitorCleaningPayroll</t>
  </si>
  <si>
    <t>OperJanitorCleaningSupplies</t>
  </si>
  <si>
    <t>OperJanitorCleaningContract</t>
  </si>
  <si>
    <t>OperExterminating</t>
  </si>
  <si>
    <t>Grouped with Exterminating</t>
  </si>
  <si>
    <t>OperTrashRemoval</t>
  </si>
  <si>
    <t>OperSecurityPayroll</t>
  </si>
  <si>
    <t>OperGroundsPayroll</t>
  </si>
  <si>
    <t>OperGroundsSupplies</t>
  </si>
  <si>
    <t>OperGroundsContract</t>
  </si>
  <si>
    <t>OperMainPayroll</t>
  </si>
  <si>
    <t>OperRepairsMaterial</t>
  </si>
  <si>
    <t>OperRepairsContract</t>
  </si>
  <si>
    <t>OperElevatorMaincontract</t>
  </si>
  <si>
    <t>OperHeatCoolMainRepair</t>
  </si>
  <si>
    <t>OperPoolMainContractStaff</t>
  </si>
  <si>
    <t>OperSnowRemoval</t>
  </si>
  <si>
    <t>OperDecoratingPayrollContract</t>
  </si>
  <si>
    <t>OperDecoratingSupplies</t>
  </si>
  <si>
    <t>Other Operating and Maintenance Expenses</t>
  </si>
  <si>
    <t>Grouped with OM Misc</t>
  </si>
  <si>
    <t>Other Operating and Maintenance Expenses Describe</t>
  </si>
  <si>
    <t>OperMisc</t>
  </si>
  <si>
    <t>Miscellaneous Operating and Maintenance Expenses Describe</t>
  </si>
  <si>
    <t>Taxes and Insurance</t>
  </si>
  <si>
    <t>TIRealEstateTaxes</t>
  </si>
  <si>
    <t>Payment in Lieu of Real Estate Taxes Annual</t>
  </si>
  <si>
    <t>Grouped with RE Taxes</t>
  </si>
  <si>
    <t>Payment in Lieu of Real Estate Taxes Total</t>
  </si>
  <si>
    <t>Payment in Lieu of Real Estate Taxes Years</t>
  </si>
  <si>
    <t>TIPayrollTaxes</t>
  </si>
  <si>
    <t>TIMisc</t>
  </si>
  <si>
    <t>Property Insurance</t>
  </si>
  <si>
    <t>TIPropertyAndLiabilityIns</t>
  </si>
  <si>
    <t>Liability Insurance (hazard)</t>
  </si>
  <si>
    <t>Grouped with Property Insurance</t>
  </si>
  <si>
    <t>TIFidelityBond</t>
  </si>
  <si>
    <t>TIWorkmansComp</t>
  </si>
  <si>
    <t>TIHealthIns</t>
  </si>
  <si>
    <t xml:space="preserve">Other Insurance </t>
  </si>
  <si>
    <t>TIOtherInsurance</t>
  </si>
  <si>
    <t>Other Insurance  Describe</t>
  </si>
  <si>
    <t>ReplacementReserves</t>
  </si>
  <si>
    <t>Instrument Type</t>
  </si>
  <si>
    <t>Assumed DHCD Debt</t>
  </si>
  <si>
    <t>Program Type</t>
  </si>
  <si>
    <t>Term (in months)</t>
  </si>
  <si>
    <t>DEV Funding Sources</t>
  </si>
  <si>
    <t>Low Income Housing Tax Credit Proceeds</t>
  </si>
  <si>
    <t>App Type</t>
  </si>
  <si>
    <t>ProLink Mapping - DEV Module UDF</t>
  </si>
  <si>
    <t>Actual Costs</t>
  </si>
  <si>
    <t>4% Construction Basis</t>
  </si>
  <si>
    <t>9% Construction Basis</t>
  </si>
  <si>
    <t>Cost Label</t>
  </si>
  <si>
    <t>TC Development Costs</t>
  </si>
  <si>
    <t>UnitStructuresNew</t>
  </si>
  <si>
    <t>Construction or Rehab Costs</t>
  </si>
  <si>
    <t>DEV Deal Budget</t>
  </si>
  <si>
    <t>HC_Structures</t>
  </si>
  <si>
    <t>UnitStructuresRehab</t>
  </si>
  <si>
    <t>HC_GeneralReq</t>
  </si>
  <si>
    <t>GeneralRequirements</t>
  </si>
  <si>
    <t>HC_Profit</t>
  </si>
  <si>
    <t>BuildersProfit</t>
  </si>
  <si>
    <t>HC_Overhead</t>
  </si>
  <si>
    <t>BuildersOverhead</t>
  </si>
  <si>
    <t>HC_Bonds</t>
  </si>
  <si>
    <t>BondingFee</t>
  </si>
  <si>
    <t>HC_Other1</t>
  </si>
  <si>
    <t>OtherConstruction1</t>
  </si>
  <si>
    <t>OtherConstruction2</t>
  </si>
  <si>
    <t>Other 6</t>
  </si>
  <si>
    <t>Other 7</t>
  </si>
  <si>
    <t>HC_Contingency</t>
  </si>
  <si>
    <t>OtherConstruction3</t>
  </si>
  <si>
    <t>HC_Other1Comments</t>
  </si>
  <si>
    <t>Other 3 Describe</t>
  </si>
  <si>
    <t>Other 4 Describe</t>
  </si>
  <si>
    <t>Other 5 Describe</t>
  </si>
  <si>
    <t>Other 6 Describe</t>
  </si>
  <si>
    <t>Other 7 Describe</t>
  </si>
  <si>
    <t>Fees</t>
  </si>
  <si>
    <t>SC_DesignArchitect</t>
  </si>
  <si>
    <t>ArchEnginDesignFee</t>
  </si>
  <si>
    <t>SC_ArchitectSupervision</t>
  </si>
  <si>
    <t>ArchSupervisionFee</t>
  </si>
  <si>
    <t>SC_Legal</t>
  </si>
  <si>
    <t>ClosingLegalFees</t>
  </si>
  <si>
    <t>SC_DesignEngineering</t>
  </si>
  <si>
    <t>Engineering</t>
  </si>
  <si>
    <t>SC_MrktGenLeaseUp</t>
  </si>
  <si>
    <t>AdditionalCosts10</t>
  </si>
  <si>
    <t>SC_Other1</t>
  </si>
  <si>
    <t>AdditionalCosts1</t>
  </si>
  <si>
    <t>Offsite Infrastructure, Solar Installation, Other Fees Related to Construction 1-11</t>
  </si>
  <si>
    <t>SC_Survey</t>
  </si>
  <si>
    <t>SC_SoilBorings</t>
  </si>
  <si>
    <t>SoilBorings</t>
  </si>
  <si>
    <t>SC_Appraisal</t>
  </si>
  <si>
    <t>AppraisalFee</t>
  </si>
  <si>
    <t>SC_MarketStudy</t>
  </si>
  <si>
    <t>MarketStudy</t>
  </si>
  <si>
    <t>SC_Environmental</t>
  </si>
  <si>
    <t>EnviroStudy</t>
  </si>
  <si>
    <t>HC_BuildingPermits</t>
  </si>
  <si>
    <t>BuildingPermit</t>
  </si>
  <si>
    <t>SC_TapFees</t>
  </si>
  <si>
    <t>TapFees</t>
  </si>
  <si>
    <t>SC_FurnFixtEquip</t>
  </si>
  <si>
    <t>SpecialEquipment</t>
  </si>
  <si>
    <t>SC_Consultants</t>
  </si>
  <si>
    <t>AdditionalCosts11</t>
  </si>
  <si>
    <t>Other 8</t>
  </si>
  <si>
    <t>Other 9</t>
  </si>
  <si>
    <t>Other 10</t>
  </si>
  <si>
    <t>Other 11</t>
  </si>
  <si>
    <t>SC_Other1Comments</t>
  </si>
  <si>
    <t>AdditionalCosts1 Label</t>
  </si>
  <si>
    <t>Other 8 Describe</t>
  </si>
  <si>
    <t>Other 9 Describe</t>
  </si>
  <si>
    <t>Other 10 Describe</t>
  </si>
  <si>
    <t>Other 11 Describe</t>
  </si>
  <si>
    <t>Financing Fees</t>
  </si>
  <si>
    <t>SC_ContructionInterest</t>
  </si>
  <si>
    <t>ConstrInterest</t>
  </si>
  <si>
    <t>SC_TaxesDuringConst</t>
  </si>
  <si>
    <t>TaxesduringConstr</t>
  </si>
  <si>
    <t>SC_Insurance</t>
  </si>
  <si>
    <t>InsuranceduringConstr</t>
  </si>
  <si>
    <t>SC_Other5</t>
  </si>
  <si>
    <t>AdditionalCosts5</t>
  </si>
  <si>
    <t>SC_TitleRecording</t>
  </si>
  <si>
    <t>TitleAndRecording</t>
  </si>
  <si>
    <t>SC_Contingency</t>
  </si>
  <si>
    <t>OtherContingencyTotal</t>
  </si>
  <si>
    <t>AdditionalCosts2</t>
  </si>
  <si>
    <t>AdditionalCosts3</t>
  </si>
  <si>
    <t>SC_Other4</t>
  </si>
  <si>
    <t>AdditionalCosts4</t>
  </si>
  <si>
    <t>SC_Other2Comments</t>
  </si>
  <si>
    <t>AdditionalCosts2Label</t>
  </si>
  <si>
    <t>SC_Other3Comments</t>
  </si>
  <si>
    <t>AdditionalCosts3Label</t>
  </si>
  <si>
    <t>SC_Other4Comments</t>
  </si>
  <si>
    <t>AdditionalCosts5Label</t>
  </si>
  <si>
    <t>SC_Other5Comments</t>
  </si>
  <si>
    <t>SC_Acquisition</t>
  </si>
  <si>
    <t>ExistingImprovementsCost</t>
  </si>
  <si>
    <t>SC_LandAcquisition</t>
  </si>
  <si>
    <t>LandAcqCost</t>
  </si>
  <si>
    <t>SC_Other6</t>
  </si>
  <si>
    <t>AdditionalCosts6</t>
  </si>
  <si>
    <t>Special Assessment, Carrying Charges, Other Acquisition 1 and 2</t>
  </si>
  <si>
    <t>SC_TenantRelocation</t>
  </si>
  <si>
    <t>AdditionalCosts12</t>
  </si>
  <si>
    <t>HC_OffSiteImprovment</t>
  </si>
  <si>
    <t>OffSiteImprovements</t>
  </si>
  <si>
    <t>SC_Other6Comments</t>
  </si>
  <si>
    <t>AdditionalCosts6Label</t>
  </si>
  <si>
    <t>Fee on Non-Acquisition Costs</t>
  </si>
  <si>
    <t>SC_Other7</t>
  </si>
  <si>
    <t>DeveloperFees</t>
  </si>
  <si>
    <t>SC_Other7Comments</t>
  </si>
  <si>
    <t>SC_Other8</t>
  </si>
  <si>
    <t>AdditionalCosts8</t>
  </si>
  <si>
    <t>Syndication Fee, Legal (syndication only), Other Syndication Fee 1 and 2</t>
  </si>
  <si>
    <t>Legal (syndication only)</t>
  </si>
  <si>
    <t>SC_Other8Comments</t>
  </si>
  <si>
    <t>SC_Other10</t>
  </si>
  <si>
    <t>AdditionalCosts7</t>
  </si>
  <si>
    <t>SC_Other10Comments</t>
  </si>
  <si>
    <t>SC_OrgCosts</t>
  </si>
  <si>
    <t>AdditionalCosts13</t>
  </si>
  <si>
    <t>SC_TaxCreditFee</t>
  </si>
  <si>
    <t>TaxCreditFee</t>
  </si>
  <si>
    <t>SC_Accounting</t>
  </si>
  <si>
    <t>AdditionalCosts14</t>
  </si>
  <si>
    <t>AdditionalCosts8Label</t>
  </si>
  <si>
    <t>SC_Other9</t>
  </si>
  <si>
    <t>AdditionalCosts9</t>
  </si>
  <si>
    <t>Construction Guarantee, DSC, Rent-up, Supportive Services, Developer Fee Funded, Other Reserve 1-2</t>
  </si>
  <si>
    <t>SC_Reserves</t>
  </si>
  <si>
    <t>OperReserve</t>
  </si>
  <si>
    <t xml:space="preserve">Developer Fee Funded Supportive Services / Rent Subsidy / Sponsor Note Reserve </t>
  </si>
  <si>
    <t>Other Reserve Describe</t>
  </si>
  <si>
    <t>SC_Other9Comments</t>
  </si>
  <si>
    <t>AdditionalCosts9Label</t>
  </si>
  <si>
    <t>Fees on Non-acquisition Costs</t>
  </si>
  <si>
    <t>Fee Percentage - Costs over $10 Million</t>
  </si>
  <si>
    <t>Fee Percentage - Costs $10 Million or less</t>
  </si>
  <si>
    <t>Fees on Acquisition Costs</t>
  </si>
  <si>
    <t>Type of LIHTC</t>
  </si>
  <si>
    <t>Building Allocation Type</t>
  </si>
  <si>
    <t>Substantial Rehab</t>
  </si>
  <si>
    <t>Ten Year Rule Exemption</t>
  </si>
  <si>
    <t>Tax Credit Information</t>
  </si>
  <si>
    <t>Total rehabilitation related costs</t>
  </si>
  <si>
    <t>Costs are at least $7,900* per unit</t>
  </si>
  <si>
    <t>Total Rehab Related Costs Test</t>
  </si>
  <si>
    <t>Election</t>
  </si>
  <si>
    <t>Minimum Set Aside - 20/50</t>
  </si>
  <si>
    <t>Minimum Set Aside - 40/60</t>
  </si>
  <si>
    <t>Minimum Set Aside - Income Averaging</t>
  </si>
  <si>
    <t>Rent Floor Election - Date of Allocation</t>
  </si>
  <si>
    <t>Tax Credit Information - Rent Floor Election</t>
  </si>
  <si>
    <t>Rent Floor Election - Date Project PIS</t>
  </si>
  <si>
    <t>Syndication Information</t>
  </si>
  <si>
    <t>Type of Offering - Public</t>
  </si>
  <si>
    <t>Type of Offering</t>
  </si>
  <si>
    <t>Type of Offering - Private</t>
  </si>
  <si>
    <t>Type of Investors - Individuals</t>
  </si>
  <si>
    <t>Type of Investors</t>
  </si>
  <si>
    <t>Type of Investors - Fund</t>
  </si>
  <si>
    <t>Type of Investors - Corporation</t>
  </si>
  <si>
    <t>Percent Paid 1</t>
  </si>
  <si>
    <t>Percent Paid 2</t>
  </si>
  <si>
    <t>Percent Paid 3</t>
  </si>
  <si>
    <t>Percent Paid 4</t>
  </si>
  <si>
    <t>Percent Paid 5</t>
  </si>
  <si>
    <t>Percent Paid 6</t>
  </si>
  <si>
    <t>Percent Paid 7</t>
  </si>
  <si>
    <t>Percent Paid 8</t>
  </si>
  <si>
    <t>Percent Paid 9</t>
  </si>
  <si>
    <t>Percent Paid 10</t>
  </si>
  <si>
    <t>Amount Paid 1</t>
  </si>
  <si>
    <t>Amount Paid 2</t>
  </si>
  <si>
    <t>Amount Paid 3</t>
  </si>
  <si>
    <t>Amount Paid 4</t>
  </si>
  <si>
    <t>Amount Paid 5</t>
  </si>
  <si>
    <t>Amount Paid 6</t>
  </si>
  <si>
    <t>Amount Paid 7</t>
  </si>
  <si>
    <t>Amount Paid 8</t>
  </si>
  <si>
    <t>Amount Paid 9</t>
  </si>
  <si>
    <t>Amount Paid 10</t>
  </si>
  <si>
    <t>Date Paid 1</t>
  </si>
  <si>
    <t>Date Paid 2</t>
  </si>
  <si>
    <t>Date Paid 3</t>
  </si>
  <si>
    <t>Date Paid 4</t>
  </si>
  <si>
    <t>Date Paid 5</t>
  </si>
  <si>
    <t>Date Paid 6</t>
  </si>
  <si>
    <t>Date Paid 7</t>
  </si>
  <si>
    <t>Date Paid 8</t>
  </si>
  <si>
    <t>Date Paid 9</t>
  </si>
  <si>
    <t>Date Paid 10</t>
  </si>
  <si>
    <t>Max LIHTC</t>
  </si>
  <si>
    <t>Census tract or DDA #</t>
  </si>
  <si>
    <t>QCT or DDA Boost %</t>
  </si>
  <si>
    <t>Rural Housing and Community Development Service - Deducted</t>
  </si>
  <si>
    <t>Community Development Block Grant - Deducted</t>
  </si>
  <si>
    <t>Rental Rehabilitation Program - Deducted</t>
  </si>
  <si>
    <t>Urban Development Assistance Grant - Deducted</t>
  </si>
  <si>
    <t>Housing Development Assistance Grant - Deducted</t>
  </si>
  <si>
    <t>HOME Investment Program - Deducted</t>
  </si>
  <si>
    <t>Other - Deducted</t>
  </si>
  <si>
    <t>Gross Proceeds</t>
  </si>
  <si>
    <t>Historic Credits - Federal</t>
  </si>
  <si>
    <t>Historic Credits - State</t>
  </si>
  <si>
    <t>Raise Ratio - Federal</t>
  </si>
  <si>
    <t>Raise Ratio - State</t>
  </si>
  <si>
    <t>Deal Info - Low Income Units</t>
  </si>
  <si>
    <t>Deal Info - Market Rate Units</t>
  </si>
  <si>
    <t>Deal Info - Nonresidential</t>
  </si>
  <si>
    <t>Deal Info - Commercial Income</t>
  </si>
  <si>
    <t>Deal Info - Administrative</t>
  </si>
  <si>
    <t>Deal Info - Utilities</t>
  </si>
  <si>
    <t>Deal Info - Operating and Maintenance</t>
  </si>
  <si>
    <t>Deal Info - Real Estate Taxes</t>
  </si>
  <si>
    <t>Deal Info - Payment in Lieu of Real Estate Taxes</t>
  </si>
  <si>
    <t>Deal Info - Other Taxes, Insurance, and Benefits</t>
  </si>
  <si>
    <t>Deal Info - Reserve for Replacement</t>
  </si>
  <si>
    <t>Cash Flow % - Years 1-15 or During DDF Period</t>
  </si>
  <si>
    <t xml:space="preserve">Deal Info - Deferred Developer Fee </t>
  </si>
  <si>
    <t xml:space="preserve">Deal Info - DHCD Loans </t>
  </si>
  <si>
    <t xml:space="preserve">Deal Info - Local Gov't </t>
  </si>
  <si>
    <t xml:space="preserve">Deal Info - Remaining Cash Flow </t>
  </si>
  <si>
    <t>Cash Flow % - Years 16+ or Post DDF Period</t>
  </si>
  <si>
    <t>Deal Info - Deferred Developer Fee Yr 16+</t>
  </si>
  <si>
    <t>Deal Info - DHCD Loans Yr 16+</t>
  </si>
  <si>
    <t>Deal Info - Local Gov't Yr 16+</t>
  </si>
  <si>
    <t>Deal Info - Remaining Cash Flow Yr 16+</t>
  </si>
  <si>
    <t>Existing Debt</t>
  </si>
  <si>
    <t>Lien Position 1</t>
  </si>
  <si>
    <t>Current Financing Info - Lien Position</t>
  </si>
  <si>
    <t>Lien Position 2</t>
  </si>
  <si>
    <t>Lien Position 3</t>
  </si>
  <si>
    <t>Lien Position 4</t>
  </si>
  <si>
    <t>Lien Position 5</t>
  </si>
  <si>
    <t>Lien Position 6</t>
  </si>
  <si>
    <t>Lien Position 7</t>
  </si>
  <si>
    <t>Lien Position 8</t>
  </si>
  <si>
    <t>Mortgage 1</t>
  </si>
  <si>
    <t>Current Financing Info - Mortgage</t>
  </si>
  <si>
    <t>Mortgage 2</t>
  </si>
  <si>
    <t>Mortgage 3</t>
  </si>
  <si>
    <t>Mortgage 4</t>
  </si>
  <si>
    <t>Mortgage 5</t>
  </si>
  <si>
    <t>Mortgage 6</t>
  </si>
  <si>
    <t>Mortgage 7</t>
  </si>
  <si>
    <t>Mortgage 8</t>
  </si>
  <si>
    <t>Loan Product 1</t>
  </si>
  <si>
    <t>Current Financing Info - Loan Product</t>
  </si>
  <si>
    <t>Loan Product 2</t>
  </si>
  <si>
    <t>Loan Product 3</t>
  </si>
  <si>
    <t>Loan Product 4</t>
  </si>
  <si>
    <t>Loan Product 5</t>
  </si>
  <si>
    <t>Loan Product 6</t>
  </si>
  <si>
    <t>Loan Product 7</t>
  </si>
  <si>
    <t>Loan Product 8</t>
  </si>
  <si>
    <t>Approximate Balance 1</t>
  </si>
  <si>
    <t>Current Financing Info - Approximate Balance</t>
  </si>
  <si>
    <t>Approximate Balance 2</t>
  </si>
  <si>
    <t>Approximate Balance 3</t>
  </si>
  <si>
    <t>Approximate Balance 4</t>
  </si>
  <si>
    <t>Approximate Balance 5</t>
  </si>
  <si>
    <t>Approximate Balance 6</t>
  </si>
  <si>
    <t>Approximate Balance 7</t>
  </si>
  <si>
    <t>Approximate Balance 8</t>
  </si>
  <si>
    <t>Loan Number 1</t>
  </si>
  <si>
    <t>Current Financing Info - Loan Number</t>
  </si>
  <si>
    <t>Loan Number 2</t>
  </si>
  <si>
    <t>Loan Number 3</t>
  </si>
  <si>
    <t>Loan Number 4</t>
  </si>
  <si>
    <t>Loan Number 5</t>
  </si>
  <si>
    <t>Loan Number 6</t>
  </si>
  <si>
    <t>Loan Number 7</t>
  </si>
  <si>
    <t>Loan Number 8</t>
  </si>
  <si>
    <t>Credit Enhancement 1</t>
  </si>
  <si>
    <t>Current Financing Info - Credit Enhancement</t>
  </si>
  <si>
    <t>Credit Enhancement 2</t>
  </si>
  <si>
    <t>Credit Enhancement 3</t>
  </si>
  <si>
    <t>Credit Enhancement 4</t>
  </si>
  <si>
    <t>Credit Enhancement 5</t>
  </si>
  <si>
    <t>Credit Enhancement 6</t>
  </si>
  <si>
    <t>Credit Enhancement 7</t>
  </si>
  <si>
    <t>Credit Enhancement 8</t>
  </si>
  <si>
    <t>Standardized Financial Forecast</t>
  </si>
  <si>
    <t>Level 1 Category</t>
  </si>
  <si>
    <t>Level 2 Category</t>
  </si>
  <si>
    <t>Line items</t>
  </si>
  <si>
    <t>Trending</t>
  </si>
  <si>
    <t>Revenue</t>
  </si>
  <si>
    <t>Rental Revenue</t>
  </si>
  <si>
    <t>Low Income Units - Resident Paid Rent Portion</t>
  </si>
  <si>
    <t>Low Income Units - Rent Subsidy Portion</t>
  </si>
  <si>
    <t>Low Income Units - Vacancy</t>
  </si>
  <si>
    <t>Market Rate Units - Vacancy</t>
  </si>
  <si>
    <t>Nonresidential - Vacancy</t>
  </si>
  <si>
    <t>Commercial Income - Vacancy</t>
  </si>
  <si>
    <t>Expense</t>
  </si>
  <si>
    <t>Utility</t>
  </si>
  <si>
    <t>Sanity Check</t>
  </si>
  <si>
    <t>NOI from Proforma tab</t>
  </si>
  <si>
    <t>NOI Calc</t>
  </si>
  <si>
    <t>Difference</t>
  </si>
  <si>
    <t>Perm loan closing</t>
  </si>
  <si>
    <t>Application Date</t>
  </si>
  <si>
    <t>Today</t>
  </si>
  <si>
    <t>Section 16 - Continue</t>
  </si>
  <si>
    <t>Standardized Financial Forecast - Combined for Mapping</t>
  </si>
  <si>
    <t>Financial Type</t>
  </si>
  <si>
    <t>Rent Revenue</t>
  </si>
  <si>
    <t>5120.11 - Gross Potential Residential Rent</t>
  </si>
  <si>
    <t>5120.21 - Tenant Assistance Payment</t>
  </si>
  <si>
    <t>Other Revenue</t>
  </si>
  <si>
    <t>5990.01 - Other Revenue Other</t>
  </si>
  <si>
    <t>5140.01 - Commercial Rent (catchall)</t>
  </si>
  <si>
    <t>5220.01 - Residential Vacancy (catchall)</t>
  </si>
  <si>
    <t>5240.01 - Commercial Vacancy (catchall)</t>
  </si>
  <si>
    <t>Administrative Expense</t>
  </si>
  <si>
    <t>6210.01 - Advertising and Marketing (catchall)</t>
  </si>
  <si>
    <t>6310.01 - Office Salary (catchall)</t>
  </si>
  <si>
    <t>6311.11 - Office Supply</t>
  </si>
  <si>
    <t>6311.21 - Office or Model Apartment Rent</t>
  </si>
  <si>
    <t>6320.01 - Management Fee (catchall)</t>
  </si>
  <si>
    <t>6330.21 - Manager or Superintendent Rent Free Unit</t>
  </si>
  <si>
    <t xml:space="preserve">	6340.01 - Legal Expense Project (catchall)</t>
  </si>
  <si>
    <t>6350.01 - Audit Expense (catchall)</t>
  </si>
  <si>
    <t xml:space="preserve">	6351.01 - Bookkeeping Fees and Accounting Service (catchall)</t>
  </si>
  <si>
    <t>6360.01 - Telephone and Answering Service (catchall)</t>
  </si>
  <si>
    <t xml:space="preserve">	6370.01 - Bad Debts (catchall)</t>
  </si>
  <si>
    <t xml:space="preserve">	6390.01 - Other Administrative Expense</t>
  </si>
  <si>
    <t>6205.91 - Admin General Other</t>
  </si>
  <si>
    <t>Utility Expense</t>
  </si>
  <si>
    <t>6420.01 - Fuel Oil/Coal</t>
  </si>
  <si>
    <t>6450.11 - Electricity</t>
  </si>
  <si>
    <t xml:space="preserve">	6450.21 - Gas</t>
  </si>
  <si>
    <t>6450.32 - Water</t>
  </si>
  <si>
    <t xml:space="preserve">	6450.33 - Sewer</t>
  </si>
  <si>
    <t>Operating and Maintenance Expense</t>
  </si>
  <si>
    <t>6510.12 - Janitorial and Cleaning Payroll</t>
  </si>
  <si>
    <t>6515.12 - Janitorial and Cleaning Supply</t>
  </si>
  <si>
    <t>6520.12 - Janitorial and Cleaning Contract</t>
  </si>
  <si>
    <t xml:space="preserve">	6520.13 - Exterminating Contract</t>
  </si>
  <si>
    <t>6515.13 - Exterminating Supply</t>
  </si>
  <si>
    <t>6525.01 - Garbage and Trash Removal</t>
  </si>
  <si>
    <t>6530.11 - Security Payroll or Contract</t>
  </si>
  <si>
    <t>6510.14 - Ground Payroll</t>
  </si>
  <si>
    <t xml:space="preserve">	6515.14 - Ground Supply</t>
  </si>
  <si>
    <t>6520.14 - Ground Contract</t>
  </si>
  <si>
    <t>6510.15 - Repair Payroll</t>
  </si>
  <si>
    <t>6515.15 - Repair Material</t>
  </si>
  <si>
    <t>6520.15 - Repair Contract</t>
  </si>
  <si>
    <t>6520.16 - Elevator Maintenance Contract</t>
  </si>
  <si>
    <t xml:space="preserve">	6540.11 - Heating/Cooling Repairs and Maintenance</t>
  </si>
  <si>
    <t>6520.17 - Swim Pool Maintenance Contract</t>
  </si>
  <si>
    <t>6540.21 - Snow Removal</t>
  </si>
  <si>
    <t>6520.18 - Decorating Contract</t>
  </si>
  <si>
    <t xml:space="preserve">	6515.18 - Decorating Supply</t>
  </si>
  <si>
    <t>6590.01 - Operating and Maintenance Expense Other</t>
  </si>
  <si>
    <t>Tax and Insurance Expense</t>
  </si>
  <si>
    <t>6710.11 - Real Estate Tax</t>
  </si>
  <si>
    <t>6711.01 - Payroll Tax (catchall)</t>
  </si>
  <si>
    <t>6790.01 - Other Tax, Licenses, Permits, and Insurance</t>
  </si>
  <si>
    <t>6720.12 - Property (Hazard) Insurance Only</t>
  </si>
  <si>
    <t>6720.21 - Liability Insurance</t>
  </si>
  <si>
    <t>6723.11 - Fidelity Bond Insurance</t>
  </si>
  <si>
    <t>6723.21 - Workmen's Compensation</t>
  </si>
  <si>
    <t>6723.01 - Health Insurance and Other Employee Benefits (catchall)</t>
  </si>
  <si>
    <t>System Picklists</t>
  </si>
  <si>
    <t>Congressional Districts</t>
  </si>
  <si>
    <t>Legislative Districts</t>
  </si>
  <si>
    <t>County / Jurisdiction</t>
  </si>
  <si>
    <t>Bedroom</t>
  </si>
  <si>
    <t>SELF SCORE</t>
  </si>
  <si>
    <t>Self-score</t>
  </si>
  <si>
    <t>4-1 Capacity of Development Team</t>
  </si>
  <si>
    <t>Self Scoring UDF Tab</t>
  </si>
  <si>
    <t>4.1.4  Nonprofits (NPs), Public Housing Authorities (PHAs), Minority Business Enterprises (MBE/DBEs)</t>
  </si>
  <si>
    <t>4-2 Community Context</t>
  </si>
  <si>
    <t>4-3 Transit Oriented Development (TOD)</t>
  </si>
  <si>
    <t>4-4 Public Purpose</t>
  </si>
  <si>
    <t>4-5 Leveraging and Cost-Effectiveness</t>
  </si>
  <si>
    <t>4-6 Development Quality</t>
  </si>
  <si>
    <t>Threshold 9% Units for Persons Experiencing Homelessness</t>
  </si>
  <si>
    <t>Lender / Investor Debt Coverage Requirement</t>
  </si>
  <si>
    <t>50 units or less</t>
  </si>
  <si>
    <t>50 to 70 Units</t>
  </si>
  <si>
    <t>Vacancy Allowance LIHTC Income</t>
  </si>
  <si>
    <t>Vacancy Allowance Market Income</t>
  </si>
  <si>
    <t>Vacancy Allowance Non-Residential Income</t>
  </si>
  <si>
    <t>Vacancy Allowance Commercial-Retail Income</t>
  </si>
  <si>
    <t xml:space="preserve">Anticipated Short-Term Tax-Exempt Loan, if any: </t>
  </si>
  <si>
    <t>Note: This worksheet is not mapped. Any information entered will not be transferred to our database</t>
  </si>
  <si>
    <t>&lt;-- Basis --&gt;</t>
  </si>
  <si>
    <t>&lt;-- Land --&gt;</t>
  </si>
  <si>
    <t>Bond Sizing</t>
  </si>
  <si>
    <t>BAM</t>
  </si>
  <si>
    <t>Bond</t>
  </si>
  <si>
    <t>Bond, HOME</t>
  </si>
  <si>
    <t>Commercial</t>
  </si>
  <si>
    <t>Group Home</t>
  </si>
  <si>
    <t>Group Home, HOME</t>
  </si>
  <si>
    <t>HOME, TC</t>
  </si>
  <si>
    <t>NBW</t>
  </si>
  <si>
    <t>NR</t>
  </si>
  <si>
    <t>Other, Bond</t>
  </si>
  <si>
    <t>Other, Bond, HOME</t>
  </si>
  <si>
    <t>Other, Group Home</t>
  </si>
  <si>
    <t>Other, Group Home, HOME</t>
  </si>
  <si>
    <t>Other, HOME</t>
  </si>
  <si>
    <t>Other, HOME, TC</t>
  </si>
  <si>
    <t>Other, HOME, TC, Risk Share</t>
  </si>
  <si>
    <t>Other, State Program</t>
  </si>
  <si>
    <t>Other, State Program, Bond</t>
  </si>
  <si>
    <t>Other, State Program, Bond, HOME</t>
  </si>
  <si>
    <t>Other, State Program, HOME</t>
  </si>
  <si>
    <t>Other, State Program, HOME, TC</t>
  </si>
  <si>
    <t>Other, State Program, HOME, TC, Risk Share</t>
  </si>
  <si>
    <t>Other, State Program, TC</t>
  </si>
  <si>
    <t>Other, State Program, TC, Risk Share</t>
  </si>
  <si>
    <t>Other, TC</t>
  </si>
  <si>
    <t>Other, TC, Risk Share</t>
  </si>
  <si>
    <t>Shelter</t>
  </si>
  <si>
    <t>State Program</t>
  </si>
  <si>
    <t>State Program, Bond</t>
  </si>
  <si>
    <t>State Program, Bond, HOME</t>
  </si>
  <si>
    <t>State Program, Group Home</t>
  </si>
  <si>
    <t>State Program, Group Home, HOME</t>
  </si>
  <si>
    <t>State Program, HOME</t>
  </si>
  <si>
    <t>State Program, HOME, TC</t>
  </si>
  <si>
    <t>State Program, HOME, TC, Risk Share</t>
  </si>
  <si>
    <t>State Program, TC</t>
  </si>
  <si>
    <t>State Program, TC, Risk Share</t>
  </si>
  <si>
    <t>TC</t>
  </si>
  <si>
    <t>TC, Risk Share</t>
  </si>
  <si>
    <t>Accounts Payable</t>
  </si>
  <si>
    <t>Affordable Programs Manager</t>
  </si>
  <si>
    <t>Area Manager</t>
  </si>
  <si>
    <t>Assistant Property Manager</t>
  </si>
  <si>
    <t>Chief Officer</t>
  </si>
  <si>
    <t>Community Development</t>
  </si>
  <si>
    <t>Compliance</t>
  </si>
  <si>
    <t>Contract Inspector</t>
  </si>
  <si>
    <t>Controller</t>
  </si>
  <si>
    <t>Director</t>
  </si>
  <si>
    <t>Equity Provider</t>
  </si>
  <si>
    <t>Executive Assistant</t>
  </si>
  <si>
    <t>Finance</t>
  </si>
  <si>
    <t>Former Management Agent</t>
  </si>
  <si>
    <t>Former Owner</t>
  </si>
  <si>
    <t>Former Sponsor</t>
  </si>
  <si>
    <t>Housing Strategy</t>
  </si>
  <si>
    <t>HUD Administrator</t>
  </si>
  <si>
    <t>Manager/Director of Leasing &amp; Marketing</t>
  </si>
  <si>
    <t>Non-Profit Participant</t>
  </si>
  <si>
    <t>Operations</t>
  </si>
  <si>
    <t>Portfolio Management</t>
  </si>
  <si>
    <t>Principal Managing Partner</t>
  </si>
  <si>
    <t>Principal Other Partner</t>
  </si>
  <si>
    <t>Programs Manager</t>
  </si>
  <si>
    <t>Property Manager</t>
  </si>
  <si>
    <t>Regional Manager</t>
  </si>
  <si>
    <t>Vice President of Compliance and Training</t>
  </si>
  <si>
    <t>Vice President of Operations</t>
  </si>
  <si>
    <t>CDBG</t>
  </si>
  <si>
    <t>Do not exceed character limits for input cells.</t>
  </si>
  <si>
    <t>Delete example visuals.</t>
  </si>
  <si>
    <t>Provide the following four (4) images in the two (2) pages provided: a project site plan, rendering, typical floor plan, unit plan.  The images should be formatted such at it can be easily copied in to a Word document and printed on the two (2) pages provided.</t>
  </si>
  <si>
    <r>
      <t xml:space="preserve">Congressional District </t>
    </r>
    <r>
      <rPr>
        <i/>
        <sz val="10"/>
        <color rgb="FFFF0000"/>
        <rFont val="Times New Roman"/>
        <family val="1"/>
      </rPr>
      <t>(select from menu)</t>
    </r>
  </si>
  <si>
    <r>
      <t xml:space="preserve">County </t>
    </r>
    <r>
      <rPr>
        <i/>
        <sz val="10"/>
        <color rgb="FFFF0000"/>
        <rFont val="Times New Roman"/>
        <family val="1"/>
      </rPr>
      <t>(select from menu)</t>
    </r>
  </si>
  <si>
    <r>
      <t>Legislative District</t>
    </r>
    <r>
      <rPr>
        <i/>
        <sz val="10"/>
        <color rgb="FFFF0000"/>
        <rFont val="Times New Roman"/>
        <family val="1"/>
      </rPr>
      <t xml:space="preserve"> (select from menu)</t>
    </r>
  </si>
  <si>
    <r>
      <t xml:space="preserve">Existing HUD Project No. </t>
    </r>
    <r>
      <rPr>
        <i/>
        <sz val="10"/>
        <rFont val="Times New Roman"/>
        <family val="1"/>
      </rPr>
      <t>(if applicable)</t>
    </r>
  </si>
  <si>
    <r>
      <t xml:space="preserve">State </t>
    </r>
    <r>
      <rPr>
        <i/>
        <sz val="10"/>
        <color rgb="FFFF0000"/>
        <rFont val="Times New Roman"/>
        <family val="1"/>
      </rPr>
      <t>(select from menu)</t>
    </r>
  </si>
  <si>
    <r>
      <t xml:space="preserve">Type of Ownership </t>
    </r>
    <r>
      <rPr>
        <sz val="10"/>
        <color rgb="FFFF0000"/>
        <rFont val="Times New Roman"/>
        <family val="1"/>
      </rPr>
      <t xml:space="preserve"> </t>
    </r>
    <r>
      <rPr>
        <i/>
        <sz val="10"/>
        <color rgb="FFFF0000"/>
        <rFont val="Times New Roman"/>
        <family val="1"/>
      </rPr>
      <t>(mark one box only and select from menu)</t>
    </r>
  </si>
  <si>
    <r>
      <t>Owner/Borrower Name</t>
    </r>
    <r>
      <rPr>
        <i/>
        <sz val="10"/>
        <color rgb="FFFF0000"/>
        <rFont val="Times New Roman"/>
        <family val="1"/>
      </rPr>
      <t xml:space="preserve"> (required if a tax ID is entered)</t>
    </r>
  </si>
  <si>
    <r>
      <t xml:space="preserve">Taxpayer ID </t>
    </r>
    <r>
      <rPr>
        <i/>
        <sz val="10"/>
        <color rgb="FFFF0000"/>
        <rFont val="Times New Roman"/>
        <family val="1"/>
      </rPr>
      <t>(leave blank if entity hasn't been formed. do not type the dash.)</t>
    </r>
  </si>
  <si>
    <r>
      <t xml:space="preserve">Taxpayer ID </t>
    </r>
    <r>
      <rPr>
        <i/>
        <sz val="10"/>
        <color rgb="FFFF0000"/>
        <rFont val="Times New Roman"/>
        <family val="1"/>
      </rPr>
      <t>(do not type the dash)</t>
    </r>
  </si>
  <si>
    <t>Do not enter words or text in cells formatted for numbers or dates.</t>
  </si>
  <si>
    <r>
      <t xml:space="preserve">Name </t>
    </r>
    <r>
      <rPr>
        <i/>
        <sz val="10"/>
        <color rgb="FFFF0000"/>
        <rFont val="Times New Roman"/>
        <family val="1"/>
      </rPr>
      <t>(required if a tax ID is entered)</t>
    </r>
  </si>
  <si>
    <r>
      <t xml:space="preserve">Nonprofit
</t>
    </r>
    <r>
      <rPr>
        <i/>
        <sz val="10"/>
        <color rgb="FFFF0000"/>
        <rFont val="Times New Roman"/>
        <family val="1"/>
      </rPr>
      <t>(select from menu)</t>
    </r>
  </si>
  <si>
    <r>
      <t>Amenities</t>
    </r>
    <r>
      <rPr>
        <i/>
        <sz val="10"/>
        <color rgb="FFFF0000"/>
        <rFont val="Times New Roman"/>
        <family val="1"/>
      </rPr>
      <t xml:space="preserve"> (indicate all that apply and select from menu)</t>
    </r>
  </si>
  <si>
    <r>
      <t>Type of Project</t>
    </r>
    <r>
      <rPr>
        <i/>
        <sz val="10"/>
        <rFont val="Times New Roman"/>
        <family val="1"/>
      </rPr>
      <t xml:space="preserve"> </t>
    </r>
    <r>
      <rPr>
        <i/>
        <sz val="10"/>
        <color rgb="FFFF0000"/>
        <rFont val="Times New Roman"/>
        <family val="1"/>
      </rPr>
      <t>(indicate all that apply and select from menu)</t>
    </r>
  </si>
  <si>
    <t>computer lab/library</t>
  </si>
  <si>
    <t>gym/fitness rooms</t>
  </si>
  <si>
    <r>
      <t xml:space="preserve">PROJECT DESCRIPTION </t>
    </r>
    <r>
      <rPr>
        <i/>
        <sz val="10"/>
        <color rgb="FF0000FF"/>
        <rFont val="Times New Roman"/>
        <family val="1"/>
      </rPr>
      <t xml:space="preserve">(This section should </t>
    </r>
    <r>
      <rPr>
        <b/>
        <i/>
        <u/>
        <sz val="10"/>
        <color rgb="FF0000FF"/>
        <rFont val="Times New Roman"/>
        <family val="1"/>
      </rPr>
      <t>NOT</t>
    </r>
    <r>
      <rPr>
        <i/>
        <sz val="10"/>
        <color rgb="FF0000FF"/>
        <rFont val="Times New Roman"/>
        <family val="1"/>
      </rPr>
      <t xml:space="preserve"> be left blank)</t>
    </r>
  </si>
  <si>
    <r>
      <rPr>
        <b/>
        <sz val="10"/>
        <rFont val="Times New Roman"/>
        <family val="1"/>
      </rPr>
      <t>Describe all project amenities</t>
    </r>
    <r>
      <rPr>
        <sz val="10"/>
        <rFont val="Times New Roman"/>
        <family val="1"/>
      </rPr>
      <t>.</t>
    </r>
    <r>
      <rPr>
        <i/>
        <sz val="10"/>
        <color rgb="FF0000FF"/>
        <rFont val="Times New Roman"/>
        <family val="1"/>
      </rPr>
      <t xml:space="preserve"> (This section should </t>
    </r>
    <r>
      <rPr>
        <b/>
        <i/>
        <u/>
        <sz val="10"/>
        <color rgb="FF0000FF"/>
        <rFont val="Times New Roman"/>
        <family val="1"/>
      </rPr>
      <t>NOT</t>
    </r>
    <r>
      <rPr>
        <i/>
        <sz val="10"/>
        <color rgb="FF0000FF"/>
        <rFont val="Times New Roman"/>
        <family val="1"/>
      </rPr>
      <t xml:space="preserve"> be left blank)</t>
    </r>
  </si>
  <si>
    <r>
      <rPr>
        <b/>
        <sz val="10"/>
        <rFont val="Times New Roman"/>
        <family val="1"/>
      </rPr>
      <t>Related Party Transaction</t>
    </r>
    <r>
      <rPr>
        <sz val="10"/>
        <rFont val="Times New Roman"/>
        <family val="1"/>
      </rPr>
      <t xml:space="preserve"> </t>
    </r>
    <r>
      <rPr>
        <sz val="10"/>
        <color rgb="FFFF0000"/>
        <rFont val="Times New Roman"/>
        <family val="1"/>
      </rPr>
      <t xml:space="preserve"> </t>
    </r>
    <r>
      <rPr>
        <i/>
        <sz val="10"/>
        <color rgb="FFFF0000"/>
        <rFont val="Times New Roman"/>
        <family val="1"/>
      </rPr>
      <t>(indicate appropriate choice and select from menu)</t>
    </r>
  </si>
  <si>
    <r>
      <t xml:space="preserve">Percentage currently occupied </t>
    </r>
    <r>
      <rPr>
        <i/>
        <sz val="10"/>
        <color rgb="FFFF0000"/>
        <rFont val="Times New Roman"/>
        <family val="1"/>
      </rPr>
      <t>(percentage)</t>
    </r>
  </si>
  <si>
    <r>
      <t>Project includes historic rehabilitation?</t>
    </r>
    <r>
      <rPr>
        <i/>
        <sz val="10"/>
        <color rgb="FFFF0000"/>
        <rFont val="Times New Roman"/>
        <family val="1"/>
      </rPr>
      <t xml:space="preserve"> (select from menu)</t>
    </r>
  </si>
  <si>
    <r>
      <t xml:space="preserve">Project involves the permanent relocation of tenants?  </t>
    </r>
    <r>
      <rPr>
        <i/>
        <sz val="10"/>
        <color rgb="FFFF0000"/>
        <rFont val="Times New Roman"/>
        <family val="1"/>
      </rPr>
      <t>(select from menu)</t>
    </r>
  </si>
  <si>
    <r>
      <t xml:space="preserve">Project involves the temporary relocation of tenants?  </t>
    </r>
    <r>
      <rPr>
        <i/>
        <sz val="10"/>
        <color rgb="FFFF0000"/>
        <rFont val="Times New Roman"/>
        <family val="1"/>
      </rPr>
      <t>(select from menu)</t>
    </r>
  </si>
  <si>
    <r>
      <t xml:space="preserve">Developer Fee Funded Supportive Services / Rent Subsidy/Sponsor Note Reserve? </t>
    </r>
    <r>
      <rPr>
        <i/>
        <sz val="10"/>
        <color rgb="FFFF0000"/>
        <rFont val="Times New Roman"/>
        <family val="1"/>
      </rPr>
      <t xml:space="preserve"> (select from menu)</t>
    </r>
  </si>
  <si>
    <t>Residential Units: Market-Rate</t>
  </si>
  <si>
    <r>
      <t>Total Land Area</t>
    </r>
    <r>
      <rPr>
        <i/>
        <sz val="10"/>
        <rFont val="Times New Roman"/>
        <family val="1"/>
      </rPr>
      <t xml:space="preserve"> </t>
    </r>
    <r>
      <rPr>
        <i/>
        <sz val="10"/>
        <color rgb="FFFF0000"/>
        <rFont val="Times New Roman"/>
        <family val="1"/>
      </rPr>
      <t>(acres)</t>
    </r>
  </si>
  <si>
    <t># of Units</t>
  </si>
  <si>
    <r>
      <t>Target Population(s)</t>
    </r>
    <r>
      <rPr>
        <b/>
        <sz val="10"/>
        <rFont val="Times New Roman"/>
        <family val="1"/>
      </rPr>
      <t>:</t>
    </r>
    <r>
      <rPr>
        <sz val="10"/>
        <rFont val="Times New Roman"/>
        <family val="1"/>
      </rPr>
      <t xml:space="preserve">                                                </t>
    </r>
  </si>
  <si>
    <t>Threshold 9% Units for Persons Experiencing Homelessness:</t>
  </si>
  <si>
    <t>Total Housing Units for Targeted Populations at or below 30% AMI</t>
  </si>
  <si>
    <t>First Targeted Population</t>
  </si>
  <si>
    <t>Second Targeted Population</t>
  </si>
  <si>
    <t>Number of Units with Project Based Rental Subsidy (i.e., Section 8, 236, etc.)  *</t>
  </si>
  <si>
    <r>
      <t xml:space="preserve">Is this a structured Year-15 transition to a homeownership program?   </t>
    </r>
    <r>
      <rPr>
        <i/>
        <sz val="10"/>
        <color rgb="FFFF0000"/>
        <rFont val="Times New Roman"/>
        <family val="1"/>
      </rPr>
      <t xml:space="preserve">(select from menu) </t>
    </r>
  </si>
  <si>
    <r>
      <t xml:space="preserve"> Identity of interest between the seller and sponsor/applicant? </t>
    </r>
    <r>
      <rPr>
        <i/>
        <sz val="10"/>
        <color rgb="FFFF0000"/>
        <rFont val="Times New Roman"/>
        <family val="1"/>
      </rPr>
      <t>(select from menu)</t>
    </r>
  </si>
  <si>
    <r>
      <t>Type of site control?</t>
    </r>
    <r>
      <rPr>
        <i/>
        <sz val="10"/>
        <color rgb="FFFF0000"/>
        <rFont val="Times New Roman"/>
        <family val="1"/>
      </rPr>
      <t xml:space="preserve"> (select from menu)</t>
    </r>
  </si>
  <si>
    <r>
      <t xml:space="preserve">Does the sponsor have site control? </t>
    </r>
    <r>
      <rPr>
        <i/>
        <sz val="10"/>
        <color rgb="FFFF0000"/>
        <rFont val="Times New Roman"/>
        <family val="1"/>
      </rPr>
      <t>(select from menu)</t>
    </r>
  </si>
  <si>
    <r>
      <t xml:space="preserve"> Contract extension period</t>
    </r>
    <r>
      <rPr>
        <i/>
        <sz val="10"/>
        <color rgb="FFFF0000"/>
        <rFont val="Times New Roman"/>
        <family val="1"/>
      </rPr>
      <t xml:space="preserve"> (in # of days) </t>
    </r>
  </si>
  <si>
    <t>date MM/DD/YY</t>
  </si>
  <si>
    <r>
      <rPr>
        <sz val="10"/>
        <rFont val="Times New Roman"/>
        <family val="1"/>
      </rPr>
      <t># of extensions</t>
    </r>
    <r>
      <rPr>
        <sz val="10"/>
        <color rgb="FFFF0000"/>
        <rFont val="Times New Roman"/>
        <family val="1"/>
      </rPr>
      <t xml:space="preserve"> </t>
    </r>
    <r>
      <rPr>
        <i/>
        <sz val="10"/>
        <color rgb="FFFF0000"/>
        <rFont val="Times New Roman"/>
        <family val="1"/>
      </rPr>
      <t>(numbers only)</t>
    </r>
  </si>
  <si>
    <r>
      <t>Date site control expires</t>
    </r>
    <r>
      <rPr>
        <i/>
        <sz val="10"/>
        <color rgb="FFFF0000"/>
        <rFont val="Times New Roman"/>
        <family val="1"/>
      </rPr>
      <t xml:space="preserve"> (date MM/DD/YY only for each site)</t>
    </r>
  </si>
  <si>
    <t xml:space="preserve">Zoning change, variance or waiver required?  </t>
  </si>
  <si>
    <t>select from menu</t>
  </si>
  <si>
    <r>
      <t>Type of Occupancy</t>
    </r>
    <r>
      <rPr>
        <i/>
        <sz val="10"/>
        <rFont val="Times New Roman"/>
        <family val="1"/>
      </rPr>
      <t xml:space="preserve"> </t>
    </r>
    <r>
      <rPr>
        <i/>
        <sz val="10"/>
        <color rgb="FF0000FF"/>
        <rFont val="Times New Roman"/>
        <family val="1"/>
      </rPr>
      <t xml:space="preserve"> (indicate number of units)</t>
    </r>
  </si>
  <si>
    <t xml:space="preserve">FINAL BUDGET   </t>
  </si>
  <si>
    <t>SOURCE OF FUNDS</t>
  </si>
  <si>
    <t>Approved by:</t>
  </si>
  <si>
    <t>Total Construction or Rehabilitation Costs</t>
  </si>
  <si>
    <t>Total Source</t>
  </si>
  <si>
    <r>
      <t xml:space="preserve">Year building built </t>
    </r>
    <r>
      <rPr>
        <i/>
        <sz val="10"/>
        <color rgb="FFFF0000"/>
        <rFont val="Times New Roman"/>
        <family val="1"/>
      </rPr>
      <t>(YYYY)</t>
    </r>
  </si>
  <si>
    <r>
      <t xml:space="preserve">Ownership Percentage </t>
    </r>
    <r>
      <rPr>
        <i/>
        <sz val="10"/>
        <rFont val="Times New Roman"/>
        <family val="1"/>
      </rPr>
      <t>(if applicable)</t>
    </r>
  </si>
  <si>
    <t>Attorney</t>
  </si>
  <si>
    <t>Appraiser</t>
  </si>
  <si>
    <t>Market Analyst</t>
  </si>
  <si>
    <t>Supportive Services Provider</t>
  </si>
  <si>
    <t>Referral Agency</t>
  </si>
  <si>
    <t>Funder</t>
  </si>
  <si>
    <t>Owner's Representative/Construction Manager</t>
  </si>
  <si>
    <t>Housing/Financial Consultant</t>
  </si>
  <si>
    <t>Civil Engineer</t>
  </si>
  <si>
    <t>Other Engineer</t>
  </si>
  <si>
    <t>Energy Consultant</t>
  </si>
  <si>
    <t>Select county, state, role, and Nonprofit, PHA, or MBE/DBE status from the drop-down menu.  Enter numbers only into the ownership percentage. All development team members must be assigned a role from the drop-down menu.</t>
  </si>
  <si>
    <t xml:space="preserve">Select Median Income, Bedrooms, Bathrooms, UFAS unit and Visitable unit from the drop-down menu.  </t>
  </si>
  <si>
    <t>Tenant-Paid Utilities*</t>
  </si>
  <si>
    <t>Resident-Paid Rent</t>
  </si>
  <si>
    <r>
      <t>UTILITY EXPENSES</t>
    </r>
    <r>
      <rPr>
        <sz val="10"/>
        <rFont val="Times New Roman"/>
        <family val="1"/>
      </rPr>
      <t xml:space="preserve"> </t>
    </r>
    <r>
      <rPr>
        <i/>
        <sz val="10"/>
        <color rgb="FF0000FF"/>
        <rFont val="Times New Roman"/>
        <family val="1"/>
      </rPr>
      <t>(paid by owner)</t>
    </r>
  </si>
  <si>
    <t>Describe: i.e. vehicle</t>
  </si>
  <si>
    <t>Link to Mortgage Rates</t>
  </si>
  <si>
    <r>
      <t xml:space="preserve">Amortization </t>
    </r>
    <r>
      <rPr>
        <i/>
        <sz val="10"/>
        <color rgb="FFFF0000"/>
        <rFont val="Times New Roman"/>
        <family val="1"/>
      </rPr>
      <t>(years)</t>
    </r>
  </si>
  <si>
    <t>Proposed 2nd Mortgage</t>
  </si>
  <si>
    <t xml:space="preserve">Tax-Exempt Bonds (Long Term Only) </t>
  </si>
  <si>
    <r>
      <t xml:space="preserve">Amortization
</t>
    </r>
    <r>
      <rPr>
        <i/>
        <sz val="9"/>
        <color rgb="FFFF0000"/>
        <rFont val="Times New Roman"/>
        <family val="1"/>
      </rPr>
      <t>(years)</t>
    </r>
  </si>
  <si>
    <t>Maximum Tax-Exempt Loan:</t>
  </si>
  <si>
    <r>
      <t xml:space="preserve">Other: </t>
    </r>
    <r>
      <rPr>
        <i/>
        <sz val="10"/>
        <color rgb="FFFF0000"/>
        <rFont val="Times New Roman"/>
        <family val="1"/>
      </rPr>
      <t>select from menu</t>
    </r>
  </si>
  <si>
    <r>
      <t>HOME</t>
    </r>
    <r>
      <rPr>
        <i/>
        <sz val="10"/>
        <color rgb="FF0000FF"/>
        <rFont val="Times New Roman"/>
        <family val="1"/>
      </rPr>
      <t xml:space="preserve"> (DHCD)</t>
    </r>
  </si>
  <si>
    <t>50% of total project costs</t>
  </si>
  <si>
    <t>75% of total project costs</t>
  </si>
  <si>
    <t>with approval</t>
  </si>
  <si>
    <t>per unit 40+ eligible units</t>
  </si>
  <si>
    <t>&lt;= 40 eligible units</t>
  </si>
  <si>
    <r>
      <t>Other:</t>
    </r>
    <r>
      <rPr>
        <i/>
        <sz val="10"/>
        <color rgb="FFFF0000"/>
        <rFont val="Times New Roman"/>
        <family val="1"/>
      </rPr>
      <t xml:space="preserve">  select from menu</t>
    </r>
  </si>
  <si>
    <r>
      <t xml:space="preserve">Lien Position </t>
    </r>
    <r>
      <rPr>
        <i/>
        <sz val="8"/>
        <color rgb="FFFF0000"/>
        <rFont val="Times New Roman"/>
        <family val="1"/>
      </rPr>
      <t>(select from menu)</t>
    </r>
  </si>
  <si>
    <r>
      <t xml:space="preserve">Loan Term
</t>
    </r>
    <r>
      <rPr>
        <i/>
        <sz val="10"/>
        <color rgb="FFFF0000"/>
        <rFont val="Times New Roman"/>
        <family val="1"/>
      </rPr>
      <t>(years)</t>
    </r>
  </si>
  <si>
    <t>Rental Housing Program Loan Product</t>
  </si>
  <si>
    <t>4. Equity Participation Loan</t>
  </si>
  <si>
    <t>5. Amortizing Required Payment Loan</t>
  </si>
  <si>
    <t>1. Standard Surplus Cash Loan</t>
  </si>
  <si>
    <t>2. DHCD Flex Rate Loan</t>
  </si>
  <si>
    <t xml:space="preserve">Rental Housing Program Funds </t>
  </si>
  <si>
    <t xml:space="preserve"> select from menu</t>
  </si>
  <si>
    <t>Rental Housing Works Maximum</t>
  </si>
  <si>
    <t>Rental Housing Program Maximum</t>
  </si>
  <si>
    <t>Partnership Rental Housing Program  Maximum</t>
  </si>
  <si>
    <t>Shelter &amp; Transitional Housing Facilities Maximum</t>
  </si>
  <si>
    <r>
      <t>HOME ARP</t>
    </r>
    <r>
      <rPr>
        <i/>
        <sz val="10"/>
        <color rgb="FF0000FF"/>
        <rFont val="Times New Roman"/>
        <family val="1"/>
      </rPr>
      <t xml:space="preserve"> (DHCD)</t>
    </r>
  </si>
  <si>
    <r>
      <t xml:space="preserve">HOME Funds </t>
    </r>
    <r>
      <rPr>
        <i/>
        <sz val="10"/>
        <color rgb="FF0000FF"/>
        <rFont val="Times New Roman"/>
        <family val="1"/>
      </rPr>
      <t>(DHCD)</t>
    </r>
  </si>
  <si>
    <t>3. DHCD Minimum Required Payment Loan</t>
  </si>
  <si>
    <t>Residential Cost</t>
  </si>
  <si>
    <t>Commercial Cost</t>
  </si>
  <si>
    <t>CDA Construction Monitoring Fee</t>
  </si>
  <si>
    <t>Tax Credit Reservation Fee (9% LIHTC)</t>
  </si>
  <si>
    <t>0.25% of TDC maximum $50,000</t>
  </si>
  <si>
    <r>
      <t xml:space="preserve">Annual Tax Credit Compliance Monitoring Fee </t>
    </r>
    <r>
      <rPr>
        <i/>
        <sz val="10"/>
        <color rgb="FF0000FF"/>
        <rFont val="Times New Roman"/>
        <family val="1"/>
      </rPr>
      <t>($50.00 per tax credit unit, if applicable)</t>
    </r>
  </si>
  <si>
    <t>Tax Credit Allocation Fee (9% and 4% LIHTC)</t>
  </si>
  <si>
    <t>$9,500 per loan</t>
  </si>
  <si>
    <t>$65 for loan up to $500,000 + $10 per additional $100,000 for senior DHCD loan</t>
  </si>
  <si>
    <t>greater of .10% of loan or $1,000 + $2,400 appraisal review fee</t>
  </si>
  <si>
    <t>1% of loan principal</t>
  </si>
  <si>
    <t>.25% of loan for each 12 months</t>
  </si>
  <si>
    <t>.25% of perm loan</t>
  </si>
  <si>
    <t>MHF Short Term Bond Loan Insurance</t>
  </si>
  <si>
    <t>2.25% of loan for each 12 months</t>
  </si>
  <si>
    <t>State Loan and LIHTC Assumption Fee</t>
  </si>
  <si>
    <t>MBP Loan Assumption Fee</t>
  </si>
  <si>
    <t>$2,500 per loan</t>
  </si>
  <si>
    <t>$9,000 per loan</t>
  </si>
  <si>
    <t>Fee on Costs $10 Million or Less</t>
  </si>
  <si>
    <r>
      <t>Type of Low Income Housing Tax Credit Requested</t>
    </r>
    <r>
      <rPr>
        <i/>
        <sz val="10"/>
        <rFont val="Times New Roman"/>
        <family val="1"/>
      </rPr>
      <t xml:space="preserve"> </t>
    </r>
    <r>
      <rPr>
        <i/>
        <sz val="10"/>
        <color rgb="FFFF0000"/>
        <rFont val="Times New Roman"/>
        <family val="1"/>
      </rPr>
      <t>(mark all that apply and select from menu)</t>
    </r>
  </si>
  <si>
    <t>(select from menu)</t>
  </si>
  <si>
    <r>
      <t>Total rehabilitation related costs must exceed the greater of the following tests:</t>
    </r>
    <r>
      <rPr>
        <i/>
        <sz val="10"/>
        <color rgb="FFFF0000"/>
        <rFont val="Times New Roman"/>
        <family val="1"/>
      </rPr>
      <t xml:space="preserve"> (select from menu)</t>
    </r>
  </si>
  <si>
    <r>
      <t>Minimum Set-aside Election</t>
    </r>
    <r>
      <rPr>
        <i/>
        <sz val="10"/>
        <color rgb="FFFF0000"/>
        <rFont val="Times New Roman"/>
        <family val="1"/>
      </rPr>
      <t xml:space="preserve"> (choose one option and select from menu)</t>
    </r>
  </si>
  <si>
    <r>
      <t>The rent floor for the project will be established as of</t>
    </r>
    <r>
      <rPr>
        <i/>
        <sz val="10"/>
        <color rgb="FFFF0000"/>
        <rFont val="Times New Roman"/>
        <family val="1"/>
      </rPr>
      <t xml:space="preserve"> (choose one option and select from menu)</t>
    </r>
  </si>
  <si>
    <t>Tax Credit Equity Pay-In Schedule</t>
  </si>
  <si>
    <r>
      <t xml:space="preserve">Benchmark
</t>
    </r>
    <r>
      <rPr>
        <i/>
        <sz val="8"/>
        <color rgb="FFFF0000"/>
        <rFont val="Times New Roman"/>
        <family val="1"/>
      </rPr>
      <t>(select from menu)</t>
    </r>
  </si>
  <si>
    <t>initial closing</t>
  </si>
  <si>
    <t>50% completion</t>
  </si>
  <si>
    <t>75% completion</t>
  </si>
  <si>
    <t>100% completion</t>
  </si>
  <si>
    <t>100% qualified occupancy</t>
  </si>
  <si>
    <t>stabilization</t>
  </si>
  <si>
    <t>perm conversion</t>
  </si>
  <si>
    <t>8609</t>
  </si>
  <si>
    <t>other</t>
  </si>
  <si>
    <r>
      <t xml:space="preserve">Type of Offering </t>
    </r>
    <r>
      <rPr>
        <b/>
        <sz val="10"/>
        <color rgb="FFFF0000"/>
        <rFont val="Times New Roman"/>
        <family val="1"/>
      </rPr>
      <t xml:space="preserve"> </t>
    </r>
    <r>
      <rPr>
        <sz val="10"/>
        <color rgb="FFFF0000"/>
        <rFont val="Times New Roman"/>
        <family val="1"/>
      </rPr>
      <t>(choose one and select from menu)</t>
    </r>
  </si>
  <si>
    <r>
      <t>Type of Investors</t>
    </r>
    <r>
      <rPr>
        <b/>
        <i/>
        <sz val="10"/>
        <color rgb="FFFF0000"/>
        <rFont val="Times New Roman"/>
        <family val="1"/>
      </rPr>
      <t xml:space="preserve"> </t>
    </r>
    <r>
      <rPr>
        <i/>
        <sz val="10"/>
        <color rgb="FFFF0000"/>
        <rFont val="Times New Roman"/>
        <family val="1"/>
      </rPr>
      <t>(choose one and select from menu)</t>
    </r>
  </si>
  <si>
    <t>Maximum Possible Points</t>
  </si>
  <si>
    <r>
      <t xml:space="preserve">Application Type:
</t>
    </r>
    <r>
      <rPr>
        <i/>
        <sz val="10"/>
        <color rgb="FFFF0000"/>
        <rFont val="Times New Roman"/>
        <family val="1"/>
      </rPr>
      <t>select from menu</t>
    </r>
    <r>
      <rPr>
        <sz val="10"/>
        <color rgb="FFFF0000"/>
        <rFont val="Times New Roman"/>
        <family val="1"/>
      </rPr>
      <t xml:space="preserve"> </t>
    </r>
  </si>
  <si>
    <r>
      <t>Stage of Processing:</t>
    </r>
    <r>
      <rPr>
        <sz val="10"/>
        <rFont val="Times New Roman"/>
        <family val="1"/>
      </rPr>
      <t xml:space="preserve">  </t>
    </r>
    <r>
      <rPr>
        <i/>
        <sz val="10"/>
        <color rgb="FF0000FF"/>
        <rFont val="Times New Roman"/>
        <family val="1"/>
      </rPr>
      <t>(select from menu)</t>
    </r>
  </si>
  <si>
    <r>
      <t>Type of Tax-Exempt Bond Credit Enhancement:</t>
    </r>
    <r>
      <rPr>
        <b/>
        <i/>
        <sz val="10"/>
        <rFont val="Times New Roman"/>
        <family val="1"/>
      </rPr>
      <t xml:space="preserve"> 
</t>
    </r>
    <r>
      <rPr>
        <i/>
        <sz val="10"/>
        <color rgb="FF0000FF"/>
        <rFont val="Times New Roman"/>
        <family val="1"/>
      </rPr>
      <t>(select from menu)</t>
    </r>
  </si>
  <si>
    <r>
      <t xml:space="preserve">  Assumed DHCD Debt?
</t>
    </r>
    <r>
      <rPr>
        <i/>
        <sz val="10"/>
        <color rgb="FFFF0000"/>
        <rFont val="Times New Roman"/>
        <family val="1"/>
      </rPr>
      <t>(select from menu)</t>
    </r>
  </si>
  <si>
    <t>TX-TE 221(d)(4)</t>
  </si>
  <si>
    <t xml:space="preserve"> Total market rate units:</t>
  </si>
  <si>
    <t>Year Building was Built</t>
  </si>
  <si>
    <t>Include the year building was first built for existing structures.</t>
  </si>
  <si>
    <t>Enter building information.</t>
  </si>
  <si>
    <t>The CDA Form 202 collects information on your project including:</t>
  </si>
  <si>
    <t>General Details</t>
  </si>
  <si>
    <t>Development Team</t>
  </si>
  <si>
    <t xml:space="preserve">      GENERAL - This worksheet provides a summary of general information.</t>
  </si>
  <si>
    <t xml:space="preserve">      BUILDING - This worksheet provides information on the building location and unit mix.</t>
  </si>
  <si>
    <t xml:space="preserve">      DEV TEAM - This worksheet provides information on development team members.</t>
  </si>
  <si>
    <t xml:space="preserve">      VISUALS - This worksheet provides visuals of the project to various teams in CDA.</t>
  </si>
  <si>
    <t xml:space="preserve">      FIN CAP - This worksheet provides information on the financial capacity of the development team.</t>
  </si>
  <si>
    <t>Capital Budget</t>
  </si>
  <si>
    <t xml:space="preserve">      SOURCES - This worksheet details your sources of funds.</t>
  </si>
  <si>
    <t xml:space="preserve">      USES - This worksheet details your uses of funds.</t>
  </si>
  <si>
    <t xml:space="preserve">      DRAW SCHEDULE - This worksheet details the flow of funds from closing through 8609.</t>
  </si>
  <si>
    <t xml:space="preserve">      TAX CREDIT - This worksheet details the calculation of Low Income Housing Tax Credits and Historic Tax Credits.</t>
  </si>
  <si>
    <t>Operating Budget</t>
  </si>
  <si>
    <t>Regulatory</t>
  </si>
  <si>
    <t xml:space="preserve">      EXPENSES - This worksheet details the project's annual operating expenses.</t>
  </si>
  <si>
    <t xml:space="preserve">      PRO FORMA - This worksheet details the project's 20-year operating pro forma.</t>
  </si>
  <si>
    <t xml:space="preserve">      INCOME TARGETING - This worksheet details the income levels for the residential units.</t>
  </si>
  <si>
    <t xml:space="preserve">      SUMMARY - This worksheet summarizes sources, uses, income and expenses.</t>
  </si>
  <si>
    <t xml:space="preserve">      LEV &amp; COST EFFECTIVENESS - This worksheet calculates the leverage and cost effectiveness scores.</t>
  </si>
  <si>
    <t xml:space="preserve">      SELF-SCORE - This worksheet details the applicant self-score per the QAP.</t>
  </si>
  <si>
    <t>Closing</t>
  </si>
  <si>
    <t>Miscellaneous</t>
  </si>
  <si>
    <t>INPUT INSTRUCTIONS</t>
  </si>
  <si>
    <t>Do not enter NA, N/A, TBD, or T/B/D in any cell unless it is selected from a drop-down menu.</t>
  </si>
  <si>
    <t xml:space="preserve">     APPLICANT NOTES 1-3 - These worksheets are unmapped for applicant notes and additional calculations.</t>
  </si>
  <si>
    <t xml:space="preserve">     FINAL BUDGET - This worksheet is the final budget to be submitted and signed by applicant 30 days prior to closing.</t>
  </si>
  <si>
    <t>HRB 221(d)(4) Long-term GNMA</t>
  </si>
  <si>
    <t>PRESERVATION ANALYSIS</t>
  </si>
  <si>
    <t xml:space="preserve">Name of Land Use Restrictive Agreement (LURA) or 
Affordability Restriction </t>
  </si>
  <si>
    <t>Agency</t>
  </si>
  <si>
    <t>First Year (YYYY)</t>
  </si>
  <si>
    <t>Last Year (YYYY)</t>
  </si>
  <si>
    <t>Current Year (YYYY)</t>
  </si>
  <si>
    <t>Years To Expiration</t>
  </si>
  <si>
    <t>EXISTING LOAN DETAILS</t>
  </si>
  <si>
    <t>Date of Original Note</t>
  </si>
  <si>
    <t>Loan Maturity Date</t>
  </si>
  <si>
    <t>Original Principal Amount</t>
  </si>
  <si>
    <t>Original Interest Rate</t>
  </si>
  <si>
    <t>Loan Servicer</t>
  </si>
  <si>
    <r>
      <t>Loan Product (</t>
    </r>
    <r>
      <rPr>
        <i/>
        <sz val="12"/>
        <rFont val="Times New Roman"/>
        <family val="1"/>
      </rPr>
      <t>i.e. 1st Mortgage, RHW, HOME</t>
    </r>
    <r>
      <rPr>
        <sz val="12"/>
        <rFont val="Times New Roman"/>
        <family val="1"/>
      </rPr>
      <t>)</t>
    </r>
  </si>
  <si>
    <t>Principal Balance</t>
  </si>
  <si>
    <t>+ Accrued Interest Balance</t>
  </si>
  <si>
    <t>= Total Principal &amp; Accrued Interest Balance</t>
  </si>
  <si>
    <t>- Principal to be Paid Down at Closing</t>
  </si>
  <si>
    <t>- Principal to be Forgiven</t>
  </si>
  <si>
    <t>- Interest to be Paid Down at Closing</t>
  </si>
  <si>
    <t>- Interest to be Forgiven</t>
  </si>
  <si>
    <t>= Total Principal &amp; Interest to be Assumed</t>
  </si>
  <si>
    <t>NET SELLER PROCEEDS</t>
  </si>
  <si>
    <t>Name of Seller:</t>
  </si>
  <si>
    <t>Name of Buyer:</t>
  </si>
  <si>
    <t>Category</t>
  </si>
  <si>
    <t>Notes</t>
  </si>
  <si>
    <t>- Existing 1st Mortgage Payoff</t>
  </si>
  <si>
    <t>- Total Subordinate Debt Principal and Interest Paid Down at Closing</t>
  </si>
  <si>
    <t>- Total Subordinate Debt Principal and Interest Assumed</t>
  </si>
  <si>
    <t>total assumed debt listed as a Permanent Source "Assumed Debt"</t>
  </si>
  <si>
    <t>- Seller Note</t>
  </si>
  <si>
    <t>- 12-Months of Real Estate Taxes</t>
  </si>
  <si>
    <t>- 12-Months of Carrying Costs</t>
  </si>
  <si>
    <t>- Transfer Taxes</t>
  </si>
  <si>
    <t>- Closing Costs</t>
  </si>
  <si>
    <t>- Developer Fee Payable</t>
  </si>
  <si>
    <t>- Property Management Fee Payable</t>
  </si>
  <si>
    <t>- General Partner (GP) Loan Payable</t>
  </si>
  <si>
    <t>Estimated Net Proceeds to the Seller</t>
  </si>
  <si>
    <t>EXISTING RESERVES AND USE</t>
  </si>
  <si>
    <t xml:space="preserve">Type </t>
  </si>
  <si>
    <t>Use</t>
  </si>
  <si>
    <t>Existing Reserve for Replacement</t>
  </si>
  <si>
    <t>Existing Operating Reserve</t>
  </si>
  <si>
    <t>Existing Supportive Services Reserve</t>
  </si>
  <si>
    <t>Existing Rental Subsidy Reserve</t>
  </si>
  <si>
    <t>Existing Tax Escrow</t>
  </si>
  <si>
    <t>Existing Insurance Escrow</t>
  </si>
  <si>
    <t>LTV ANALYSIS</t>
  </si>
  <si>
    <t>Record #</t>
  </si>
  <si>
    <r>
      <t>1 
(</t>
    </r>
    <r>
      <rPr>
        <i/>
        <sz val="12"/>
        <color theme="1"/>
        <rFont val="Times New Roman"/>
        <family val="1"/>
      </rPr>
      <t>most recent audit</t>
    </r>
    <r>
      <rPr>
        <sz val="12"/>
        <color theme="1"/>
        <rFont val="Times New Roman"/>
        <family val="1"/>
      </rPr>
      <t>)</t>
    </r>
  </si>
  <si>
    <t>Date of Property Audit</t>
  </si>
  <si>
    <t>Total Income</t>
  </si>
  <si>
    <t>Net Operating Income (NOI)</t>
  </si>
  <si>
    <t>Total Must-Pay Debt Service</t>
  </si>
  <si>
    <t>Debt Service Coverage Ratio (DSCR)</t>
  </si>
  <si>
    <t>Mortgage Name, Type (NEW/ASSUMED)</t>
  </si>
  <si>
    <t>LTV ANALYSIS WITH AN APPRAISAL</t>
  </si>
  <si>
    <t>Market Value "As-Is" Income-Restricted</t>
  </si>
  <si>
    <t>1st Mortgage LTV Restricted</t>
  </si>
  <si>
    <t>All-In LTV Restricted</t>
  </si>
  <si>
    <t>Market Value "As-Is" Unrestricted</t>
  </si>
  <si>
    <t>1st Mortgage LTV Unrestricted</t>
  </si>
  <si>
    <t>All-In LTV Unrestricted</t>
  </si>
  <si>
    <t>LTV ANALYSIS WITHOUT AN APPRAISAL</t>
  </si>
  <si>
    <t>Estimated Cap Rate</t>
  </si>
  <si>
    <t>Most Recent NOI</t>
  </si>
  <si>
    <t>Estimated Market-Value "As-Is" Income Restricted</t>
  </si>
  <si>
    <t>Light blue and grey colored cells are fixed and locked cells.</t>
  </si>
  <si>
    <t>CURRENT FINANCING &amp; ACQUISITION INFORMATION</t>
  </si>
  <si>
    <r>
      <t xml:space="preserve">- Other: </t>
    </r>
    <r>
      <rPr>
        <i/>
        <sz val="12"/>
        <color theme="1"/>
        <rFont val="Times New Roman"/>
        <family val="1"/>
      </rPr>
      <t>Describe</t>
    </r>
  </si>
  <si>
    <t>seller-paid, if compliant with MF Guide section 3.9.8.1 Acquisition</t>
  </si>
  <si>
    <t>seller-paid</t>
  </si>
  <si>
    <r>
      <t xml:space="preserve">Is the Seller a related-party to the Buyer? </t>
    </r>
    <r>
      <rPr>
        <i/>
        <sz val="12"/>
        <color rgb="FFFF0000"/>
        <rFont val="Times New Roman"/>
        <family val="1"/>
      </rPr>
      <t xml:space="preserve">  (select from menu)</t>
    </r>
  </si>
  <si>
    <t>from latest property audit</t>
  </si>
  <si>
    <r>
      <t xml:space="preserve">- Other: </t>
    </r>
    <r>
      <rPr>
        <i/>
        <sz val="12"/>
        <rFont val="Times New Roman"/>
        <family val="1"/>
      </rPr>
      <t>Describe</t>
    </r>
  </si>
  <si>
    <t xml:space="preserve">Estimated Gross Proceeds to Seller </t>
  </si>
  <si>
    <r>
      <t xml:space="preserve">Other Existing Reserve or Escrow:  </t>
    </r>
    <r>
      <rPr>
        <i/>
        <sz val="12"/>
        <rFont val="Times New Roman"/>
        <family val="1"/>
      </rPr>
      <t>Describe</t>
    </r>
  </si>
  <si>
    <t>i.e. released to seller, included in seller proceeds</t>
  </si>
  <si>
    <t>i.e. capitalizing new RFR, listed as a Permanent Source "Existing Reserves"</t>
  </si>
  <si>
    <r>
      <t xml:space="preserve">2
</t>
    </r>
    <r>
      <rPr>
        <i/>
        <sz val="12"/>
        <color theme="1"/>
        <rFont val="Times New Roman"/>
        <family val="1"/>
      </rPr>
      <t>(previous year)</t>
    </r>
  </si>
  <si>
    <r>
      <t xml:space="preserve">3
</t>
    </r>
    <r>
      <rPr>
        <i/>
        <sz val="12"/>
        <color theme="1"/>
        <rFont val="Times New Roman"/>
        <family val="1"/>
      </rPr>
      <t>(previous year)</t>
    </r>
  </si>
  <si>
    <t>Total Existing Reserves</t>
  </si>
  <si>
    <t>TAXES, INSURANCE AND FINANCING FEES</t>
  </si>
  <si>
    <t>Total Taxes, Insurance and Financing Fees</t>
  </si>
  <si>
    <t>FNMA CDA Bond Administration Fee</t>
  </si>
  <si>
    <t>FNMA Trustee Fee</t>
  </si>
  <si>
    <t>FNMA Rebate Fee</t>
  </si>
  <si>
    <t>Cost of Issuance (Private Placement Underwriter's Fees)</t>
  </si>
  <si>
    <t>Other Lenders' Due Diligence Fees (non-syndication only)</t>
  </si>
  <si>
    <t>1.625% of bond/loan amount</t>
  </si>
  <si>
    <t>CDA Bond Financing Fee (TX-TE GNMA)</t>
  </si>
  <si>
    <t>3% of short-term loan amount</t>
  </si>
  <si>
    <t>CDA Issuer Fee (FNMA MTEB)</t>
  </si>
  <si>
    <t>CDA Issuer Fee (FTEL)</t>
  </si>
  <si>
    <t>0.40% of initial funding loan until conversion</t>
  </si>
  <si>
    <t>0.40% of outstanding long term loan</t>
  </si>
  <si>
    <t>$4,250 annually to trustee</t>
  </si>
  <si>
    <t>CDA Bond Financing Fee (Risk Sharing, LT GNMA, FTEL, FNMA MTEB)</t>
  </si>
  <si>
    <t>Capitalized Interest on Initial Funding Loan (FTEL)</t>
  </si>
  <si>
    <t>Construction Loan Period MIP (CDA/FHA Risk Sharing)</t>
  </si>
  <si>
    <t>First Year's Permanent MIP (CDA/FHA Risk Sharing)</t>
  </si>
  <si>
    <t>$45,000 1st loan + $9,000 per additional loan</t>
  </si>
  <si>
    <t>Trustee Fee (TX-TE GNMA, FTEL, FNMA MTEB)</t>
  </si>
  <si>
    <t>Soft Cost Contingency</t>
  </si>
  <si>
    <t>5% maximum</t>
  </si>
  <si>
    <t>Lesser of $10,000,000 or Non-acquisition Costs (enter on both lines)</t>
  </si>
  <si>
    <r>
      <t xml:space="preserve">Less Construction Contingency (from line </t>
    </r>
    <r>
      <rPr>
        <sz val="10"/>
        <rFont val="Times New Roman"/>
        <family val="1"/>
      </rPr>
      <t>14 above)</t>
    </r>
  </si>
  <si>
    <t>Lesser of $10,000,000 or Acquisition Costs (enter on both lines)</t>
  </si>
  <si>
    <r>
      <t xml:space="preserve">Acquisition Costs (from line </t>
    </r>
    <r>
      <rPr>
        <sz val="10"/>
        <rFont val="Times New Roman"/>
        <family val="1"/>
      </rPr>
      <t>96 above)</t>
    </r>
  </si>
  <si>
    <t>MHF Application Fee (CDA/FHA Risk Sharing)</t>
  </si>
  <si>
    <t>MHF Administrative and Legal Fee (CDA/FHA Risk Sharing)</t>
  </si>
  <si>
    <t>invoiced by analyst</t>
  </si>
  <si>
    <t>3 months of interest</t>
  </si>
  <si>
    <t>Red worksheet tabs are not mapped to our database and can be freely edited.</t>
  </si>
  <si>
    <t>Yellow colored cells are input cells for the applicant.</t>
  </si>
  <si>
    <t>Perm Conversion</t>
  </si>
  <si>
    <t>Total Construction Contract</t>
  </si>
  <si>
    <t>Fee Related to Construction or Rehabilitation</t>
  </si>
  <si>
    <t>Developer Fees</t>
  </si>
  <si>
    <t>Investment Earnings</t>
  </si>
  <si>
    <t>Excess / (Shortage)</t>
  </si>
  <si>
    <t>DRAW SCHEDULE</t>
  </si>
  <si>
    <t>TOTAL BUDGET</t>
  </si>
  <si>
    <t>MONTH</t>
  </si>
  <si>
    <t>Initial Closing</t>
  </si>
  <si>
    <t>25% Completion</t>
  </si>
  <si>
    <t>50% Completion</t>
  </si>
  <si>
    <t>75% Completion</t>
  </si>
  <si>
    <t xml:space="preserve">100% Completion </t>
  </si>
  <si>
    <t>Placed in Service</t>
  </si>
  <si>
    <t>Lease-Up</t>
  </si>
  <si>
    <t>100% Qualified Occupancy</t>
  </si>
  <si>
    <t>Stabilization</t>
  </si>
  <si>
    <t>Construction</t>
  </si>
  <si>
    <t xml:space="preserve">Guarantees and Reserves </t>
  </si>
  <si>
    <t>Reconciliation</t>
  </si>
  <si>
    <t>#</t>
  </si>
  <si>
    <t>Bond Interest</t>
  </si>
  <si>
    <t>Construction Loan Interest</t>
  </si>
  <si>
    <t>Operating</t>
  </si>
  <si>
    <t>TOTAL USES</t>
  </si>
  <si>
    <t>Tax-Exempt Bridge Loan Interest Rate</t>
  </si>
  <si>
    <t>Bond Investment Rate</t>
  </si>
  <si>
    <t>Long-Term Tax-Exempt Bond Interest Rate</t>
  </si>
  <si>
    <t>Total Bond Interest from Draw Schedule</t>
  </si>
  <si>
    <t>Total Investment Income from Draw Schedule</t>
  </si>
  <si>
    <t>Total Negative Arbitrage from Draw Schedule</t>
  </si>
  <si>
    <t>Short-Term Tax-Exempt Bond Interest Rate</t>
  </si>
  <si>
    <t>Tax-Exempt Bridge Loan Draw</t>
  </si>
  <si>
    <t>Taxable Bridge Loan Draw</t>
  </si>
  <si>
    <t>Taxable Construction Loan Draw</t>
  </si>
  <si>
    <t>Short-Term Tax-Exempt Bond Interest</t>
  </si>
  <si>
    <t>Tax-Exempt Bridge Loan Interest</t>
  </si>
  <si>
    <t>Taxable Bridge Loan Interest</t>
  </si>
  <si>
    <t>Long-Term Tax-Exempt Bond Interest</t>
  </si>
  <si>
    <t>CONSTRUCTION-ONLY PERIOD FINANCING, INTEREST &amp; NEGATIVE ARBITRAGE</t>
  </si>
  <si>
    <t>TOTAL NEGATIVE ARBITRAGE</t>
  </si>
  <si>
    <t>TOTAL BOND INTEREST</t>
  </si>
  <si>
    <t>Interest</t>
  </si>
  <si>
    <t>PERMANENT SOURCES</t>
  </si>
  <si>
    <t>TOTAL PERMANENT SOURCES</t>
  </si>
  <si>
    <t>Construction-Only Source Draws</t>
  </si>
  <si>
    <t>CDA rate</t>
  </si>
  <si>
    <t>Total Bond Interest from CDA</t>
  </si>
  <si>
    <t>Total Invesment Income from CDA</t>
  </si>
  <si>
    <t>Total Negative Arbitrage from CDA</t>
  </si>
  <si>
    <t>Total Long-Term Tax-Exempt Bond Fully Funded at Issuance</t>
  </si>
  <si>
    <t>Total Short-Term Tax-Exempt Bond Fully Funded at Issuance</t>
  </si>
  <si>
    <t>Taxable Construction Loan Interest</t>
  </si>
  <si>
    <t>Short-Term Tax-Exempt Bond  Draw</t>
  </si>
  <si>
    <r>
      <t>DATE -</t>
    </r>
    <r>
      <rPr>
        <i/>
        <u/>
        <sz val="12"/>
        <color rgb="FFFF0000"/>
        <rFont val="Arial"/>
        <family val="2"/>
      </rPr>
      <t xml:space="preserve"> SET PROJECTED CLOSING DATE IN F9</t>
    </r>
  </si>
  <si>
    <t>TOTAL CONSTRUCTION LOAN INTEREST</t>
  </si>
  <si>
    <r>
      <t xml:space="preserve">Median Income
</t>
    </r>
    <r>
      <rPr>
        <i/>
        <sz val="8"/>
        <color rgb="FFFF0000"/>
        <rFont val="Times New Roman"/>
        <family val="1"/>
      </rPr>
      <t>(select from list)</t>
    </r>
  </si>
  <si>
    <r>
      <t xml:space="preserve">Bedrooms
</t>
    </r>
    <r>
      <rPr>
        <i/>
        <sz val="8"/>
        <color rgb="FFFF0000"/>
        <rFont val="Times New Roman"/>
        <family val="1"/>
      </rPr>
      <t>(select from list)</t>
    </r>
  </si>
  <si>
    <r>
      <t xml:space="preserve">Baths
</t>
    </r>
    <r>
      <rPr>
        <i/>
        <sz val="8"/>
        <color rgb="FFFF0000"/>
        <rFont val="Times New Roman"/>
        <family val="1"/>
      </rPr>
      <t>(select from list)</t>
    </r>
  </si>
  <si>
    <r>
      <t xml:space="preserve">UFAS Unit </t>
    </r>
    <r>
      <rPr>
        <i/>
        <sz val="8"/>
        <color rgb="FFFF0000"/>
        <rFont val="Times New Roman"/>
        <family val="1"/>
      </rPr>
      <t>(select from list)</t>
    </r>
  </si>
  <si>
    <r>
      <t xml:space="preserve">Visitable Unit </t>
    </r>
    <r>
      <rPr>
        <i/>
        <sz val="8"/>
        <color rgb="FFFF0000"/>
        <rFont val="Times New Roman"/>
        <family val="1"/>
      </rPr>
      <t>(select from list)</t>
    </r>
  </si>
  <si>
    <r>
      <rPr>
        <b/>
        <u/>
        <sz val="12"/>
        <rFont val="Arial"/>
        <family val="2"/>
      </rPr>
      <t>BENCHMARK</t>
    </r>
    <r>
      <rPr>
        <sz val="12"/>
        <rFont val="Arial"/>
        <family val="2"/>
      </rPr>
      <t xml:space="preserve"> - </t>
    </r>
    <r>
      <rPr>
        <i/>
        <sz val="12"/>
        <color rgb="FFFF0000"/>
        <rFont val="Arial"/>
        <family val="2"/>
      </rPr>
      <t>SELECT FROM LIST FOR EACH MONTH</t>
    </r>
  </si>
  <si>
    <t>Proposed % of Median Income</t>
  </si>
  <si>
    <t>4.2 Community Context*</t>
  </si>
  <si>
    <t>Drawdown</t>
  </si>
  <si>
    <t>Cash-Collateralized</t>
  </si>
  <si>
    <r>
      <rPr>
        <b/>
        <sz val="10"/>
        <rFont val="Times New Roman"/>
        <family val="1"/>
      </rPr>
      <t xml:space="preserve">Basis Boost Documentation:
</t>
    </r>
    <r>
      <rPr>
        <i/>
        <sz val="10"/>
        <color rgb="FF0000FF"/>
        <rFont val="Times New Roman"/>
        <family val="1"/>
      </rPr>
      <t>(select from menu)</t>
    </r>
  </si>
  <si>
    <t>QCT</t>
  </si>
  <si>
    <t>DDA</t>
  </si>
  <si>
    <t>9% Family Project in a COO</t>
  </si>
  <si>
    <t>4.7 Housing Starts Now</t>
  </si>
  <si>
    <t>Permanent Supportive Housing (PSH) Set-Aside Units</t>
  </si>
  <si>
    <t>Number of Units (0-15 points)</t>
  </si>
  <si>
    <t>Percentage of Units (5-20 points)</t>
  </si>
  <si>
    <t>4.1.4  Nonprofits (NPs), Public Housing Authorities (PHAs), and Local Small Businesses</t>
  </si>
  <si>
    <t>4.5.3  Construction or Rehabilitation Cost Incentives 
(Negative 8 pts)</t>
  </si>
  <si>
    <t>4.1.2  Deductions from Team experience score 
(Negative 10 Pts)</t>
  </si>
  <si>
    <r>
      <t xml:space="preserve">Applicant Note on 
Self-Score
</t>
    </r>
    <r>
      <rPr>
        <b/>
        <i/>
        <sz val="8"/>
        <color rgb="FFFF0000"/>
        <rFont val="Calibri"/>
        <family val="2"/>
        <scheme val="minor"/>
      </rPr>
      <t>(30 character limit)</t>
    </r>
  </si>
  <si>
    <t>Low Income Housing Tax Credit Eligible Costs</t>
  </si>
  <si>
    <t>** 15-year maximum for point scoring</t>
  </si>
  <si>
    <t xml:space="preserve">Cost of Issuance (CDA) </t>
  </si>
  <si>
    <t>Total Tax-Exempt Senior Loan:</t>
  </si>
  <si>
    <t>Minimum TE Bonds for 30% Test</t>
  </si>
  <si>
    <r>
      <t xml:space="preserve">Ownership Interest 
</t>
    </r>
    <r>
      <rPr>
        <i/>
        <sz val="8"/>
        <color rgb="FFFF0000"/>
        <rFont val="Times New Roman"/>
        <family val="1"/>
      </rPr>
      <t>(% only, two decimal places)</t>
    </r>
  </si>
  <si>
    <t>final invoice by CDA prior to closing, enter placeholder 2% of bonds</t>
  </si>
  <si>
    <t>FHA Lender Commitment Fee</t>
  </si>
  <si>
    <t>FHA Lender Inspection Fee</t>
  </si>
  <si>
    <t>FHA Lender Processing Fee</t>
  </si>
  <si>
    <t>Infill and Redevelopment Pool</t>
  </si>
  <si>
    <t>PSH Set-Aside</t>
  </si>
  <si>
    <r>
      <rPr>
        <b/>
        <sz val="10"/>
        <rFont val="Times New Roman"/>
        <family val="1"/>
      </rPr>
      <t xml:space="preserve">Occupancy Type: </t>
    </r>
    <r>
      <rPr>
        <i/>
        <sz val="10"/>
        <color rgb="FF0000FF"/>
        <rFont val="Times New Roman"/>
        <family val="1"/>
      </rPr>
      <t>(select from menu)</t>
    </r>
  </si>
  <si>
    <t>Senior (62+)</t>
  </si>
  <si>
    <t>Senior (55+)</t>
  </si>
  <si>
    <t>Special Needs</t>
  </si>
  <si>
    <t>Shelter &amp; Transitional Housing</t>
  </si>
  <si>
    <t>SUBTOTAL:</t>
  </si>
  <si>
    <t>maximum $1,000 per unit</t>
  </si>
  <si>
    <t>over $2,000 per unit requires an itemized breakdown</t>
  </si>
  <si>
    <t>Predevelopment Loan Fees</t>
  </si>
  <si>
    <t>maximum $25,000 of interest and origination fees</t>
  </si>
  <si>
    <t>Credit Report</t>
  </si>
  <si>
    <t>maximum $500</t>
  </si>
  <si>
    <t>maximum $1,200 per unit new construction/unoccupied rehab, itemized budget required</t>
  </si>
  <si>
    <r>
      <t xml:space="preserve">Up to ten (10) points will be awarded to any project based on the weighted average of area median income targeting by bedroom in a project. For the purposes of this calculation, the lowest income level used will be 20% AMI.  SRO and efficiency units will be counted as 0.67 bedrooms, and all weighted averages will be rounded to the nearest to the nearest </t>
    </r>
    <r>
      <rPr>
        <sz val="10"/>
        <color rgb="FFFF0000"/>
        <rFont val="Times New Roman"/>
        <family val="1"/>
      </rPr>
      <t>one hundredth of a percentage point</t>
    </r>
    <r>
      <rPr>
        <sz val="10"/>
        <rFont val="Times New Roman"/>
        <family val="1"/>
      </rPr>
      <t xml:space="preserve">. To calculate the weighted average, use the following process: </t>
    </r>
  </si>
  <si>
    <t>In addition, any competitive family project located in a Community of Opportunity may also receive up to 130% basis boost. The applicable fraction is the portion of the project that eligible low-income households will occupy. Multiply the eligible basis by the applicable fraction to find the qualified basis.  The applicable percentages are the percentages calculated monthly by the Internal Revenue service based on the present values of the total credits for federally subsidized, acquisition and non-federally subsidized properties. For the applicable percentage on new construction or rehabilitation, enter 4%, if the qualified basis is financed with tax-exempt bonds or other federal subsidy, otherwise, enter 9%.  For the applicable percentage on acquisition costs, enter 4%.  The Low-Income Housing Tax Credit eligible basis is the qualified basis multiplied by the applicable percentage.</t>
  </si>
  <si>
    <r>
      <t xml:space="preserve">Type of Project: </t>
    </r>
    <r>
      <rPr>
        <sz val="12"/>
        <rFont val="Times New Roman"/>
        <family val="1"/>
      </rPr>
      <t xml:space="preserve">Indicate whether the project is either a "9%", Competitive Round, application or a "4%", Non-competitive Bond, application by selecting the project type by using the provided dropdown box. </t>
    </r>
  </si>
  <si>
    <r>
      <t>Stage of Processing:</t>
    </r>
    <r>
      <rPr>
        <sz val="12"/>
        <color rgb="FF000000"/>
        <rFont val="Times New Roman"/>
        <family val="1"/>
      </rPr>
      <t xml:space="preserve">  A Multifamily Rental Financing Application – CDA Form 202 – must be submitted at each stage of processing which reflects all changes in the project, including current development and operating budgets and pro forma. The application for each processing stage must include all applicable exhibits and attachments described in the applicable submission package.  </t>
    </r>
  </si>
  <si>
    <r>
      <t>Project Name and Location:</t>
    </r>
    <r>
      <rPr>
        <sz val="12"/>
        <color rgb="FF000000"/>
        <rFont val="Times New Roman"/>
        <family val="1"/>
      </rPr>
      <t xml:space="preserve">   Provide the name of the project and address.  If you do not have a specific street address, provide the lot, parcel and tax map numbers for the project’s site.  Other information required includes the project’s census tract, congressional district and legislative district. Optional: If available, provide GPS coordinates.</t>
    </r>
  </si>
  <si>
    <r>
      <t xml:space="preserve">Basis Boost Documentation:  </t>
    </r>
    <r>
      <rPr>
        <sz val="12"/>
        <rFont val="Times New Roman"/>
        <family val="1"/>
      </rPr>
      <t>Indicate applicable basis boost option</t>
    </r>
  </si>
  <si>
    <r>
      <t>Applicant Information:</t>
    </r>
    <r>
      <rPr>
        <sz val="12"/>
        <color rgb="FF000000"/>
        <rFont val="Times New Roman"/>
        <family val="1"/>
      </rPr>
      <t xml:space="preserve"> Provide the name, mailing address, contact person and title, telephone number, facsimile number and e-mail address of the entity that is applying for financing.</t>
    </r>
    <r>
      <rPr>
        <b/>
        <sz val="12"/>
        <color rgb="FF000000"/>
        <rFont val="Times New Roman"/>
        <family val="1"/>
      </rPr>
      <t xml:space="preserve"> </t>
    </r>
  </si>
  <si>
    <r>
      <t>Ownership Entity Information:</t>
    </r>
    <r>
      <rPr>
        <sz val="12"/>
        <color rgb="FF000000"/>
        <rFont val="Times New Roman"/>
        <family val="1"/>
      </rPr>
      <t xml:space="preserve">  Provide the name, taxpayer’s identification number, and type of entity that will ultimately be the borrower or recipient of the tax credits and own the project.  If the ownership entity has not yet been formed, please indicate. </t>
    </r>
    <r>
      <rPr>
        <sz val="12"/>
        <color rgb="FFFF0000"/>
        <rFont val="Times New Roman"/>
        <family val="1"/>
      </rPr>
      <t xml:space="preserve">If a taxpayer ID is listed, a name must also be listed. </t>
    </r>
    <r>
      <rPr>
        <sz val="12"/>
        <color rgb="FF000000"/>
        <rFont val="Times New Roman"/>
        <family val="1"/>
      </rPr>
      <t>A sample organizational chart is included on page 12 of the Application Submission Package. All ownership entities must be formed with taxpayer identification numbers shortly after reservation letters are received.  For corporations and controlling general partners, provide the name, taxpayer identification number, percentage of ownership interest for each individual or entity and whether the entity is a nonprofit corporation.</t>
    </r>
  </si>
  <si>
    <r>
      <t xml:space="preserve">Project Description:  </t>
    </r>
    <r>
      <rPr>
        <sz val="12"/>
        <rFont val="Times New Roman"/>
        <family val="1"/>
      </rPr>
      <t>Enter a narrative description that highlights the unique or innovative characteristics of the project.</t>
    </r>
  </si>
  <si>
    <r>
      <t>Amenities:</t>
    </r>
    <r>
      <rPr>
        <sz val="12"/>
        <color rgb="FF000000"/>
        <rFont val="Times New Roman"/>
        <family val="1"/>
      </rPr>
      <t xml:space="preserve">  Indicate the amenities planned for the development.</t>
    </r>
    <r>
      <rPr>
        <b/>
        <sz val="12"/>
        <color rgb="FF000000"/>
        <rFont val="Times New Roman"/>
        <family val="1"/>
      </rPr>
      <t xml:space="preserve"> </t>
    </r>
    <r>
      <rPr>
        <sz val="12"/>
        <color rgb="FFFF0000"/>
        <rFont val="Times New Roman"/>
        <family val="1"/>
      </rPr>
      <t>Provide a narrative description of all amenities at the project.</t>
    </r>
  </si>
  <si>
    <r>
      <t>Developer Fee Funded Supportive Services/Rent Subsidy/Reserve:</t>
    </r>
    <r>
      <rPr>
        <sz val="12"/>
        <rFont val="Times New Roman"/>
        <family val="1"/>
      </rPr>
      <t xml:space="preserve">  Indicate whether the project will include a developer fee funded reserve.</t>
    </r>
  </si>
  <si>
    <r>
      <t>Type of Project:</t>
    </r>
    <r>
      <rPr>
        <sz val="12"/>
        <color rgb="FF000000"/>
        <rFont val="Times New Roman"/>
        <family val="1"/>
      </rPr>
      <t xml:space="preserve">  Indicate the type of development being undertaken by marking all appropriate boxes.</t>
    </r>
  </si>
  <si>
    <r>
      <t>Existing Building Information:</t>
    </r>
    <r>
      <rPr>
        <sz val="12"/>
        <color rgb="FF000000"/>
        <rFont val="Times New Roman"/>
        <family val="1"/>
      </rPr>
      <t xml:space="preserve">  For the rehabilitation of existing buildings indicate the current percentage of units occupied; whether the rehabilitation will include compliance with historic standards; whether tenants will be permanently or temporarily relocated during the rehabilitation; and the year the building was originally constructed.</t>
    </r>
  </si>
  <si>
    <r>
      <t>Number of Residential Buildings:</t>
    </r>
    <r>
      <rPr>
        <sz val="12"/>
        <color rgb="FF000000"/>
        <rFont val="Times New Roman"/>
        <family val="1"/>
      </rPr>
      <t xml:space="preserve">  Show the total number of each type of building included in the project’s design.</t>
    </r>
  </si>
  <si>
    <r>
      <t>Total Land Area:</t>
    </r>
    <r>
      <rPr>
        <sz val="12"/>
        <color rgb="FF000000"/>
        <rFont val="Times New Roman"/>
        <family val="1"/>
      </rPr>
      <t xml:space="preserve">  Show the total acreage of the project site(s).</t>
    </r>
  </si>
  <si>
    <r>
      <t>Total Building Area:</t>
    </r>
    <r>
      <rPr>
        <sz val="12"/>
        <color rgb="FF000000"/>
        <rFont val="Times New Roman"/>
        <family val="1"/>
      </rPr>
      <t xml:space="preserve">  Show the gross square footage of all buildings in the project.</t>
    </r>
  </si>
  <si>
    <r>
      <t>Type of Occupancy:</t>
    </r>
    <r>
      <rPr>
        <sz val="12"/>
        <color rgb="FF000000"/>
        <rFont val="Times New Roman"/>
        <family val="1"/>
      </rPr>
      <t xml:space="preserve">  Indicate the number of units that will be occupied by individuals or families, the elderly or for commercial use.  </t>
    </r>
  </si>
  <si>
    <r>
      <t>Housing for Persons with Disabilities:</t>
    </r>
    <r>
      <rPr>
        <sz val="12"/>
        <color rgb="FF000000"/>
        <rFont val="Times New Roman"/>
        <family val="1"/>
      </rPr>
      <t xml:space="preserve">  Show the number of units that will serve persons with disabilities.   </t>
    </r>
  </si>
  <si>
    <r>
      <t>Occupancy Restrictions of Project:</t>
    </r>
    <r>
      <rPr>
        <sz val="12"/>
        <color rgb="FF000000"/>
        <rFont val="Times New Roman"/>
        <family val="1"/>
      </rPr>
      <t xml:space="preserve">  Show the number of units that will be income restricted at each income level. All units in the project should be included.  Changes to income restrictions after approval could cause the loss of a funding reservation.</t>
    </r>
  </si>
  <si>
    <r>
      <t>Long Term Use Restrictions:</t>
    </r>
    <r>
      <rPr>
        <sz val="12"/>
        <color rgb="FF000000"/>
        <rFont val="Times New Roman"/>
        <family val="1"/>
      </rPr>
      <t xml:space="preserve"> All projects requesting competitive LIHTC, RHFP, and/or RHW must agree to at least 40 years of low-income occupancy restrictions, unless a structured 15 year transition to homeownership is presented and accepted.  Indicate if this is a structured 15 year transition to homeownership.</t>
    </r>
  </si>
  <si>
    <r>
      <t>DEVELOPMENT TEAM</t>
    </r>
    <r>
      <rPr>
        <sz val="12"/>
        <color rgb="FF000000"/>
        <rFont val="Times New Roman"/>
        <family val="1"/>
      </rPr>
      <t xml:space="preserve"> </t>
    </r>
  </si>
  <si>
    <r>
      <t>Development Team Members:</t>
    </r>
    <r>
      <rPr>
        <sz val="12"/>
        <rFont val="Times New Roman"/>
        <family val="1"/>
      </rPr>
      <t xml:space="preserve"> Provide the entity’s name, complete mailing address, contact person and title, telephone number, facsimile number and e-mail address for each member of the development team</t>
    </r>
  </si>
  <si>
    <r>
      <t xml:space="preserve">Lending and Investment Partners: </t>
    </r>
    <r>
      <rPr>
        <sz val="12"/>
        <rFont val="Times New Roman"/>
        <family val="1"/>
      </rPr>
      <t xml:space="preserve">Provide the entity’s name, complete mailing address, contact person and title, telephone number, facsimile number and e-mail address for each lender and/or investor.  </t>
    </r>
    <r>
      <rPr>
        <b/>
        <sz val="12"/>
        <rFont val="Times New Roman"/>
        <family val="1"/>
      </rPr>
      <t xml:space="preserve"> </t>
    </r>
  </si>
  <si>
    <r>
      <t>Development Team History:</t>
    </r>
    <r>
      <rPr>
        <sz val="12"/>
        <color rgb="FF000000"/>
        <rFont val="Times New Roman"/>
        <family val="1"/>
      </rPr>
      <t xml:space="preserve">  Answer each question concerning the history or prior performance of the members of the development team.  If you answer yes to any of the questions, provide a brief explanation. </t>
    </r>
    <r>
      <rPr>
        <sz val="12"/>
        <color rgb="FFFF0000"/>
        <rFont val="Times New Roman"/>
        <family val="1"/>
      </rPr>
      <t>Select "yes" or "no" from the drop-down menu.</t>
    </r>
  </si>
  <si>
    <r>
      <t>PROJECT INCOME</t>
    </r>
    <r>
      <rPr>
        <sz val="12"/>
        <color rgb="FF000000"/>
        <rFont val="Times New Roman"/>
        <family val="1"/>
      </rPr>
      <t xml:space="preserve"> </t>
    </r>
  </si>
  <si>
    <r>
      <t xml:space="preserve">Residential Rental Income: Low Income Units. </t>
    </r>
    <r>
      <rPr>
        <sz val="12"/>
        <rFont val="Times New Roman"/>
        <family val="1"/>
      </rPr>
      <t>For all low income units in the project</t>
    </r>
    <r>
      <rPr>
        <b/>
        <sz val="12"/>
        <rFont val="Times New Roman"/>
        <family val="1"/>
      </rPr>
      <t>,</t>
    </r>
    <r>
      <rPr>
        <sz val="12"/>
        <rFont val="Times New Roman"/>
        <family val="1"/>
      </rPr>
      <t xml:space="preserve"> show: the number of bedrooms and baths per unit; the number of units of this size and type; the unit size in net leasable square footage; tenant paid utilities; the contract rent "</t>
    </r>
    <r>
      <rPr>
        <u/>
        <sz val="12"/>
        <rFont val="Times New Roman"/>
        <family val="1"/>
      </rPr>
      <t>paid by the tenant</t>
    </r>
    <r>
      <rPr>
        <sz val="12"/>
        <rFont val="Times New Roman"/>
        <family val="1"/>
      </rPr>
      <t>"; and rental subsidy (if any) expected for the unit.  The monthly income is the net contract rent, adjusted for utilities, and multiplied by the number of units of this size and type. Calculate annual income by multiplying the monthly income by 12 months. The total net leasable square footage for all units is the sum of the unit size multiplied by the number of units for each size and type. To calculate the vacancy allowance, multiply the total annual income for the low income units in the project by an estimated vacancy rate. The vacancy rate is based upon an analysis of similar projects in the market area.  Subtract the vacancy allowance from the total annual income to determine the effective gross income of the low income units</t>
    </r>
    <r>
      <rPr>
        <b/>
        <sz val="12"/>
        <rFont val="Times New Roman"/>
        <family val="1"/>
      </rPr>
      <t xml:space="preserve"> </t>
    </r>
  </si>
  <si>
    <r>
      <t>Residential Rental Income: Market Rate Units.</t>
    </r>
    <r>
      <rPr>
        <sz val="12"/>
        <color rgb="FF000000"/>
        <rFont val="Times New Roman"/>
        <family val="1"/>
      </rPr>
      <t xml:space="preserve">  For all market rate units in the project, show: the number of bedrooms and baths per unit; the number of units of this size and type; the unit size in net leasable square footage; and the contract rent paid by the tenant.  The monthly income is the contract rent multiplied by the number of units of this size and type. Calculate annual income by multiplying the monthly income by 12 months. The total net leasable square footage for all units is the sum of the unit size multiplied by the number of units for each size and type. To calculate the vacancy allowance, multiply the total annual income for the market rate units in the project by an estimated vacancy rate. The vacancy rate is based upon an analysis of similar projects in the market area.  Subtract the vacancy allowance from the total annual income to determine the effective gross income of the market rate units.</t>
    </r>
  </si>
  <si>
    <r>
      <t>Tenant Paid Utilities:</t>
    </r>
    <r>
      <rPr>
        <sz val="12"/>
        <color rgb="FF000000"/>
        <rFont val="Times New Roman"/>
        <family val="1"/>
      </rPr>
      <t xml:space="preserve">  If tenants will pay monthly utilities, show the type of utilities by</t>
    </r>
    <r>
      <rPr>
        <sz val="12"/>
        <color rgb="FFFF0000"/>
        <rFont val="Times New Roman"/>
        <family val="1"/>
      </rPr>
      <t xml:space="preserve"> selecting from the drop-down menu</t>
    </r>
    <r>
      <rPr>
        <sz val="12"/>
        <color rgb="FF000000"/>
        <rFont val="Times New Roman"/>
        <family val="1"/>
      </rPr>
      <t>.</t>
    </r>
  </si>
  <si>
    <r>
      <t>Nonresidential Income:</t>
    </r>
    <r>
      <rPr>
        <sz val="12"/>
        <color rgb="FF000000"/>
        <rFont val="Times New Roman"/>
        <family val="1"/>
      </rPr>
      <t xml:space="preserve"> Nonresidential income includes but is not limited to commercial space, parking, laundry facilities and vending machines.  For all nonresidential income in the project, show a description of the income type and/or size; the square footage (if applicable) and the income generated. Calculate annual income by multiplying the monthly income by 12 months. The vacancy allowance is calculated by multiplying the total annual nonresidential income by an estimated vacancy rate that is based upon an analysis of similar projects in the market area.  Subtract the vacancy allowance from the total annual income to determine the effective gross income for nonresidential units.</t>
    </r>
  </si>
  <si>
    <r>
      <t>Effective Gross Income:</t>
    </r>
    <r>
      <rPr>
        <sz val="12"/>
        <rFont val="Times New Roman"/>
        <family val="1"/>
      </rPr>
      <t xml:space="preserve">  This is the sum of the effective gross income for all income producing units in the project (low income, market rate) and nonresidential income.</t>
    </r>
  </si>
  <si>
    <r>
      <t>Non-Income Producing Units:</t>
    </r>
    <r>
      <rPr>
        <sz val="12"/>
        <color rgb="FF000000"/>
        <rFont val="Times New Roman"/>
        <family val="1"/>
      </rPr>
      <t xml:space="preserve">  For all community and common spaces included in the project, show the number of units (if applicable) and the square footage of each type of space. The total square footage for all units is the sum of the unit size multiplied by the number of units for each size and type.  Manager’s units that will never generate rental income should be included here and should not be included in the number of tax credit units.  </t>
    </r>
  </si>
  <si>
    <r>
      <t>Project Expenses:</t>
    </r>
    <r>
      <rPr>
        <sz val="12"/>
        <color rgb="FF000000"/>
        <rFont val="Times New Roman"/>
        <family val="1"/>
      </rPr>
      <t xml:space="preserve">  Fill in the annual estimated expenses for each type listed that is applicable to the project.  A management fee is calculated by multiplying the Effective Gross Income by an annual percentage rate.  Utility expenses include only those items paid by the owner and should not include tenant paid utilities.  If the local government is providing a Payment in Lieu of Taxes (PILOT) agreement, show the total estimated value of the PILOT, the number of years it will be provided, and the annual payment amount under the agreement.</t>
    </r>
  </si>
  <si>
    <r>
      <t>Net Operating Income:</t>
    </r>
    <r>
      <rPr>
        <sz val="12"/>
        <color rgb="FF000000"/>
        <rFont val="Times New Roman"/>
        <family val="1"/>
      </rPr>
      <t xml:space="preserve">  Calculate the project’s Net Operating Income by subtracting the Total Operating Expenses from the Effective Gross Income for all units.</t>
    </r>
  </si>
  <si>
    <r>
      <t>Debt Service Financing:</t>
    </r>
    <r>
      <rPr>
        <sz val="12"/>
        <rFont val="Times New Roman"/>
        <family val="1"/>
      </rPr>
      <t xml:space="preserve">  For all must pay debt, indicate the type of funds, the name of the bond issuer or lender, loan lien position, the required debt coverage ratio, the total annual payment, the interest rate, the amortization period of the loan, the actual loan term, and the maximum supported loan amount.  Also, show the annual payment associated with any bond insurance premium. For loans receiving credit enhancement, indicate the name of the credit enhancer.  For tax-exempt, 4% LIHTC applications, CDA will initially underwrite the 1st mortgage loan interest rate with a 75-basis point cushion, based on CDA's financial advisor's interest rate guidance.  Refer to calculations on the far right side of the Sources worksheet.</t>
    </r>
  </si>
  <si>
    <r>
      <t xml:space="preserve">Total Debt:  </t>
    </r>
    <r>
      <rPr>
        <sz val="12"/>
        <color rgb="FF000000"/>
        <rFont val="Times New Roman"/>
        <family val="1"/>
      </rPr>
      <t xml:space="preserve">Add the total loan amounts for the cash flow loans and the total maximum mortgage amounts for the debt service financing to determine the total debt.   </t>
    </r>
  </si>
  <si>
    <r>
      <t xml:space="preserve">Total Sources of Funds: </t>
    </r>
    <r>
      <rPr>
        <sz val="12"/>
        <color rgb="FF000000"/>
        <rFont val="Times New Roman"/>
        <family val="1"/>
      </rPr>
      <t xml:space="preserve"> The total sources of funds are the sum of the total financing and the total equity and must equal the total uses of funds.</t>
    </r>
  </si>
  <si>
    <r>
      <t>USES OF FUNDS</t>
    </r>
    <r>
      <rPr>
        <sz val="12"/>
        <color rgb="FF000000"/>
        <rFont val="Times New Roman"/>
        <family val="1"/>
      </rPr>
      <t xml:space="preserve"> </t>
    </r>
  </si>
  <si>
    <r>
      <t>Acquisition Costs:</t>
    </r>
    <r>
      <rPr>
        <sz val="12"/>
        <color rgb="FF000000"/>
        <rFont val="Times New Roman"/>
        <family val="1"/>
      </rPr>
      <t xml:space="preserve">  If the site includes existing buildings, allocate the cost between land and buildings.  Generally, there cannot have been any transfer of ownership within the past 10 years for buildings to be eligible for an acquisition tax credit.</t>
    </r>
  </si>
  <si>
    <r>
      <t>Total Development Costs:</t>
    </r>
    <r>
      <rPr>
        <sz val="12"/>
        <color rgb="FF000000"/>
        <rFont val="Times New Roman"/>
        <family val="1"/>
      </rPr>
      <t xml:space="preserve">  This is the sum of total construction costs, total fees, total financing fees and charges and total acquisition costs.</t>
    </r>
  </si>
  <si>
    <r>
      <t>Maximum Developer’s Fee:</t>
    </r>
    <r>
      <rPr>
        <sz val="12"/>
        <color rgb="FF000000"/>
        <rFont val="Times New Roman"/>
        <family val="1"/>
      </rPr>
      <t xml:space="preserve"> The developer’s fee is calculated as a percentage of total development costs. A fee of up to 15% is allowed on the first $10 million of total development costs (less acquisition-related costs construction and soft cost contingencies) and up to 10% on total development costs (less acquisition-related costs and construction and soft cost contingencies) over $10 million.  A fee of up to 10% is allowed on the first $10 million of acquisition-related costs and up to 5% on acquisition-related costs over $10 million. See section 3.9.8.3 of the Guide for more information.  </t>
    </r>
  </si>
  <si>
    <r>
      <t>Syndication Related Costs:</t>
    </r>
    <r>
      <rPr>
        <sz val="12"/>
        <color rgb="FF000000"/>
        <rFont val="Times New Roman"/>
        <family val="1"/>
      </rPr>
      <t xml:space="preserve">  These are costs incurred when syndicating a project with historic tax credits or Low-Income Housing Tax Credits.  Syndication related costs may not be paid with Department loan proceeds.  Generally, these costs are not included in the project’s tax credit basis.</t>
    </r>
  </si>
  <si>
    <r>
      <t>Guarantees and Reserves:</t>
    </r>
    <r>
      <rPr>
        <sz val="12"/>
        <color rgb="FF000000"/>
        <rFont val="Times New Roman"/>
        <family val="1"/>
      </rPr>
      <t xml:space="preserve">  Guarantees and reserves should include only funded amounts required by the Department, other lenders or syndication firms and cannot be funded with Department loan proceeds.  Refer to the Multifamily Rental Financing Program Guide for the Department’s requirements for Guarantees and Reserves.  </t>
    </r>
  </si>
  <si>
    <r>
      <t>Total Uses of Funds:</t>
    </r>
    <r>
      <rPr>
        <sz val="12"/>
        <color rgb="FF000000"/>
        <rFont val="Times New Roman"/>
        <family val="1"/>
      </rPr>
      <t xml:space="preserve">  This is the sum of total development costs, developer’s fee, total syndication related costs, and total guarantees and reserves.</t>
    </r>
  </si>
  <si>
    <r>
      <t>LOW-INCOME HOUSING TAX CREDIT</t>
    </r>
    <r>
      <rPr>
        <sz val="12"/>
        <color rgb="FF000000"/>
        <rFont val="Times New Roman"/>
        <family val="1"/>
      </rPr>
      <t xml:space="preserve"> </t>
    </r>
  </si>
  <si>
    <r>
      <t>Type of Low Income Housing Tax Credit Requested:</t>
    </r>
    <r>
      <rPr>
        <sz val="12"/>
        <color rgb="FF000000"/>
        <rFont val="Times New Roman"/>
        <family val="1"/>
      </rPr>
      <t xml:space="preserve">  Mark each box that applies to the type(s) of tax credit you are requesting.  To be eligible for an acquisition tax credit, the project must also include substantial rehabilitation. The Department’s standard of substantial rehabilitation for threshold review is different than the federal Tax Credit definition.  Refer to the Multifamily Rental Financing Program Guide for the Department’s standard of substantial rehabilitation.</t>
    </r>
  </si>
  <si>
    <r>
      <t>Location and Placed-In-Service Information:</t>
    </r>
    <r>
      <rPr>
        <sz val="12"/>
        <color rgb="FF000000"/>
        <rFont val="Times New Roman"/>
        <family val="1"/>
      </rPr>
      <t xml:space="preserve">  If you are requesting an acquisition or rehabilitation tax credit, complete this table for each building in the project.  Show the following information for each building: a specific street address; the type of site control; the date each control document expires; the number of units; the purchase price; the date the building was last placed-in-service; the date the sponsor expects to place the building in service; and the number of years between the sponsor’s anticipated placed-in-service date and the date the building was last placed in service.  Generally, the building must not have been placed in service during the last 10 years to be eligible for an acquisition tax credit.  The total purchase price should be the same as shown for acquisition costs on the Uses of Funds worksheet.</t>
    </r>
  </si>
  <si>
    <r>
      <t>Substantial Rehabilitation Determination:</t>
    </r>
    <r>
      <rPr>
        <sz val="12"/>
        <rFont val="Times New Roman"/>
        <family val="1"/>
      </rPr>
      <t xml:space="preserve">  To be eligible for a rehabilitation tax credit, the total costs associated with the rehabilitation must exceed the greater of $7,900 per unit or 20% of the project’s adjusted basis, although the Department requires a minimum of $15,000 per unit in total hard costs.  Check the box that applies to the project.</t>
    </r>
  </si>
  <si>
    <r>
      <t>Rent Floor Election:</t>
    </r>
    <r>
      <rPr>
        <sz val="12"/>
        <color rgb="FF000000"/>
        <rFont val="Times New Roman"/>
        <family val="1"/>
      </rPr>
      <t xml:space="preserve">  Sponsors may elect to establish the rent floor for the project as of the date of allocation or the date the project is placed in service.  Make the election by marking one box only.</t>
    </r>
  </si>
  <si>
    <r>
      <t>Syndication Information:</t>
    </r>
    <r>
      <rPr>
        <sz val="12"/>
        <color rgb="FF000000"/>
        <rFont val="Times New Roman"/>
        <family val="1"/>
      </rPr>
      <t xml:space="preserve">  If the project will be syndicated, show the name of the syndication firm, contact person and telephone number, whether the offering is public or private, the type of investors, and the percentage, amount and the dates that funds will be paid into the partnership.</t>
    </r>
  </si>
  <si>
    <r>
      <t>Maximum Low-Income Housing Tax Credit Based on Eligible Costs:</t>
    </r>
    <r>
      <rPr>
        <sz val="12"/>
        <color rgb="FF000000"/>
        <rFont val="Times New Roman"/>
        <family val="1"/>
      </rPr>
      <t xml:space="preserve">  This is the amount of tax credit the project is eligible for based on its qualified basis.  The actual amount of tax credit the project receives may be less than the amount for which it is eligible and will be limited to the amount needed for financial feasibility.  Calculate the adjusted project costs by subtracting from the Total Uses of Funds any federal grants financing qualifying costs, other non-qualifying financing, the value of any commercial space in the project, costs associated with any non-qualifying units of higher quality, and any historic tax credit.  The new construction or rehabilitation basis may be increased up to 130% if the project is in a Federally-designated Qualified Census Tract (QCT) or Difficult Development Area (DDA) as published by the U.S. Department of Housing and Urban Development and has a Concerted Revitalization Plan.</t>
    </r>
  </si>
  <si>
    <r>
      <t>Estimated Low-Income Housing Tax Credit Syndication Proceeds:</t>
    </r>
    <r>
      <rPr>
        <sz val="12"/>
        <color rgb="FF000000"/>
        <rFont val="Times New Roman"/>
        <family val="1"/>
      </rPr>
      <t xml:space="preserve">  Estimate the syndication proceeds that can be generated from any historic tax credit and the Low-Income Housing Tax Credit. Combine the Low-Income Housing Tax Credits generated by the project’s eligible basis and multiply the total by 10 years to determine the total tax credit received over the period.  Multiply this by the raise ratio from the syndication proposal to determine the gross proceeds generated by the Low-Income Housing Tax Credit.  Add to this the gross proceeds as the result of any historic tax credit for the total equity from syndication proceeds.</t>
    </r>
  </si>
  <si>
    <r>
      <t>Sources of Federal Financing:</t>
    </r>
    <r>
      <rPr>
        <sz val="12"/>
        <color rgb="FF000000"/>
        <rFont val="Times New Roman"/>
        <family val="1"/>
      </rPr>
      <t xml:space="preserve">  Sponsors must disclose the amount of all direct and indirect federal funds that are financing qualified project costs.  Show the federal funds applicable to the project.  If a source of funds is not included, show the amount under other and provide a brief description.</t>
    </r>
  </si>
  <si>
    <r>
      <t xml:space="preserve">Applicable Fraction: </t>
    </r>
    <r>
      <rPr>
        <sz val="12"/>
        <color rgb="FF000000"/>
        <rFont val="Times New Roman"/>
        <family val="1"/>
      </rPr>
      <t>The applicable fraction is the portion of the project that eligible low-income households will occupy.  The lesser of the percentage of low-income units to total units or low-income square footage to total square footage determines the applicable fraction.</t>
    </r>
  </si>
  <si>
    <r>
      <t>Applicable Percentage:</t>
    </r>
    <r>
      <rPr>
        <sz val="12"/>
        <color rgb="FF000000"/>
        <rFont val="Times New Roman"/>
        <family val="1"/>
      </rPr>
      <t xml:space="preserve">  The percentages generated by the present value calculations are commonly referred to as 4% credits for acquisition or for federally subsidized development or 9% for non-federally subsidized development.   </t>
    </r>
  </si>
  <si>
    <r>
      <t>Historic Tax Credit:</t>
    </r>
    <r>
      <rPr>
        <sz val="12"/>
        <color rgb="FF000000"/>
        <rFont val="Times New Roman"/>
        <family val="1"/>
      </rPr>
      <t xml:space="preserve">  Calculate the gross proceeds from any historic tax credit by multiplying the amount of the historic tax credit by the raise ratio from the syndication proposal.</t>
    </r>
  </si>
  <si>
    <r>
      <t>Income:</t>
    </r>
    <r>
      <rPr>
        <sz val="12"/>
        <color rgb="FF000000"/>
        <rFont val="Times New Roman"/>
        <family val="1"/>
      </rPr>
      <t xml:space="preserve">  The trended income will automatically populate based on the information entered in the Project Summary Worksheet.  Each year after that, the annual income for the low income, market rate and nonresidential units should be trended forward by the rate shown in the Project Summary Information worksheet.  Income is trended annually by multiplying the previous year’s income by the trending rate and adding it to the previous year’s annual income.  The vacancy allowance is the sum of the vacancy rate times the gross income for each type of income.</t>
    </r>
  </si>
  <si>
    <r>
      <t xml:space="preserve">Blue worksheet tabs are mapped to our database and </t>
    </r>
    <r>
      <rPr>
        <b/>
        <sz val="12"/>
        <color rgb="FFFF0000"/>
        <rFont val="Times New Roman"/>
        <family val="1"/>
      </rPr>
      <t>cannot</t>
    </r>
    <r>
      <rPr>
        <sz val="12"/>
        <color rgb="FFFF0000"/>
        <rFont val="Times New Roman"/>
        <family val="1"/>
      </rPr>
      <t xml:space="preserve"> be freely edited.</t>
    </r>
  </si>
  <si>
    <r>
      <t xml:space="preserve">If a drop-down menu is provided, applicant </t>
    </r>
    <r>
      <rPr>
        <b/>
        <sz val="12"/>
        <color rgb="FFFF0000"/>
        <rFont val="Times New Roman"/>
        <family val="1"/>
      </rPr>
      <t>must</t>
    </r>
    <r>
      <rPr>
        <sz val="12"/>
        <color rgb="FFFF0000"/>
        <rFont val="Times New Roman"/>
        <family val="1"/>
      </rPr>
      <t xml:space="preserve"> select from the drop-down menu.</t>
    </r>
  </si>
  <si>
    <t>OVERVIEW</t>
  </si>
  <si>
    <r>
      <t>Anticipated Development Schedule:</t>
    </r>
    <r>
      <rPr>
        <sz val="12"/>
        <rFont val="Times New Roman"/>
        <family val="1"/>
      </rPr>
      <t xml:space="preserve">  </t>
    </r>
    <r>
      <rPr>
        <sz val="12"/>
        <color rgb="FFFF0000"/>
        <rFont val="Times New Roman"/>
        <family val="1"/>
      </rPr>
      <t xml:space="preserve">All dates must be completed on the development schedule. </t>
    </r>
    <r>
      <rPr>
        <sz val="12"/>
        <rFont val="Times New Roman"/>
        <family val="1"/>
      </rPr>
      <t xml:space="preserve">Indicate the month and year that each stage of the development has been or is scheduled to be completed.  For site control, indicate if the sponsor currently has site control, the date control expires number of contract extensions (if any), length of contract extensions (if any), and the expected date the ownership entity will acquire the site.  For zoning, indicate the current zoning.  If a change or variance of the zoning is necessary, show the date of application, final hearing and final approval. For applications with Low-Income Housing Tax Credits, a sponsor must (a) incur costs in excess of 10% of the reasonably expected basis of the project (the "10% expenditure test") by within 12 months of the issuance date of the Carryover Allocation, and (b) place the project in service by the end of the second year following the year of the Carryover Allocation.  Failure to meet these requirements will result in the loss of the Tax Credits for the project.  Provide date evidence will be submitted indicating that 10% of project cost have been incurred.
Substantial completion is generally the date when 90% of the rehabilitation or construction is complete, all certificates of use and occupancy have been issued, and the architect has issued the certificate of substantial completion.  Sustaining occupancy is when the project’s income is sufficient to cover operating expenses and debt service for six consecutive months.  The Construction Loan period is the number months from construction start to permanent loan closing plus four months. </t>
    </r>
  </si>
  <si>
    <r>
      <t xml:space="preserve">Set-Aside or Pool: </t>
    </r>
    <r>
      <rPr>
        <i/>
        <sz val="10"/>
        <color rgb="FF0000FF"/>
        <rFont val="Times New Roman"/>
        <family val="1"/>
      </rPr>
      <t>(select from menu)</t>
    </r>
  </si>
  <si>
    <t>Non-Profit Set-Aside</t>
  </si>
  <si>
    <r>
      <t xml:space="preserve">Set-Aside or Pool:  </t>
    </r>
    <r>
      <rPr>
        <sz val="12"/>
        <color rgb="FFFF0000"/>
        <rFont val="Times New Roman"/>
        <family val="1"/>
      </rPr>
      <t>Select the project set-aside or pool from the drop-down menu.</t>
    </r>
  </si>
  <si>
    <r>
      <t xml:space="preserve">Occupancy Type:  </t>
    </r>
    <r>
      <rPr>
        <sz val="12"/>
        <color rgb="FFFF0000"/>
        <rFont val="Times New Roman"/>
        <family val="1"/>
      </rPr>
      <t>Select the Occupancy Type from the drop-down menu.</t>
    </r>
  </si>
  <si>
    <r>
      <t xml:space="preserve">Type of Credit Enhancement:  </t>
    </r>
    <r>
      <rPr>
        <sz val="12"/>
        <color rgb="FFFF0000"/>
        <rFont val="Times New Roman"/>
        <family val="1"/>
      </rPr>
      <t>Indicate type of bond execution.  Choose among Risk Sharing (FHA-CDA Risk Sharing), HRB 221(d)(4) Long-term GNMA, TX-TE 221(d)(4), FTEL (Freddie Mac Tax Exempt Loan), or MTEB (FNMA MBS Collateral for Tax Exempt Bonds).</t>
    </r>
  </si>
  <si>
    <t xml:space="preserve">  Minimum TE Bond Loan Percentage</t>
  </si>
  <si>
    <t xml:space="preserve">  Maximum Bond Loan Percentage</t>
  </si>
  <si>
    <t>Taxes, Insurance and Financing Fees</t>
  </si>
  <si>
    <t>Years Until 100% Qualified Occupancy</t>
  </si>
  <si>
    <t>PROJECT SUMMARY</t>
  </si>
  <si>
    <t>All other Summary information will be drawn from inputs in other worksheets.</t>
  </si>
  <si>
    <t>Nonprofit, PHA, or Local Small Business</t>
  </si>
  <si>
    <t>The developer entities and guarantors must have an acceptable credit history and show the current financial to undertake the project.  See Section 4.1.3 of the Guide.</t>
  </si>
  <si>
    <t>DEVELOPER FINANCIAL CAPACITY</t>
  </si>
  <si>
    <t>CDA Subsidy Layering Review Fee</t>
  </si>
  <si>
    <t>CDA Closing Attorney's Fees</t>
  </si>
  <si>
    <t>Conversion to Perm Fee (FTEL, FNMA MTEB)</t>
  </si>
  <si>
    <t>$5,000 per reservation + carryover fee</t>
  </si>
  <si>
    <r>
      <t xml:space="preserve">Enter % split. Use </t>
    </r>
    <r>
      <rPr>
        <b/>
        <u/>
        <sz val="10"/>
        <color rgb="FFFF0000"/>
        <rFont val="Times New Roman"/>
        <family val="1"/>
      </rPr>
      <t>one</t>
    </r>
    <r>
      <rPr>
        <sz val="10"/>
        <color rgb="FFFF0000"/>
        <rFont val="Times New Roman"/>
        <family val="1"/>
      </rPr>
      <t xml:space="preserve"> method only.</t>
    </r>
  </si>
  <si>
    <t>All sources of funds must have a description selected from the drop-down menu and a Entity Name inputted.</t>
  </si>
  <si>
    <t>Select the Rental Housing Program Loan Product from the drop-down menu.</t>
  </si>
  <si>
    <t>Lender rate</t>
  </si>
  <si>
    <r>
      <t>Cash Flow Financing and Grants:</t>
    </r>
    <r>
      <rPr>
        <sz val="12"/>
        <rFont val="Times New Roman"/>
        <family val="1"/>
      </rPr>
      <t xml:space="preserve">  For all loans that will be repaid from cash flow, show the type of funds, the name of the lender, loan lien position, and the percentage of cash flow that will be applied to payments due on the loan, the anticipated annual payment, the interest rate, the loan term, and the loan amount.</t>
    </r>
  </si>
  <si>
    <t>Energy Credits</t>
  </si>
  <si>
    <r>
      <t>Construction or Rehabilitation Costs:</t>
    </r>
    <r>
      <rPr>
        <sz val="12"/>
        <color rgb="FF000000"/>
        <rFont val="Times New Roman"/>
        <family val="1"/>
      </rPr>
      <t xml:space="preserve">  Net construction costs are construction costs that do not include a builder’s general requirements, builder’s profit, general overhead, bond premium, construction contingency or other fees.  Also indicate the builder’s general requirements, builder’s profit and overhead, as a percentage of net construction costs.  Off-site improvements should not be included as a part of the construction cost; include any off-site improvements under acquisition costs.  For limits on builder’s general requirements, builder’s profit and general overhead refer to the Multifamily Rental Financing Program Guide. Bond premiums include the actual premium paid for performance and payment bonds or the actual cost paid to a lending institution for letters of credit to assure construction completion.  A construction contingency of 5% to 10% of the total construction contract is required to fund unforeseen construction work items.  </t>
    </r>
  </si>
  <si>
    <r>
      <t>Fees Related to Construction and Rehabilitation:</t>
    </r>
    <r>
      <rPr>
        <sz val="12"/>
        <color rgb="FF000000"/>
        <rFont val="Times New Roman"/>
        <family val="1"/>
      </rPr>
      <t xml:space="preserve">  For the architect’s design and supervision fees, show the applicable percentage of the total construction contract. Real Estate Attorney Legal fees directly related to closing the loans are tax credit basis eligible.  Legal fees related to the syndication of tax credits must be included under syndication related costs and are not tax credit basis eligible. For limits on the architect’s design fee and architect’s supervision fee refer to the Multifamily Rental Financing Program Guide.</t>
    </r>
  </si>
  <si>
    <t>CURRENT FINANCING AND ACQUISITION INFORMATION</t>
  </si>
  <si>
    <r>
      <rPr>
        <b/>
        <sz val="12"/>
        <color rgb="FFFF0000"/>
        <rFont val="Times New Roman"/>
        <family val="1"/>
      </rPr>
      <t xml:space="preserve">Existing Loan Details: </t>
    </r>
    <r>
      <rPr>
        <sz val="12"/>
        <color rgb="FFFF0000"/>
        <rFont val="Times New Roman"/>
        <family val="1"/>
      </rPr>
      <t xml:space="preserve"> Provide the listed details on all existing loans including the principal and accrued interest balances at the date of application.  Detail the intent to pay off/down or request to forgive principal and/or interest for the transaction.</t>
    </r>
  </si>
  <si>
    <r>
      <rPr>
        <b/>
        <sz val="12"/>
        <color rgb="FFFF0000"/>
        <rFont val="Times New Roman"/>
        <family val="1"/>
      </rPr>
      <t xml:space="preserve">Net Seller Proceeds: </t>
    </r>
    <r>
      <rPr>
        <sz val="12"/>
        <color rgb="FFFF0000"/>
        <rFont val="Times New Roman"/>
        <family val="1"/>
      </rPr>
      <t xml:space="preserve"> List the Buyer and Seller and whether they are related parties. Detail the gross and net proceeds to the seller after all deductions.</t>
    </r>
  </si>
  <si>
    <r>
      <rPr>
        <b/>
        <sz val="12"/>
        <color rgb="FFFF0000"/>
        <rFont val="Times New Roman"/>
        <family val="1"/>
      </rPr>
      <t xml:space="preserve">Existing Reserves and Uses: </t>
    </r>
    <r>
      <rPr>
        <sz val="12"/>
        <color rgb="FFFF0000"/>
        <rFont val="Times New Roman"/>
        <family val="1"/>
      </rPr>
      <t xml:space="preserve"> Detail all existing reserves and their intended use in the transaction.</t>
    </r>
  </si>
  <si>
    <r>
      <rPr>
        <b/>
        <sz val="12"/>
        <color rgb="FFFF0000"/>
        <rFont val="Times New Roman"/>
        <family val="1"/>
      </rPr>
      <t xml:space="preserve">LTV Analysis: </t>
    </r>
    <r>
      <rPr>
        <sz val="12"/>
        <color rgb="FFFF0000"/>
        <rFont val="Times New Roman"/>
        <family val="1"/>
      </rPr>
      <t xml:space="preserve"> Input income, expenses and debt, from three years of audited financial statements for the property. Enter all new and assumed debt for the transaction. Enter the income-restricted and unrestricted value from an appraisal or an estimated cap rate.</t>
    </r>
  </si>
  <si>
    <t>This worksheet is not mapped. Yellow cells can be freely edited. Totals must match Sources and Uses.</t>
  </si>
  <si>
    <t>Enter a benchmark from the drop-down menu for each month.</t>
  </si>
  <si>
    <t>Enter the starting month.</t>
  </si>
  <si>
    <t>Input the flow of funds for sources, construction period financing, and permanent financing.</t>
  </si>
  <si>
    <t>SF</t>
  </si>
  <si>
    <t>Unit Count</t>
  </si>
  <si>
    <r>
      <t>Minimum Set-aside Election:</t>
    </r>
    <r>
      <rPr>
        <sz val="12"/>
        <color rgb="FF000000"/>
        <rFont val="Times New Roman"/>
        <family val="1"/>
      </rPr>
      <t xml:space="preserve">  The sponsor must elect one of the three minimum set-aside elections under the tax credit program.  At least 20% of the units must be occupied by households with income below 50% of the area median, at least 40% of the units must be occupied by households with income below 60% of the area median, or at least 40% of the housing units in the project must be occupied by households with incomes at or below 80% of the area median income so long as the average gross income for the restricted units in the project does not exceed 60% of the area median income.  The overall occupancy restrictions for the project shown on the General Information sheet will be used to calculate the tax credit basis.  Make the election by marking one box only.</t>
    </r>
  </si>
  <si>
    <r>
      <rPr>
        <b/>
        <sz val="12"/>
        <color rgb="FF000000"/>
        <rFont val="Times New Roman"/>
        <family val="1"/>
      </rPr>
      <t xml:space="preserve">Maximum Low-Income Housing Tax Credit Based on Proceeds Needed: </t>
    </r>
    <r>
      <rPr>
        <sz val="12"/>
        <color rgb="FF000000"/>
        <rFont val="Times New Roman"/>
        <family val="1"/>
      </rPr>
      <t xml:space="preserve"> This calculates the maximum amount of Low-Income Housing Tax Credit needed for the project.  The proceeds needed are the lesser of the total Equity from Syndication Proceeds or the Financing Gap.  Subtract the gross proceeds of any historic tax credit from the total proceeds needed to determine the proceeds needed from Low-Income Housing Tax Credits.  Divide this by the raise ratio from the syndication proposal to figure the total tax credit received over the tax credit period.  Divide this by the 10-year period to determine the maximum Low-Income Housing Tax Credit requested.</t>
    </r>
  </si>
  <si>
    <r>
      <t>Total Operating Expenses:</t>
    </r>
    <r>
      <rPr>
        <sz val="12"/>
        <color rgb="FF000000"/>
        <rFont val="Times New Roman"/>
        <family val="1"/>
      </rPr>
      <t xml:space="preserve">  This is the sum of total administrative expenses, total utility expenses, total operating and maintenance expenses, total taxes, insurance and financing fees and reserve for replacement deposits.</t>
    </r>
  </si>
  <si>
    <t>Other Government Lender</t>
  </si>
  <si>
    <t>CF Split</t>
  </si>
  <si>
    <t>CASHFLOW WATERFALL</t>
  </si>
  <si>
    <t xml:space="preserve">Other Government Lender: </t>
  </si>
  <si>
    <r>
      <t>Expenses:</t>
    </r>
    <r>
      <rPr>
        <sz val="12"/>
        <color rgb="FF000000"/>
        <rFont val="Times New Roman"/>
        <family val="1"/>
      </rPr>
      <t xml:space="preserve">  The trended expenses will automatically populate based on the information entered in the Project Summary Worksheet. The management fee is not to be trended.  Other expenses are trended annually by multiplying the previous year’s expenses by the trending rate and adding it to the previous year’s expenses.   The trended net operating income is calculated by subtracting the trended expenses from the trended effective gross income. </t>
    </r>
    <r>
      <rPr>
        <sz val="12"/>
        <color rgb="FFFF0000"/>
        <rFont val="Times New Roman"/>
        <family val="1"/>
      </rPr>
      <t>Input annual draws on a Transition and/or Operating Deficit Reserve. Input the Investor Service Fee. The Investor Service Fee is limited to $3,000 per year.</t>
    </r>
  </si>
  <si>
    <r>
      <t>Debt Service Financing:</t>
    </r>
    <r>
      <rPr>
        <sz val="12"/>
        <color rgb="FF000000"/>
        <rFont val="Times New Roman"/>
        <family val="1"/>
      </rPr>
      <t xml:space="preserve">  Annual debt service payments will automatically populate based on debt service financing listed in Sources.</t>
    </r>
  </si>
  <si>
    <t>The low-income units in the project must be rented to families with incomes that do not exceed the levels required under the proposed funding source.  To the extent that restricted units will be rented to families with incomes below 60% of the area median income, more points will be awarded.  See Section 4.4.1 of the Guide.</t>
  </si>
  <si>
    <t xml:space="preserve">INCOME TARGETING  </t>
  </si>
  <si>
    <t>INCOME TARGETING</t>
  </si>
  <si>
    <t>Total Bedrooms at each 
Targeted Income Level</t>
  </si>
  <si>
    <t>Use the formula provided to input the total bedrooms at each targeted income level.</t>
  </si>
  <si>
    <t xml:space="preserve">LEVERAGE AND COST EFFECTIVENESS </t>
  </si>
  <si>
    <r>
      <t xml:space="preserve">Combined Low Income Housing Tax Credit Eligible Costs ("Tax Credit" Cell </t>
    </r>
    <r>
      <rPr>
        <b/>
        <sz val="11"/>
        <color rgb="FF0000FF"/>
        <rFont val="Times New Roman"/>
        <family val="1"/>
      </rPr>
      <t>J177</t>
    </r>
    <r>
      <rPr>
        <sz val="11"/>
        <rFont val="Times New Roman"/>
        <family val="1"/>
      </rPr>
      <t>)</t>
    </r>
  </si>
  <si>
    <r>
      <t xml:space="preserve">Total Other DHCD Resources:                                                                                                                   </t>
    </r>
    <r>
      <rPr>
        <sz val="11"/>
        <color rgb="FF0000FF"/>
        <rFont val="Times New Roman"/>
        <family val="1"/>
      </rPr>
      <t xml:space="preserve">(CDBG, Community Legacy; </t>
    </r>
    <r>
      <rPr>
        <b/>
        <sz val="11"/>
        <color rgb="FF0000FF"/>
        <rFont val="Times New Roman"/>
        <family val="1"/>
      </rPr>
      <t>Baltimore Vacants Reinvestment Initiative (BVRI) awarded by DHCD, Emerging Developer Loan Funds awarded by DHCD</t>
    </r>
    <r>
      <rPr>
        <sz val="11"/>
        <color rgb="FF0000FF"/>
        <rFont val="Times New Roman"/>
        <family val="1"/>
      </rPr>
      <t>; Strategic Demolition; etc.)</t>
    </r>
  </si>
  <si>
    <r>
      <t xml:space="preserve">Note: Do not include Project CORE, </t>
    </r>
    <r>
      <rPr>
        <sz val="11"/>
        <color rgb="FF0000FF"/>
        <rFont val="Times New Roman"/>
        <family val="1"/>
      </rPr>
      <t>Demolition Funds,</t>
    </r>
    <r>
      <rPr>
        <sz val="11"/>
        <rFont val="Times New Roman"/>
        <family val="1"/>
      </rPr>
      <t xml:space="preserve"> and MBP Financing</t>
    </r>
  </si>
  <si>
    <t>LEVERAGE AND COST EFFECTIVENESS</t>
  </si>
  <si>
    <t>Input data into all yellow cells and select from drop-down menu where provided.</t>
  </si>
  <si>
    <t>Twin projects must submit a 202 for the 9% component and the 4% component.</t>
  </si>
  <si>
    <t>APPLICANT SELF-SCORE</t>
  </si>
  <si>
    <t>Input your self-score and any note for the score in the yellow cells.</t>
  </si>
  <si>
    <t>FINAL BUDGET</t>
  </si>
  <si>
    <t>APPLICANT NOTES 1-3</t>
  </si>
  <si>
    <t>Enter additional calculations or notes in these worksheets.</t>
  </si>
  <si>
    <t xml:space="preserve">      CURRENT FINANCING AND ACQUISITION - This worksheet details current financing on existing properties and acquisition details.</t>
  </si>
  <si>
    <t xml:space="preserve">      INCOME - This worksheet details the project's residential, non-residential, and commercial income.</t>
  </si>
  <si>
    <r>
      <t xml:space="preserve">Source of Income:  </t>
    </r>
    <r>
      <rPr>
        <sz val="12"/>
        <color rgb="FFFF0000"/>
        <rFont val="Times New Roman"/>
        <family val="1"/>
      </rPr>
      <t>Enter years until 100% Qualified Occupancy and the annual percentage increase of operating income.</t>
    </r>
    <r>
      <rPr>
        <b/>
        <sz val="12"/>
        <color rgb="FFFF0000"/>
        <rFont val="Times New Roman"/>
        <family val="1"/>
      </rPr>
      <t xml:space="preserve"> </t>
    </r>
    <r>
      <rPr>
        <sz val="12"/>
        <color rgb="FFFF0000"/>
        <rFont val="Times New Roman"/>
        <family val="1"/>
      </rPr>
      <t>The years until 100% Qualified Occupancy  are the number of years between the application submission date and the estimated date of 100% Qualified Occupancy shown in the anticipated development schedule.</t>
    </r>
  </si>
  <si>
    <r>
      <rPr>
        <b/>
        <sz val="12"/>
        <color rgb="FFFF0000"/>
        <rFont val="Times New Roman"/>
        <family val="1"/>
      </rPr>
      <t xml:space="preserve">Project Expenses: </t>
    </r>
    <r>
      <rPr>
        <sz val="12"/>
        <color rgb="FFFF0000"/>
        <rFont val="Times New Roman"/>
        <family val="1"/>
      </rPr>
      <t xml:space="preserve">Enter years until 100% Qualified Occupancy and the annual percentage increase of operating expenses. The years until 100% Qualified Occupancy  are the number of years between the application submission date and the estimated date of 100% Qualified Occupancy shown in the anticipated development schedule. </t>
    </r>
  </si>
  <si>
    <r>
      <t xml:space="preserve">Equity:  </t>
    </r>
    <r>
      <rPr>
        <sz val="12"/>
        <rFont val="Times New Roman"/>
        <family val="1"/>
      </rPr>
      <t xml:space="preserve">Indicate the source and amount of equity proceeds generated from the sale of low income and/or historic tax credits.  Also, identify the developer’s equity that is not from syndication proceeds.  Interim income sources must be accompanied with a construction period income and expense budget.  </t>
    </r>
    <r>
      <rPr>
        <sz val="12"/>
        <color rgb="FFFF0000"/>
        <rFont val="Times New Roman"/>
        <family val="1"/>
      </rPr>
      <t xml:space="preserve">Bond investment income must be listed as a source if interest from cash-collateralized bonds is listed as a use and negative arbitrage is not listed as a use. Existing reserve must be listed as a source if they are acquired by the buyer. </t>
    </r>
    <r>
      <rPr>
        <sz val="12"/>
        <rFont val="Times New Roman"/>
        <family val="1"/>
      </rPr>
      <t>The Department requires that equity from the sale of competitively allocated tax credits be sufficient to cover syndication related costs, guarantees and reserves, developer’s fee and at least 10% of total development costs.</t>
    </r>
  </si>
  <si>
    <r>
      <rPr>
        <b/>
        <sz val="12"/>
        <color rgb="FFFF0000"/>
        <rFont val="Times New Roman"/>
        <family val="1"/>
      </rPr>
      <t>Preservation Analysis:</t>
    </r>
    <r>
      <rPr>
        <sz val="12"/>
        <color rgb="FFFF0000"/>
        <rFont val="Times New Roman"/>
        <family val="1"/>
      </rPr>
      <t xml:space="preserve">  Enter the names of all LURAs or their restrictive covenants and the years of expiration.</t>
    </r>
  </si>
  <si>
    <t>Total Sources of Funds</t>
  </si>
  <si>
    <t>GAP</t>
  </si>
  <si>
    <t>Total Short-Term Tax-Exempt Loan</t>
  </si>
  <si>
    <t>Total Fees Related to Construction or Rehabilitation</t>
  </si>
  <si>
    <t>APPLICANT</t>
  </si>
  <si>
    <t>Printed Name: _________________________________________</t>
  </si>
  <si>
    <t>Date: ________________________________________________</t>
  </si>
  <si>
    <t>UNDERWRITER</t>
  </si>
  <si>
    <t>TEAM LEADER</t>
  </si>
  <si>
    <t>DIRECTOR/DEPUTY DIRECTOR</t>
  </si>
  <si>
    <t>CONSTRUCTION MANAGEMENT OFFICER</t>
  </si>
  <si>
    <t>Signature: ____________________________________________</t>
  </si>
  <si>
    <t xml:space="preserve">  Minimum TE Bond Loan Amount to Meet 30% Test</t>
  </si>
  <si>
    <t xml:space="preserve">  Maximum TE Bond Loan Amount if Supportable by Senior Loan</t>
  </si>
  <si>
    <r>
      <t>Total Building Area</t>
    </r>
    <r>
      <rPr>
        <i/>
        <sz val="10"/>
        <rFont val="Times New Roman"/>
        <family val="1"/>
      </rPr>
      <t xml:space="preserve"> </t>
    </r>
    <r>
      <rPr>
        <i/>
        <sz val="10"/>
        <color rgb="FFFF0000"/>
        <rFont val="Times New Roman"/>
        <family val="1"/>
      </rPr>
      <t>(gross square footage, numbers only)</t>
    </r>
  </si>
  <si>
    <t>Total Housing Units for Persons with Disabilities (PWD)</t>
  </si>
  <si>
    <r>
      <t>Date construction or rehabilitation begins</t>
    </r>
    <r>
      <rPr>
        <b/>
        <i/>
        <sz val="10"/>
        <rFont val="Times New Roman"/>
        <family val="1"/>
      </rPr>
      <t xml:space="preserve"> </t>
    </r>
  </si>
  <si>
    <t>LOW-INCOME HOUSING TAX CREDITS</t>
  </si>
  <si>
    <t xml:space="preserve">Investor Services Fee        </t>
  </si>
  <si>
    <t xml:space="preserve"> (maximum $3,000)</t>
  </si>
  <si>
    <t>Taxable Bridge Loan Interest Rate</t>
  </si>
  <si>
    <t>Taxable Construction Loan Interest Rate</t>
  </si>
  <si>
    <t>Taxable Bond Interest</t>
  </si>
  <si>
    <t>Long-Term Taxable Bond Interest Rate</t>
  </si>
  <si>
    <t>Taxable Bonds (Long Term Only)</t>
  </si>
  <si>
    <t>Total UFAS Units</t>
  </si>
  <si>
    <r>
      <t xml:space="preserve">Building Type
</t>
    </r>
    <r>
      <rPr>
        <i/>
        <sz val="10"/>
        <color rgb="FFFF0000"/>
        <rFont val="Times New Roman"/>
        <family val="1"/>
      </rPr>
      <t>(select from menu)</t>
    </r>
  </si>
  <si>
    <t>Annual Income Increase (%)</t>
  </si>
  <si>
    <t>Annual Expense Increase (%)</t>
  </si>
  <si>
    <t>Date 100% qualified occupancy achieved</t>
  </si>
  <si>
    <t>Less Acquisition Costs (from line 99 above)</t>
  </si>
  <si>
    <t>Total Development Costs (from line 100 above)</t>
  </si>
  <si>
    <t>Less Soft Cost Contingency (from line 54 above)</t>
  </si>
  <si>
    <t>Super Unit</t>
  </si>
  <si>
    <t>Electric</t>
  </si>
  <si>
    <r>
      <t>Net Worth</t>
    </r>
    <r>
      <rPr>
        <b/>
        <sz val="10"/>
        <color rgb="FFC00000"/>
        <rFont val="Times New Roman"/>
        <family val="1"/>
      </rPr>
      <t xml:space="preserve"> </t>
    </r>
    <r>
      <rPr>
        <b/>
        <sz val="10"/>
        <color rgb="FF0000FF"/>
        <rFont val="Times New Roman"/>
        <family val="1"/>
      </rPr>
      <t>(</t>
    </r>
    <r>
      <rPr>
        <b/>
        <u/>
        <sz val="10"/>
        <color rgb="FF0000FF"/>
        <rFont val="Times New Roman"/>
        <family val="1"/>
      </rPr>
      <t>Net Assets for nonprofit organizations</t>
    </r>
    <r>
      <rPr>
        <b/>
        <sz val="10"/>
        <color rgb="FF0000FF"/>
        <rFont val="Times New Roman"/>
        <family val="1"/>
      </rPr>
      <t>)</t>
    </r>
    <r>
      <rPr>
        <b/>
        <sz val="10"/>
        <color rgb="FFC00000"/>
        <rFont val="Times New Roman"/>
        <family val="1"/>
      </rPr>
      <t xml:space="preserve"> </t>
    </r>
    <r>
      <rPr>
        <b/>
        <sz val="10"/>
        <rFont val="Times New Roman"/>
        <family val="1"/>
      </rPr>
      <t>of the</t>
    </r>
    <r>
      <rPr>
        <b/>
        <sz val="10"/>
        <color rgb="FF0000FF"/>
        <rFont val="Times New Roman"/>
        <family val="1"/>
      </rPr>
      <t xml:space="preserve"> Guarantor</t>
    </r>
    <r>
      <rPr>
        <b/>
        <sz val="10"/>
        <rFont val="Times New Roman"/>
        <family val="1"/>
      </rPr>
      <t xml:space="preserve"> as a Percentage of Total Development Costs</t>
    </r>
  </si>
  <si>
    <t>25% completion</t>
  </si>
  <si>
    <t>Average Income</t>
  </si>
  <si>
    <t>Other Long-Term Subsidy</t>
  </si>
  <si>
    <t>Approved for:</t>
  </si>
  <si>
    <t>30-Day Pre-Closing Budget</t>
  </si>
  <si>
    <t>10-Day Pre-Closing Budget</t>
  </si>
  <si>
    <r>
      <t>DATE</t>
    </r>
    <r>
      <rPr>
        <sz val="10"/>
        <rFont val="Times New Roman"/>
        <family val="1"/>
      </rPr>
      <t xml:space="preserve"> (MM/DD/YYYY)</t>
    </r>
  </si>
  <si>
    <r>
      <t xml:space="preserve">RATE </t>
    </r>
    <r>
      <rPr>
        <sz val="10"/>
        <rFont val="Times New Roman"/>
        <family val="1"/>
      </rPr>
      <t>(%)</t>
    </r>
  </si>
  <si>
    <t>MIP</t>
  </si>
  <si>
    <t>20-YEAR OPERATING  PRO FORMA</t>
  </si>
  <si>
    <t>Operating &amp; Maintenance</t>
  </si>
  <si>
    <t>Other Taxes, Insurance, and Financing Fees</t>
  </si>
  <si>
    <r>
      <t xml:space="preserve">Note: Use $0.84 for </t>
    </r>
    <r>
      <rPr>
        <b/>
        <i/>
        <u/>
        <sz val="10"/>
        <color rgb="FF0000FF"/>
        <rFont val="Times New Roman"/>
        <family val="1"/>
      </rPr>
      <t>2026</t>
    </r>
    <r>
      <rPr>
        <b/>
        <i/>
        <sz val="10"/>
        <rFont val="Times New Roman"/>
        <family val="1"/>
      </rPr>
      <t xml:space="preserve"> Competitive Round</t>
    </r>
  </si>
  <si>
    <t>CURR FIN ACQ INFO</t>
  </si>
  <si>
    <t>4.8 State Bonus Points</t>
  </si>
  <si>
    <t>4-7 Housing Starts Now</t>
  </si>
  <si>
    <t>Permanent Supportive Housing</t>
  </si>
  <si>
    <t>Percentage of Units</t>
  </si>
  <si>
    <t>Civil Engineering Design Fee</t>
  </si>
  <si>
    <t>Civil Engineering Supervision Fee</t>
  </si>
  <si>
    <t>Accessibility Consultant Design Fee</t>
  </si>
  <si>
    <t>Accessibility Consultant Supervision Fee</t>
  </si>
  <si>
    <t>Energy/Green Consultant Design Fee</t>
  </si>
  <si>
    <t>Energy/Green Consultant Supervision Fee</t>
  </si>
  <si>
    <t>Construction Type</t>
  </si>
  <si>
    <t>Year Built (if rehab)</t>
  </si>
  <si>
    <t>Underwriter</t>
  </si>
  <si>
    <t>Construction Manager</t>
  </si>
  <si>
    <t>Total Affordable Units</t>
  </si>
  <si>
    <t>Total Market-Rate Units</t>
  </si>
  <si>
    <t>Total Commercial Space (SF)</t>
  </si>
  <si>
    <t>Total Non-Income Producing Units</t>
  </si>
  <si>
    <t>Sponsor and Development Team Information</t>
  </si>
  <si>
    <t>Borrower Name</t>
  </si>
  <si>
    <t>Per Unit</t>
  </si>
  <si>
    <t>Valuation of Property</t>
  </si>
  <si>
    <t>Appraisal Firm</t>
  </si>
  <si>
    <t>As-Is Appraised Value</t>
  </si>
  <si>
    <t>As-Complete Income-Restricted Value</t>
  </si>
  <si>
    <t>LTV</t>
  </si>
  <si>
    <t>Total (Number)</t>
  </si>
  <si>
    <t>Total (Percent)</t>
  </si>
  <si>
    <t>PROPOSED RENTS</t>
  </si>
  <si>
    <t>Tenant-Paid Rent</t>
  </si>
  <si>
    <t>Subsidy</t>
  </si>
  <si>
    <t>Utility Allowance</t>
  </si>
  <si>
    <t>Market Average</t>
  </si>
  <si>
    <t>Rent Advantage</t>
  </si>
  <si>
    <t>% of Max. LIHTC</t>
  </si>
  <si>
    <t>Beds / Baths (#BD/#BA)</t>
  </si>
  <si>
    <t>AMI (%)</t>
  </si>
  <si>
    <t>Max. Allowable LIHTC Rent</t>
  </si>
  <si>
    <t>Occupancy Type</t>
  </si>
  <si>
    <r>
      <t xml:space="preserve">Application Date:
</t>
    </r>
    <r>
      <rPr>
        <sz val="10"/>
        <color rgb="FFFF0000"/>
        <rFont val="Times New Roman"/>
        <family val="1"/>
      </rPr>
      <t>(MM/DD/YYYY)</t>
    </r>
  </si>
  <si>
    <r>
      <t>Date:</t>
    </r>
    <r>
      <rPr>
        <sz val="12"/>
        <rFont val="Times New Roman"/>
        <family val="1"/>
      </rPr>
      <t xml:space="preserve"> Enter 202's current submission date as </t>
    </r>
    <r>
      <rPr>
        <sz val="12"/>
        <color rgb="FFFF0000"/>
        <rFont val="Times New Roman"/>
        <family val="1"/>
      </rPr>
      <t>MM/DD/YYYY</t>
    </r>
    <r>
      <rPr>
        <sz val="12"/>
        <rFont val="Times New Roman"/>
        <family val="1"/>
      </rPr>
      <t>.</t>
    </r>
  </si>
  <si>
    <t>Minimum Tax-Exempt Loan:</t>
  </si>
  <si>
    <r>
      <t>Signature (</t>
    </r>
    <r>
      <rPr>
        <i/>
        <sz val="16"/>
        <rFont val="Times New Roman"/>
        <family val="1"/>
      </rPr>
      <t>typed</t>
    </r>
    <r>
      <rPr>
        <sz val="16"/>
        <rFont val="Times New Roman"/>
        <family val="1"/>
      </rPr>
      <t xml:space="preserve">): </t>
    </r>
  </si>
  <si>
    <t xml:space="preserve">Printed Name: </t>
  </si>
  <si>
    <t xml:space="preserve">Date: </t>
  </si>
  <si>
    <t>Sources and uses will automatically populate. Select the submission type, e-sign and date this sheet for submission.</t>
  </si>
  <si>
    <t>The final budget must be submitted to CDA with the first draw 30-days prior to closing.  The final closing budget must be submitted to CDA 10-days prior to closing, at which time no further changes will be made, subject to CDA's discretion.</t>
  </si>
  <si>
    <t>Total PWD Units</t>
  </si>
  <si>
    <t>Tax Credit Info - Total UFAS Units</t>
  </si>
  <si>
    <t>Tax Credit Info - Total PWD Units</t>
  </si>
  <si>
    <t>Other Reserve Total</t>
  </si>
  <si>
    <t>Other 1 Total</t>
  </si>
  <si>
    <t>Enter the assets and liabilities for all developer entities based on the most recent audited, compiled, reviewed or internally prepared financial statements.</t>
  </si>
  <si>
    <r>
      <t xml:space="preserve">Enter the percentage allocation of costs to residential and commercial space, </t>
    </r>
    <r>
      <rPr>
        <b/>
        <sz val="12"/>
        <color rgb="FFFF0000"/>
        <rFont val="Times New Roman"/>
        <family val="1"/>
      </rPr>
      <t>if applicable</t>
    </r>
    <r>
      <rPr>
        <sz val="12"/>
        <color rgb="FFFF0000"/>
        <rFont val="Times New Roman"/>
        <family val="1"/>
      </rPr>
      <t xml:space="preserve">. Only one method can be used to determine the percentage allocation (i.e. square footage, unit count, cost segregation study). Commercial costs must be allocated to hard costs, soft costs and acquisition costs as applicable and deducted from LIHTC eligible basis. </t>
    </r>
  </si>
  <si>
    <r>
      <t xml:space="preserve">Cash Flow Financing:  </t>
    </r>
    <r>
      <rPr>
        <sz val="12"/>
        <color rgb="FFFF0000"/>
        <rFont val="Times New Roman"/>
        <family val="1"/>
      </rPr>
      <t>Enter annual cash flow amount (or percent of cash flow distribution) based on the Rental Housing Program Loan Product in the Cashflow Waterfall table.</t>
    </r>
  </si>
  <si>
    <t>Input data in Rows 7-24 and Rows 45-56.</t>
  </si>
  <si>
    <t>Secondary Developer</t>
  </si>
  <si>
    <t>Accessibility Consultant</t>
  </si>
  <si>
    <r>
      <t>Rate (</t>
    </r>
    <r>
      <rPr>
        <i/>
        <sz val="10"/>
        <color rgb="FFFF0000"/>
        <rFont val="Times New Roman"/>
        <family val="1"/>
      </rPr>
      <t>with 75bp cushion</t>
    </r>
    <r>
      <rPr>
        <sz val="10"/>
        <rFont val="Times New Roman"/>
        <family val="1"/>
      </rPr>
      <t>)</t>
    </r>
  </si>
  <si>
    <r>
      <t xml:space="preserve">Interest Rate 
</t>
    </r>
    <r>
      <rPr>
        <i/>
        <sz val="9"/>
        <color rgb="FFFF0000"/>
        <rFont val="Times New Roman"/>
        <family val="1"/>
      </rPr>
      <t>(with 0.75 cushion)</t>
    </r>
  </si>
  <si>
    <r>
      <t xml:space="preserve">Interest Rate
</t>
    </r>
    <r>
      <rPr>
        <i/>
        <sz val="10"/>
        <color rgb="FFFF0000"/>
        <rFont val="Times New Roman"/>
        <family val="1"/>
      </rPr>
      <t>(%)</t>
    </r>
  </si>
  <si>
    <t>select basis for percentage</t>
  </si>
  <si>
    <r>
      <t xml:space="preserve">* </t>
    </r>
    <r>
      <rPr>
        <b/>
        <sz val="10"/>
        <rFont val="Times New Roman"/>
        <family val="1"/>
      </rPr>
      <t>Tenant Paid Utilities</t>
    </r>
    <r>
      <rPr>
        <i/>
        <sz val="10"/>
        <rFont val="Times New Roman"/>
        <family val="1"/>
      </rPr>
      <t xml:space="preserve"> </t>
    </r>
    <r>
      <rPr>
        <i/>
        <sz val="10"/>
        <color rgb="FFFF0000"/>
        <rFont val="Times New Roman"/>
        <family val="1"/>
      </rPr>
      <t>(select all utilities to be paid by tenants and source)</t>
    </r>
  </si>
  <si>
    <t>Natural Gas</t>
  </si>
  <si>
    <t>Bottle Gas/Propane</t>
  </si>
  <si>
    <t>Electric Heat Pump</t>
  </si>
  <si>
    <t>Oil</t>
  </si>
  <si>
    <t>Solar Electricity</t>
  </si>
  <si>
    <r>
      <t xml:space="preserve"> Other: </t>
    </r>
    <r>
      <rPr>
        <i/>
        <sz val="10"/>
        <rFont val="Times New Roman"/>
        <family val="1"/>
      </rPr>
      <t>Describe</t>
    </r>
  </si>
  <si>
    <t xml:space="preserve">YR15 </t>
  </si>
  <si>
    <t>Subsidy/Unit/Year</t>
  </si>
  <si>
    <t>Term (Years)</t>
  </si>
  <si>
    <t>Total Affordable/Units in Project</t>
  </si>
  <si>
    <t>Show all calculations for construction period interest and investment income, as applicable.</t>
  </si>
  <si>
    <t>Show all flow of funds through permanent loan conversion.,</t>
  </si>
  <si>
    <t>SC_Civil Supervision</t>
  </si>
  <si>
    <t>SC_Predevelopment</t>
  </si>
  <si>
    <t>SC_Other 2</t>
  </si>
  <si>
    <t>SC_Other 3</t>
  </si>
  <si>
    <t>SC_Other 4</t>
  </si>
  <si>
    <t>CDA Tax Escrow Fee (All Bond Executions)</t>
  </si>
  <si>
    <t>Rebate Analyst Fee (All Bond Executions)</t>
  </si>
  <si>
    <t>Accessibility Consultant, Energy Consultant Fees</t>
  </si>
  <si>
    <t>Lease-Up Period</t>
  </si>
  <si>
    <r>
      <t xml:space="preserve">V/HI Unit </t>
    </r>
    <r>
      <rPr>
        <i/>
        <sz val="8"/>
        <color rgb="FFFF0000"/>
        <rFont val="Times New Roman"/>
        <family val="1"/>
      </rPr>
      <t>(select from list)</t>
    </r>
  </si>
  <si>
    <t>Multifamily Energy Efficiency and Housing Affordability (MEEHA)</t>
  </si>
  <si>
    <t>Administrator</t>
  </si>
  <si>
    <t>Former Contact</t>
  </si>
  <si>
    <t>Housing Specialist/Manager</t>
  </si>
  <si>
    <t>Maintenance</t>
  </si>
  <si>
    <t>Senior Regional Manager</t>
  </si>
  <si>
    <t>PWD – nonelderly</t>
  </si>
  <si>
    <t>Offsite Infrastructure - Outside of the GC Agreement</t>
  </si>
  <si>
    <t>Solar Installation - Outside of the GC Agreement</t>
  </si>
  <si>
    <t>Required</t>
  </si>
  <si>
    <t>Maximum TE Senior  Loan*</t>
  </si>
  <si>
    <t>*The Maximum TE Senior Loan must be supportable at the higher of the senior lender and/or credit enhancer required DSCR or 1.15 DSCR.</t>
  </si>
  <si>
    <t>(required if cash-collateralized bond interest included as Use)</t>
  </si>
  <si>
    <t>Bond Investment Income</t>
  </si>
  <si>
    <t>Existing Reserves</t>
  </si>
  <si>
    <r>
      <t>Developer Equity</t>
    </r>
    <r>
      <rPr>
        <i/>
        <sz val="10"/>
        <rFont val="Times New Roman"/>
        <family val="1"/>
      </rPr>
      <t xml:space="preserve"> </t>
    </r>
  </si>
  <si>
    <t>(not from syndication proceeds)</t>
  </si>
  <si>
    <t xml:space="preserve">Interim Income </t>
  </si>
  <si>
    <t>(occupied rehabilitation projects)</t>
  </si>
  <si>
    <t>1.5% of loan =</t>
  </si>
  <si>
    <t>0.5% of loan =</t>
  </si>
  <si>
    <t>5% of annual tax credit allocation =</t>
  </si>
  <si>
    <t>*Use the latest fees as published on the DHCD website.**</t>
  </si>
  <si>
    <r>
      <rPr>
        <b/>
        <sz val="12"/>
        <rFont val="Times New Roman"/>
        <family val="1"/>
      </rPr>
      <t>Financing Fees and Charges:</t>
    </r>
    <r>
      <rPr>
        <sz val="12"/>
        <rFont val="Times New Roman"/>
        <family val="1"/>
      </rPr>
      <t xml:space="preserve">  Construction interest is calculated on the funds disbursed during the construction loan period based on a projected monthly draw schedule. Mortgage Insurance Premium is the premium charged for mortgage insurance during the construction loan period only. Title and recording costs are those estimated by the title attorney. A soft cost contingency may not exceed 2.5% of “Fees Related to Construction or Rehabilitation” and “Financing Fees and Charges”.  
</t>
    </r>
    <r>
      <rPr>
        <sz val="12"/>
        <color rgb="FFFF0000"/>
        <rFont val="Times New Roman"/>
        <family val="1"/>
      </rPr>
      <t>Use the latest DHCD fees published on the website. 
Fees for the Multifamily Bond Program are deteailed on the website https://dhcd.maryland.gov/HousingDevelopment/Pages/mbp/default.aspx. 
Other fees due to CDA are detailed on the Multifamily Housing Development Document Library https://dhcd.maryland.gov/HousingDevelopment/pages/mflibrary.aspx.</t>
    </r>
  </si>
  <si>
    <t>Enter Tract Number</t>
  </si>
  <si>
    <t>Direct Leveraging Score</t>
  </si>
  <si>
    <t>Operating Subsidies Score</t>
  </si>
  <si>
    <t>outdoor patio/picnic area</t>
  </si>
  <si>
    <t>Is the project a "Twinning" transaction with an overall total of at least 120 units and demonstrated a need for at least $5 million of MBP financing?</t>
  </si>
  <si>
    <t>Is the project the 9% application for a "Twinning" transaction?</t>
  </si>
  <si>
    <t>Twinning Extra Points for 9%</t>
  </si>
  <si>
    <t>Total Direct Leveraging Score</t>
  </si>
  <si>
    <t xml:space="preserve">Maximum points may be awarded for projects with a subsidy of at least $600 per unit per year for a period of 10 years in participating jurisdictions and $300 in non-participating jurisdictions. </t>
  </si>
  <si>
    <t>4.6.3  Project Durabiity and Enhancements</t>
  </si>
  <si>
    <t>Effective Date of Appraisal (MM/DD/YY)</t>
  </si>
  <si>
    <t>Gross Rent</t>
  </si>
  <si>
    <r>
      <t>Does any development team member* acting in the roles of sponsor, developer, guarantor or owner have any chronic past due accounts, substantial liens</t>
    </r>
    <r>
      <rPr>
        <sz val="10"/>
        <rFont val="Times New Roman"/>
        <family val="1"/>
      </rPr>
      <t xml:space="preserve"> or judgments, three or more instances of unpaid taxes (even if cured prior to the application date), foreclosures or bankruptcies, or deeds in lieu of foreclosure within the past five years? If yes, explain.</t>
    </r>
  </si>
  <si>
    <t>SAM.gov UEI (if applicable)</t>
  </si>
  <si>
    <r>
      <t xml:space="preserve">Combined net worth is </t>
    </r>
    <r>
      <rPr>
        <sz val="10"/>
        <color rgb="FF0000FF"/>
        <rFont val="Times New Roman"/>
        <family val="1"/>
      </rPr>
      <t>25% or greater</t>
    </r>
    <r>
      <rPr>
        <sz val="10"/>
        <color rgb="FFC00000"/>
        <rFont val="Times New Roman"/>
        <family val="1"/>
      </rPr>
      <t xml:space="preserve"> </t>
    </r>
    <r>
      <rPr>
        <sz val="10"/>
        <rFont val="Times New Roman"/>
        <family val="1"/>
      </rPr>
      <t>of Total Development Costs (TDC)</t>
    </r>
  </si>
  <si>
    <r>
      <t>Combined liquid assets are</t>
    </r>
    <r>
      <rPr>
        <sz val="10"/>
        <color rgb="FF0000FF"/>
        <rFont val="Times New Roman"/>
        <family val="1"/>
      </rPr>
      <t xml:space="preserve"> over 4% but less than 10% </t>
    </r>
    <r>
      <rPr>
        <sz val="10"/>
        <rFont val="Times New Roman"/>
        <family val="1"/>
      </rPr>
      <t>of Total Development Costs (TDC)</t>
    </r>
  </si>
  <si>
    <r>
      <t xml:space="preserve">Combined liquid assets are </t>
    </r>
    <r>
      <rPr>
        <sz val="10"/>
        <color rgb="FF0000FF"/>
        <rFont val="Times New Roman"/>
        <family val="1"/>
      </rPr>
      <t>10% or greater</t>
    </r>
    <r>
      <rPr>
        <sz val="10"/>
        <rFont val="Times New Roman"/>
        <family val="1"/>
      </rPr>
      <t xml:space="preserve"> of Total Development Costs (TDC)</t>
    </r>
  </si>
  <si>
    <t>to be held until closing for operations, not a source</t>
  </si>
  <si>
    <t xml:space="preserve">Describe </t>
  </si>
  <si>
    <t>Asset Management</t>
  </si>
  <si>
    <t>Total Self-Score</t>
  </si>
  <si>
    <t>Effective Date:  06-08-2026</t>
  </si>
  <si>
    <t>Required, if applicable</t>
  </si>
  <si>
    <t>Entity Name</t>
  </si>
  <si>
    <r>
      <rPr>
        <b/>
        <sz val="8"/>
        <rFont val="Times New Roman"/>
        <family val="1"/>
      </rPr>
      <t xml:space="preserve">For $30,000/ 9% unit: </t>
    </r>
    <r>
      <rPr>
        <sz val="8"/>
        <rFont val="Times New Roman"/>
        <family val="1"/>
      </rPr>
      <t>=IF((J176=9%),MIN(SUM(I177:J177),30000*GENERAL!$H$165,1500000),(I177+J177))</t>
    </r>
  </si>
  <si>
    <r>
      <rPr>
        <b/>
        <sz val="8"/>
        <rFont val="Times New Roman"/>
        <family val="1"/>
      </rPr>
      <t xml:space="preserve">For $28,000/ 9% unit: </t>
    </r>
    <r>
      <rPr>
        <sz val="8"/>
        <rFont val="Times New Roman"/>
        <family val="1"/>
      </rPr>
      <t>=IF((J176=9%),MIN(SUM(I177:J177),28000*GENERAL!$H$165,2000000),(I177+J177))</t>
    </r>
  </si>
  <si>
    <r>
      <rPr>
        <i/>
        <sz val="9"/>
        <rFont val="Times New Roman"/>
        <family val="1"/>
      </rPr>
      <t xml:space="preserve">Use calculated formula </t>
    </r>
    <r>
      <rPr>
        <b/>
        <i/>
        <sz val="9"/>
        <color rgb="FFC00000"/>
        <rFont val="Times New Roman"/>
        <family val="1"/>
      </rPr>
      <t>-or-</t>
    </r>
    <r>
      <rPr>
        <i/>
        <sz val="9"/>
        <rFont val="Times New Roman"/>
        <family val="1"/>
      </rPr>
      <t xml:space="preserve"> enter credit amount less than $1.5M or $2M for 9% LIHTC</t>
    </r>
    <r>
      <rPr>
        <i/>
        <sz val="10"/>
        <rFont val="Times New Roman"/>
        <family val="1"/>
      </rPr>
      <t xml:space="preserve"> </t>
    </r>
    <r>
      <rPr>
        <b/>
        <sz val="10"/>
        <color rgb="FFC00000"/>
        <rFont val="Times New Roman"/>
        <family val="1"/>
      </rPr>
      <t>--&gt;&gt;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</si>
</sst>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mm/dd/yy_)"/>
    <numFmt numFmtId="165" formatCode="0.00_)"/>
    <numFmt numFmtId="166" formatCode="0.000%"/>
    <numFmt numFmtId="167" formatCode="0_)"/>
    <numFmt numFmtId="168" formatCode="_(&quot;$&quot;* #,##0_);_(&quot;$&quot;* \(#,##0\);_(&quot;$&quot;* &quot;&quot;_);_(@_)"/>
    <numFmt numFmtId="169" formatCode="_(* #,##0_);_(* \(#,##0\);_(* &quot;&quot;_);_(@_)"/>
    <numFmt numFmtId="170" formatCode="_(&quot;$&quot;* #,##0_);_(&quot;$&quot;* \(#,##0\);_(* &quot;&quot;_);_(@_)"/>
    <numFmt numFmtId="171" formatCode="0_);\(0\)"/>
    <numFmt numFmtId="172" formatCode="&quot;$&quot;#,##0"/>
    <numFmt numFmtId="173" formatCode="m/d/yy;@"/>
    <numFmt numFmtId="174" formatCode="00000\-0000"/>
    <numFmt numFmtId="175" formatCode="0.0%"/>
    <numFmt numFmtId="176" formatCode="_(* #,##0_);_(* \(#,##0\);_(* &quot;-&quot;??_);_(@_)"/>
    <numFmt numFmtId="177" formatCode="_(&quot;$&quot;* #,##0_);_(&quot;$&quot;* \(#,##0\);_(&quot;$&quot;* &quot;-&quot;??_);_(@_)"/>
    <numFmt numFmtId="178" formatCode="[&lt;=9999999]###\-####;\(###\)\ ###\-####"/>
    <numFmt numFmtId="179" formatCode="mm/dd/yy;@"/>
    <numFmt numFmtId="180" formatCode="0;[Red]0"/>
    <numFmt numFmtId="181" formatCode="_(* #,##0.000_);_(* \(#,##0.000\);_(* &quot;-&quot;??_);_(@_)"/>
    <numFmt numFmtId="182" formatCode="0.0"/>
    <numFmt numFmtId="183" formatCode="#,##0.0_);\(#,##0.0\)"/>
    <numFmt numFmtId="184" formatCode="0.0000%"/>
    <numFmt numFmtId="185" formatCode="00\-0000000"/>
    <numFmt numFmtId="186" formatCode="##\-#######"/>
    <numFmt numFmtId="187" formatCode="m/d/yyyy;@"/>
    <numFmt numFmtId="188" formatCode="#,##0.000_);\(#,##0.000\)"/>
    <numFmt numFmtId="189" formatCode="_(&quot;$&quot;* #,##0.000_);_(&quot;$&quot;* \(#,##0.000\);_(&quot;$&quot;* &quot;-&quot;??_);_(@_)"/>
  </numFmts>
  <fonts count="142"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Times New Roman"/>
      <family val="1"/>
    </font>
    <font>
      <sz val="10"/>
      <name val="Times New Roman"/>
      <family val="1"/>
    </font>
    <font>
      <sz val="9"/>
      <name val="Times New Roman"/>
      <family val="1"/>
    </font>
    <font>
      <b/>
      <sz val="14"/>
      <name val="Times New Roman"/>
      <family val="1"/>
    </font>
    <font>
      <b/>
      <i/>
      <sz val="14"/>
      <name val="Times New Roman"/>
      <family val="1"/>
    </font>
    <font>
      <b/>
      <sz val="10"/>
      <name val="Times New Roman"/>
      <family val="1"/>
    </font>
    <font>
      <sz val="10"/>
      <name val="Wingdings"/>
      <charset val="2"/>
    </font>
    <font>
      <b/>
      <sz val="12"/>
      <name val="Arial"/>
      <family val="2"/>
    </font>
    <font>
      <b/>
      <sz val="12"/>
      <color indexed="9"/>
      <name val="Arial"/>
      <family val="2"/>
    </font>
    <font>
      <b/>
      <sz val="14"/>
      <name val="Arial"/>
      <family val="2"/>
    </font>
    <font>
      <b/>
      <i/>
      <sz val="10"/>
      <name val="Times New Roman"/>
      <family val="1"/>
    </font>
    <font>
      <i/>
      <sz val="8"/>
      <name val="Times New Roman"/>
      <family val="1"/>
    </font>
    <font>
      <i/>
      <sz val="9"/>
      <name val="Times New Roman"/>
      <family val="1"/>
    </font>
    <font>
      <b/>
      <sz val="8"/>
      <name val="Times New Roman"/>
      <family val="1"/>
    </font>
    <font>
      <sz val="8"/>
      <name val="Times New Roman"/>
      <family val="1"/>
    </font>
    <font>
      <sz val="10"/>
      <name val="Symbol"/>
      <family val="1"/>
      <charset val="2"/>
    </font>
    <font>
      <sz val="12"/>
      <name val="Calibri"/>
      <family val="2"/>
    </font>
    <font>
      <i/>
      <sz val="9.5"/>
      <name val="Times New Roman"/>
      <family val="1"/>
    </font>
    <font>
      <sz val="12"/>
      <color rgb="FF000000"/>
      <name val="Calibri"/>
      <family val="2"/>
    </font>
    <font>
      <sz val="10"/>
      <name val="Calibri"/>
      <family val="2"/>
      <scheme val="minor"/>
    </font>
    <font>
      <sz val="10"/>
      <color rgb="FFFF0000"/>
      <name val="Times New Roman"/>
      <family val="1"/>
    </font>
    <font>
      <sz val="10"/>
      <color rgb="FF000000"/>
      <name val="Times New Roman"/>
      <family val="1"/>
    </font>
    <font>
      <b/>
      <sz val="10"/>
      <color rgb="FF000000"/>
      <name val="Times New Roman"/>
      <family val="1"/>
    </font>
    <font>
      <sz val="12"/>
      <color rgb="FF000000"/>
      <name val="Times New Roman"/>
      <family val="1"/>
    </font>
    <font>
      <b/>
      <sz val="10"/>
      <color theme="1"/>
      <name val="Times New Roman"/>
      <family val="1"/>
    </font>
    <font>
      <sz val="10"/>
      <color theme="1"/>
      <name val="Times New Roman"/>
      <family val="1"/>
    </font>
    <font>
      <u/>
      <sz val="10"/>
      <name val="Times New Roman"/>
      <family val="1"/>
    </font>
    <font>
      <b/>
      <sz val="14"/>
      <color rgb="FF000000"/>
      <name val="Times New Roman"/>
      <family val="1"/>
    </font>
    <font>
      <sz val="11"/>
      <color rgb="FF000000"/>
      <name val="Times New Roman"/>
      <family val="1"/>
    </font>
    <font>
      <b/>
      <sz val="10"/>
      <color rgb="FF0000FF"/>
      <name val="Times New Roman"/>
      <family val="1"/>
    </font>
    <font>
      <b/>
      <sz val="10"/>
      <color rgb="FFC00000"/>
      <name val="Times New Roman"/>
      <family val="1"/>
    </font>
    <font>
      <sz val="10"/>
      <color theme="1"/>
      <name val="Calibri"/>
      <family val="2"/>
      <scheme val="minor"/>
    </font>
    <font>
      <sz val="10"/>
      <color rgb="FFC00000"/>
      <name val="Times New Roman"/>
      <family val="1"/>
    </font>
    <font>
      <b/>
      <sz val="12"/>
      <color theme="1"/>
      <name val="Calibri"/>
      <family val="2"/>
      <scheme val="minor"/>
    </font>
    <font>
      <sz val="12"/>
      <color theme="1"/>
      <name val="Calibri"/>
      <family val="2"/>
      <scheme val="minor"/>
    </font>
    <font>
      <b/>
      <sz val="10"/>
      <color theme="1"/>
      <name val="Calibri"/>
      <family val="2"/>
      <scheme val="minor"/>
    </font>
    <font>
      <b/>
      <i/>
      <sz val="10"/>
      <color rgb="FF0000FF"/>
      <name val="Times New Roman"/>
      <family val="1"/>
    </font>
    <font>
      <b/>
      <u/>
      <sz val="10"/>
      <name val="Times New Roman"/>
      <family val="1"/>
    </font>
    <font>
      <strike/>
      <sz val="10"/>
      <name val="Times New Roman"/>
      <family val="1"/>
    </font>
    <font>
      <sz val="10"/>
      <color rgb="FF0000FF"/>
      <name val="Times New Roman"/>
      <family val="1"/>
    </font>
    <font>
      <u/>
      <sz val="10"/>
      <color theme="10"/>
      <name val="Times New Roman"/>
      <family val="1"/>
    </font>
    <font>
      <b/>
      <sz val="12"/>
      <color rgb="FF0000FF"/>
      <name val="Times New Roman"/>
      <family val="1"/>
    </font>
    <font>
      <b/>
      <sz val="12"/>
      <name val="Times New Roman"/>
      <family val="1"/>
    </font>
    <font>
      <b/>
      <sz val="9"/>
      <color rgb="FF0000FF"/>
      <name val="Times New Roman"/>
      <family val="1"/>
    </font>
    <font>
      <sz val="10"/>
      <color theme="1" tint="0.499984740745262"/>
      <name val="Times New Roman"/>
      <family val="1"/>
    </font>
    <font>
      <b/>
      <sz val="10"/>
      <color rgb="FF006600"/>
      <name val="Times New Roman"/>
      <family val="1"/>
    </font>
    <font>
      <i/>
      <sz val="10"/>
      <color rgb="FF0000FF"/>
      <name val="Times New Roman"/>
      <family val="1"/>
    </font>
    <font>
      <i/>
      <strike/>
      <sz val="10"/>
      <name val="Times New Roman"/>
      <family val="1"/>
    </font>
    <font>
      <b/>
      <u/>
      <sz val="10"/>
      <color rgb="FF0000FF"/>
      <name val="Times New Roman"/>
      <family val="1"/>
    </font>
    <font>
      <b/>
      <i/>
      <sz val="9"/>
      <name val="Times New Roman"/>
      <family val="1"/>
    </font>
    <font>
      <b/>
      <sz val="11"/>
      <name val="Times New Roman"/>
      <family val="1"/>
    </font>
    <font>
      <b/>
      <i/>
      <sz val="10"/>
      <color rgb="FFC00000"/>
      <name val="Times New Roman"/>
      <family val="1"/>
    </font>
    <font>
      <b/>
      <sz val="9"/>
      <name val="Times New Roman"/>
      <family val="1"/>
    </font>
    <font>
      <sz val="9"/>
      <color rgb="FF0000FF"/>
      <name val="Times New Roman"/>
      <family val="1"/>
    </font>
    <font>
      <sz val="9"/>
      <color theme="1"/>
      <name val="Times New Roman"/>
      <family val="1"/>
    </font>
    <font>
      <sz val="11"/>
      <color rgb="FF0000FF"/>
      <name val="Times New Roman"/>
      <family val="1"/>
    </font>
    <font>
      <sz val="8"/>
      <color theme="1"/>
      <name val="Times New Roman"/>
      <family val="1"/>
    </font>
    <font>
      <b/>
      <sz val="11"/>
      <color rgb="FFC00000"/>
      <name val="Times New Roman"/>
      <family val="1"/>
    </font>
    <font>
      <b/>
      <sz val="8"/>
      <color rgb="FF0000FF"/>
      <name val="Times New Roman"/>
      <family val="1"/>
    </font>
    <font>
      <vertAlign val="superscript"/>
      <sz val="12"/>
      <name val="Times New Roman"/>
      <family val="1"/>
    </font>
    <font>
      <i/>
      <vertAlign val="superscript"/>
      <sz val="12"/>
      <color rgb="FF0000FF"/>
      <name val="Times New Roman"/>
      <family val="1"/>
    </font>
    <font>
      <b/>
      <i/>
      <u/>
      <sz val="10"/>
      <color rgb="FFC00000"/>
      <name val="Times New Roman"/>
      <family val="1"/>
    </font>
    <font>
      <sz val="11"/>
      <name val="Times New Roman"/>
      <family val="1"/>
    </font>
    <font>
      <b/>
      <sz val="11"/>
      <color rgb="FF0000FF"/>
      <name val="Times New Roman"/>
      <family val="1"/>
    </font>
    <font>
      <b/>
      <sz val="14"/>
      <color theme="1"/>
      <name val="Times New Roman"/>
      <family val="1"/>
    </font>
    <font>
      <sz val="12"/>
      <color rgb="FF202124"/>
      <name val="Arial"/>
      <family val="2"/>
    </font>
    <font>
      <b/>
      <u/>
      <sz val="16"/>
      <name val="Times New Roman"/>
      <family val="1"/>
    </font>
    <font>
      <b/>
      <sz val="14"/>
      <color rgb="FF0000FF"/>
      <name val="Times New Roman"/>
      <family val="1"/>
    </font>
    <font>
      <sz val="10"/>
      <color theme="0"/>
      <name val="Times New Roman"/>
      <family val="1"/>
    </font>
    <font>
      <b/>
      <sz val="10"/>
      <color theme="0"/>
      <name val="Times New Roman"/>
      <family val="1"/>
    </font>
    <font>
      <i/>
      <sz val="10"/>
      <color rgb="FFFF0000"/>
      <name val="Times New Roman"/>
      <family val="1"/>
    </font>
    <font>
      <b/>
      <i/>
      <sz val="10"/>
      <color rgb="FFFF0000"/>
      <name val="Times New Roman"/>
      <family val="1"/>
    </font>
    <font>
      <b/>
      <i/>
      <u/>
      <sz val="10"/>
      <color rgb="FF0000FF"/>
      <name val="Times New Roman"/>
      <family val="1"/>
    </font>
    <font>
      <b/>
      <sz val="10"/>
      <color rgb="FFFF0000"/>
      <name val="Times New Roman"/>
      <family val="1"/>
    </font>
    <font>
      <b/>
      <i/>
      <sz val="10"/>
      <color rgb="FF000099"/>
      <name val="Times New Roman"/>
      <family val="1"/>
    </font>
    <font>
      <sz val="11"/>
      <name val="Arial"/>
      <family val="2"/>
    </font>
    <font>
      <sz val="12"/>
      <name val="Times New Roman"/>
      <family val="1"/>
    </font>
    <font>
      <sz val="12"/>
      <color rgb="FFC00000"/>
      <name val="Times New Roman"/>
      <family val="1"/>
    </font>
    <font>
      <sz val="12"/>
      <name val="Arial"/>
      <family val="2"/>
    </font>
    <font>
      <b/>
      <i/>
      <sz val="12"/>
      <name val="Times New Roman"/>
      <family val="1"/>
    </font>
    <font>
      <i/>
      <sz val="12"/>
      <name val="Times New Roman"/>
      <family val="1"/>
    </font>
    <font>
      <sz val="12"/>
      <color theme="0"/>
      <name val="Times New Roman"/>
      <family val="1"/>
    </font>
    <font>
      <b/>
      <u/>
      <sz val="12"/>
      <name val="Times New Roman"/>
      <family val="1"/>
    </font>
    <font>
      <b/>
      <sz val="16"/>
      <name val="Times New Roman"/>
      <family val="1"/>
    </font>
    <font>
      <b/>
      <sz val="12"/>
      <color theme="0"/>
      <name val="Times New Roman"/>
      <family val="1"/>
    </font>
    <font>
      <b/>
      <sz val="12"/>
      <color rgb="FFFF0000"/>
      <name val="Times New Roman"/>
      <family val="1"/>
    </font>
    <font>
      <sz val="12"/>
      <color rgb="FFFF0000"/>
      <name val="Times New Roman"/>
      <family val="1"/>
    </font>
    <font>
      <i/>
      <sz val="9"/>
      <color rgb="FFFF0000"/>
      <name val="Times New Roman"/>
      <family val="1"/>
    </font>
    <font>
      <b/>
      <u/>
      <sz val="11"/>
      <color rgb="FF0000FF"/>
      <name val="Times New Roman"/>
      <family val="1"/>
    </font>
    <font>
      <i/>
      <sz val="8"/>
      <color rgb="FFFF0000"/>
      <name val="Times New Roman"/>
      <family val="1"/>
    </font>
    <font>
      <b/>
      <sz val="10"/>
      <color rgb="FF00B050"/>
      <name val="Times New Roman"/>
      <family val="1"/>
    </font>
    <font>
      <b/>
      <i/>
      <sz val="16"/>
      <color rgb="FF000000"/>
      <name val="Times New Roman"/>
      <family val="1"/>
    </font>
    <font>
      <sz val="12"/>
      <color theme="1"/>
      <name val="Times New Roman"/>
      <family val="1"/>
    </font>
    <font>
      <b/>
      <i/>
      <sz val="12"/>
      <color theme="1"/>
      <name val="Times New Roman"/>
      <family val="1"/>
    </font>
    <font>
      <sz val="12"/>
      <color rgb="FF3333FF"/>
      <name val="Times New Roman"/>
      <family val="1"/>
    </font>
    <font>
      <i/>
      <sz val="12"/>
      <color theme="1"/>
      <name val="Times New Roman"/>
      <family val="1"/>
    </font>
    <font>
      <i/>
      <sz val="12"/>
      <color rgb="FFFF0000"/>
      <name val="Times New Roman"/>
      <family val="1"/>
    </font>
    <font>
      <b/>
      <sz val="12"/>
      <color theme="1"/>
      <name val="Times New Roman"/>
      <family val="1"/>
    </font>
    <font>
      <b/>
      <sz val="11"/>
      <name val="Arial"/>
      <family val="2"/>
    </font>
    <font>
      <i/>
      <sz val="11"/>
      <color rgb="FFFF0000"/>
      <name val="Arial"/>
      <family val="2"/>
    </font>
    <font>
      <sz val="11"/>
      <color rgb="FFFF0000"/>
      <name val="Arial"/>
      <family val="2"/>
    </font>
    <font>
      <sz val="11"/>
      <color theme="1"/>
      <name val="Arial"/>
      <family val="2"/>
    </font>
    <font>
      <b/>
      <sz val="12"/>
      <color theme="1"/>
      <name val="Arial"/>
      <family val="2"/>
    </font>
    <font>
      <i/>
      <sz val="12"/>
      <color rgb="FFFF0000"/>
      <name val="Arial"/>
      <family val="2"/>
    </font>
    <font>
      <b/>
      <sz val="11"/>
      <color theme="1"/>
      <name val="Arial"/>
      <family val="2"/>
    </font>
    <font>
      <i/>
      <sz val="11"/>
      <name val="Arial"/>
      <family val="2"/>
    </font>
    <font>
      <b/>
      <i/>
      <sz val="11"/>
      <name val="Arial"/>
      <family val="2"/>
    </font>
    <font>
      <b/>
      <u/>
      <sz val="12"/>
      <name val="Arial"/>
      <family val="2"/>
    </font>
    <font>
      <i/>
      <sz val="11"/>
      <color rgb="FF0000FF"/>
      <name val="Arial"/>
      <family val="2"/>
    </font>
    <font>
      <i/>
      <u/>
      <sz val="12"/>
      <color rgb="FFFF0000"/>
      <name val="Arial"/>
      <family val="2"/>
    </font>
    <font>
      <b/>
      <sz val="10"/>
      <name val="Calibri"/>
      <family val="2"/>
      <scheme val="minor"/>
    </font>
    <font>
      <b/>
      <i/>
      <sz val="8"/>
      <color rgb="FFFF0000"/>
      <name val="Calibri"/>
      <family val="2"/>
      <scheme val="minor"/>
    </font>
    <font>
      <b/>
      <sz val="11"/>
      <color rgb="FF000000"/>
      <name val="Times New Roman"/>
      <family val="1"/>
    </font>
    <font>
      <sz val="11"/>
      <color rgb="FFC00000"/>
      <name val="Times New Roman"/>
      <family val="1"/>
    </font>
    <font>
      <b/>
      <i/>
      <sz val="12"/>
      <color rgb="FF000099"/>
      <name val="Times New Roman"/>
      <family val="1"/>
    </font>
    <font>
      <b/>
      <i/>
      <sz val="12"/>
      <color rgb="FF000000"/>
      <name val="Times New Roman"/>
      <family val="1"/>
    </font>
    <font>
      <b/>
      <u/>
      <sz val="12"/>
      <color rgb="FF000000"/>
      <name val="Times New Roman"/>
      <family val="1"/>
    </font>
    <font>
      <sz val="12"/>
      <color rgb="FF0000FF"/>
      <name val="Times New Roman"/>
      <family val="1"/>
    </font>
    <font>
      <b/>
      <sz val="12"/>
      <color rgb="FF000000"/>
      <name val="Times New Roman"/>
      <family val="1"/>
    </font>
    <font>
      <u/>
      <sz val="12"/>
      <name val="Times New Roman"/>
      <family val="1"/>
    </font>
    <font>
      <b/>
      <i/>
      <sz val="14"/>
      <color rgb="FF000000"/>
      <name val="Times New Roman"/>
      <family val="1"/>
    </font>
    <font>
      <b/>
      <i/>
      <sz val="14"/>
      <color theme="1"/>
      <name val="Times New Roman"/>
      <family val="1"/>
    </font>
    <font>
      <b/>
      <u/>
      <sz val="10"/>
      <color rgb="FFFF0000"/>
      <name val="Times New Roman"/>
      <family val="1"/>
    </font>
    <font>
      <b/>
      <sz val="11"/>
      <color theme="1"/>
      <name val="Times New Roman"/>
      <family val="1"/>
    </font>
    <font>
      <sz val="11"/>
      <color theme="1"/>
      <name val="Times New Roman"/>
      <family val="1"/>
    </font>
    <font>
      <b/>
      <sz val="14"/>
      <color theme="0"/>
      <name val="Times New Roman"/>
      <family val="1"/>
    </font>
    <font>
      <i/>
      <sz val="14"/>
      <name val="Times New Roman"/>
      <family val="1"/>
    </font>
    <font>
      <i/>
      <sz val="14"/>
      <color rgb="FFFF0000"/>
      <name val="Times New Roman"/>
      <family val="1"/>
    </font>
    <font>
      <sz val="14"/>
      <name val="Times New Roman"/>
      <family val="1"/>
    </font>
    <font>
      <sz val="16"/>
      <name val="Times New Roman"/>
      <family val="1"/>
    </font>
    <font>
      <i/>
      <sz val="16"/>
      <name val="Times New Roman"/>
      <family val="1"/>
    </font>
    <font>
      <sz val="11"/>
      <color indexed="8"/>
      <name val="Calibri"/>
      <family val="2"/>
    </font>
    <font>
      <b/>
      <sz val="9"/>
      <color indexed="81"/>
      <name val="Tahoma"/>
      <family val="2"/>
    </font>
    <font>
      <b/>
      <i/>
      <sz val="11"/>
      <color rgb="FFFF0000"/>
      <name val="Times New Roman"/>
      <family val="1"/>
    </font>
    <font>
      <u/>
      <sz val="12"/>
      <color rgb="FF000000"/>
      <name val="Times New Roman"/>
      <family val="1"/>
    </font>
    <font>
      <b/>
      <sz val="9"/>
      <color indexed="81"/>
      <name val="Tahoma"/>
      <charset val="1"/>
    </font>
    <font>
      <b/>
      <i/>
      <sz val="9"/>
      <color rgb="FFC00000"/>
      <name val="Times New Roman"/>
      <family val="1"/>
    </font>
  </fonts>
  <fills count="36">
    <fill>
      <patternFill patternType="none"/>
    </fill>
    <fill>
      <patternFill patternType="gray125"/>
    </fill>
    <fill>
      <patternFill patternType="solid">
        <fgColor indexed="22"/>
        <bgColor indexed="8"/>
      </patternFill>
    </fill>
    <fill>
      <patternFill patternType="solid">
        <fgColor indexed="9"/>
        <bgColor indexed="9"/>
      </patternFill>
    </fill>
    <fill>
      <patternFill patternType="solid">
        <fgColor indexed="8"/>
        <bgColor indexed="64"/>
      </patternFill>
    </fill>
    <fill>
      <patternFill patternType="solid">
        <fgColor indexed="22"/>
        <bgColor indexed="64"/>
      </patternFill>
    </fill>
    <fill>
      <patternFill patternType="solid">
        <fgColor indexed="22"/>
        <bgColor indexed="22"/>
      </patternFill>
    </fill>
    <fill>
      <patternFill patternType="solid">
        <fgColor indexed="9"/>
        <bgColor indexed="64"/>
      </patternFill>
    </fill>
    <fill>
      <patternFill patternType="solid">
        <fgColor indexed="22"/>
        <bgColor indexed="9"/>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3" tint="0.79998168889431442"/>
        <bgColor indexed="9"/>
      </patternFill>
    </fill>
    <fill>
      <patternFill patternType="solid">
        <fgColor rgb="FFFFFFCC"/>
        <bgColor indexed="64"/>
      </patternFill>
    </fill>
    <fill>
      <patternFill patternType="solid">
        <fgColor theme="5" tint="0.79998168889431442"/>
        <bgColor indexed="64"/>
      </patternFill>
    </fill>
    <fill>
      <patternFill patternType="solid">
        <fgColor rgb="FFFFFFCC"/>
        <bgColor indexed="9"/>
      </patternFill>
    </fill>
    <fill>
      <patternFill patternType="solid">
        <fgColor rgb="FFFFFFCC"/>
        <bgColor indexed="8"/>
      </patternFill>
    </fill>
    <fill>
      <patternFill patternType="darkGray">
        <fgColor theme="3"/>
        <bgColor theme="8" tint="0.59999389629810485"/>
      </patternFill>
    </fill>
    <fill>
      <patternFill patternType="solid">
        <fgColor theme="3" tint="0.79998168889431442"/>
        <bgColor indexed="8"/>
      </patternFill>
    </fill>
    <fill>
      <patternFill patternType="solid">
        <fgColor theme="9" tint="0.79998168889431442"/>
        <bgColor indexed="64"/>
      </patternFill>
    </fill>
    <fill>
      <patternFill patternType="solid">
        <fgColor indexed="26"/>
        <bgColor indexed="64"/>
      </patternFill>
    </fill>
    <fill>
      <patternFill patternType="solid">
        <fgColor rgb="FF00B0F0"/>
        <bgColor indexed="64"/>
      </patternFill>
    </fill>
    <fill>
      <patternFill patternType="solid">
        <fgColor theme="1"/>
        <bgColor indexed="64"/>
      </patternFill>
    </fill>
    <fill>
      <patternFill patternType="solid">
        <fgColor rgb="FF00B050"/>
        <bgColor indexed="64"/>
      </patternFill>
    </fill>
    <fill>
      <patternFill patternType="solid">
        <fgColor rgb="FF002060"/>
        <bgColor indexed="64"/>
      </patternFill>
    </fill>
    <fill>
      <patternFill patternType="solid">
        <fgColor rgb="FFC5D9F1"/>
        <bgColor rgb="FF000000"/>
      </patternFill>
    </fill>
    <fill>
      <patternFill patternType="solid">
        <fgColor theme="0"/>
        <bgColor indexed="64"/>
      </patternFill>
    </fill>
    <fill>
      <patternFill patternType="solid">
        <fgColor theme="0"/>
        <bgColor indexed="9"/>
      </patternFill>
    </fill>
    <fill>
      <patternFill patternType="solid">
        <fgColor rgb="FFFFFFFF"/>
        <bgColor rgb="FFFFFFFF"/>
      </patternFill>
    </fill>
    <fill>
      <patternFill patternType="solid">
        <fgColor theme="0"/>
        <bgColor rgb="FF000000"/>
      </patternFill>
    </fill>
    <fill>
      <patternFill patternType="solid">
        <fgColor theme="0" tint="-4.9989318521683403E-2"/>
        <bgColor indexed="64"/>
      </patternFill>
    </fill>
    <fill>
      <patternFill patternType="solid">
        <fgColor rgb="FFFFFF00"/>
        <bgColor indexed="64"/>
      </patternFill>
    </fill>
    <fill>
      <patternFill patternType="solid">
        <fgColor rgb="FF00FF00"/>
        <bgColor indexed="64"/>
      </patternFill>
    </fill>
  </fills>
  <borders count="299">
    <border>
      <left/>
      <right/>
      <top/>
      <bottom/>
      <diagonal/>
    </border>
    <border>
      <left style="thin">
        <color indexed="64"/>
      </left>
      <right style="thin">
        <color indexed="64"/>
      </right>
      <top/>
      <bottom/>
      <diagonal/>
    </border>
    <border>
      <left style="thin">
        <color indexed="8"/>
      </left>
      <right style="thin">
        <color indexed="8"/>
      </right>
      <top style="thin">
        <color indexed="64"/>
      </top>
      <bottom style="medium">
        <color indexed="64"/>
      </bottom>
      <diagonal/>
    </border>
    <border>
      <left style="thin">
        <color indexed="8"/>
      </left>
      <right style="thin">
        <color indexed="8"/>
      </right>
      <top/>
      <bottom style="medium">
        <color indexed="64"/>
      </bottom>
      <diagonal/>
    </border>
    <border>
      <left style="thin">
        <color indexed="8"/>
      </left>
      <right style="thin">
        <color indexed="64"/>
      </right>
      <top/>
      <bottom/>
      <diagonal/>
    </border>
    <border>
      <left style="thin">
        <color indexed="8"/>
      </left>
      <right style="thin">
        <color indexed="8"/>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diagonalUp="1" diagonalDown="1">
      <left style="thin">
        <color theme="0" tint="-0.24994659260841701"/>
      </left>
      <right style="thin">
        <color indexed="64"/>
      </right>
      <top style="thin">
        <color theme="0" tint="-0.24994659260841701"/>
      </top>
      <bottom style="medium">
        <color indexed="64"/>
      </bottom>
      <diagonal style="thin">
        <color theme="0" tint="-0.24994659260841701"/>
      </diagonal>
    </border>
    <border>
      <left style="thin">
        <color auto="1"/>
      </left>
      <right style="thin">
        <color theme="0" tint="-0.24994659260841701"/>
      </right>
      <top style="thin">
        <color theme="0" tint="-0.24994659260841701"/>
      </top>
      <bottom style="thin">
        <color indexed="64"/>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rgb="FFBFBFBF"/>
      </diagonal>
    </border>
    <border>
      <left/>
      <right style="medium">
        <color indexed="64"/>
      </right>
      <top style="medium">
        <color indexed="64"/>
      </top>
      <bottom style="thin">
        <color indexed="64"/>
      </bottom>
      <diagonal/>
    </border>
    <border>
      <left style="thin">
        <color theme="0" tint="-0.24994659260841701"/>
      </left>
      <right style="thin">
        <color indexed="64"/>
      </right>
      <top style="thin">
        <color theme="0" tint="-0.24994659260841701"/>
      </top>
      <bottom/>
      <diagonal/>
    </border>
    <border>
      <left style="thin">
        <color indexed="8"/>
      </left>
      <right/>
      <top/>
      <bottom/>
      <diagonal/>
    </border>
    <border>
      <left/>
      <right style="medium">
        <color indexed="64"/>
      </right>
      <top/>
      <bottom/>
      <diagonal/>
    </border>
    <border>
      <left style="thin">
        <color theme="0" tint="-0.34998626667073579"/>
      </left>
      <right style="thin">
        <color theme="0" tint="-0.34998626667073579"/>
      </right>
      <top/>
      <bottom/>
      <diagonal/>
    </border>
    <border>
      <left style="thin">
        <color theme="0" tint="-0.249977111117893"/>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249977111117893"/>
      </top>
      <bottom style="thin">
        <color theme="0" tint="-0.249977111117893"/>
      </bottom>
      <diagonal/>
    </border>
    <border>
      <left style="thin">
        <color theme="0" tint="-0.34998626667073579"/>
      </left>
      <right/>
      <top/>
      <bottom/>
      <diagonal/>
    </border>
    <border>
      <left style="thin">
        <color theme="0" tint="-0.34998626667073579"/>
      </left>
      <right style="thin">
        <color theme="0" tint="-0.34998626667073579"/>
      </right>
      <top style="thin">
        <color theme="0" tint="-0.249977111117893"/>
      </top>
      <bottom style="medium">
        <color theme="1" tint="4.9989318521683403E-2"/>
      </bottom>
      <diagonal/>
    </border>
    <border>
      <left/>
      <right/>
      <top style="thin">
        <color indexed="64"/>
      </top>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theme="0" tint="-0.34998626667073579"/>
      </right>
      <top style="thin">
        <color theme="0" tint="-0.249977111117893"/>
      </top>
      <bottom style="medium">
        <color indexed="64"/>
      </bottom>
      <diagonal/>
    </border>
    <border>
      <left/>
      <right style="thin">
        <color theme="0" tint="-0.34998626667073579"/>
      </right>
      <top style="thin">
        <color theme="0" tint="-0.249977111117893"/>
      </top>
      <bottom/>
      <diagonal/>
    </border>
    <border>
      <left style="thin">
        <color auto="1"/>
      </left>
      <right/>
      <top/>
      <bottom/>
      <diagonal/>
    </border>
    <border>
      <left style="thin">
        <color indexed="64"/>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medium">
        <color indexed="64"/>
      </top>
      <bottom/>
      <diagonal/>
    </border>
    <border>
      <left/>
      <right style="thin">
        <color indexed="64"/>
      </right>
      <top/>
      <bottom style="medium">
        <color indexed="64"/>
      </bottom>
      <diagonal/>
    </border>
    <border>
      <left style="medium">
        <color auto="1"/>
      </left>
      <right style="thin">
        <color theme="0" tint="-0.249977111117893"/>
      </right>
      <top style="medium">
        <color auto="1"/>
      </top>
      <bottom style="thin">
        <color auto="1"/>
      </bottom>
      <diagonal/>
    </border>
    <border>
      <left style="thin">
        <color indexed="64"/>
      </left>
      <right/>
      <top style="medium">
        <color auto="1"/>
      </top>
      <bottom/>
      <diagonal/>
    </border>
    <border>
      <left style="thin">
        <color indexed="64"/>
      </left>
      <right/>
      <top/>
      <bottom style="medium">
        <color indexed="64"/>
      </bottom>
      <diagonal/>
    </border>
    <border>
      <left/>
      <right style="thin">
        <color indexed="64"/>
      </right>
      <top style="medium">
        <color indexed="64"/>
      </top>
      <bottom style="thin">
        <color auto="1"/>
      </bottom>
      <diagonal/>
    </border>
    <border>
      <left style="thin">
        <color indexed="64"/>
      </left>
      <right style="thin">
        <color indexed="8"/>
      </right>
      <top/>
      <bottom/>
      <diagonal/>
    </border>
    <border>
      <left/>
      <right style="thin">
        <color auto="1"/>
      </right>
      <top/>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24994659260841701"/>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thin">
        <color theme="0" tint="-0.34998626667073579"/>
      </right>
      <top/>
      <bottom/>
      <diagonal/>
    </border>
    <border>
      <left/>
      <right style="thin">
        <color theme="0" tint="-0.34998626667073579"/>
      </right>
      <top style="thin">
        <color theme="0" tint="-0.249977111117893"/>
      </top>
      <bottom style="thin">
        <color theme="0" tint="-0.249977111117893"/>
      </bottom>
      <diagonal/>
    </border>
    <border>
      <left/>
      <right style="thin">
        <color theme="0" tint="-0.34998626667073579"/>
      </right>
      <top style="thin">
        <color theme="0" tint="-0.249977111117893"/>
      </top>
      <bottom style="medium">
        <color theme="1" tint="4.9989318521683403E-2"/>
      </bottom>
      <diagonal/>
    </border>
    <border>
      <left/>
      <right style="thin">
        <color theme="0" tint="-0.34998626667073579"/>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8"/>
      </right>
      <top style="thin">
        <color indexed="64"/>
      </top>
      <bottom style="thin">
        <color indexed="64"/>
      </bottom>
      <diagonal/>
    </border>
    <border>
      <left/>
      <right/>
      <top style="thin">
        <color indexed="64"/>
      </top>
      <bottom style="thin">
        <color indexed="8"/>
      </bottom>
      <diagonal/>
    </border>
    <border>
      <left/>
      <right/>
      <top/>
      <bottom style="thin">
        <color auto="1"/>
      </bottom>
      <diagonal/>
    </border>
    <border>
      <left/>
      <right/>
      <top style="thin">
        <color indexed="8"/>
      </top>
      <bottom/>
      <diagonal/>
    </border>
    <border>
      <left style="thin">
        <color indexed="8"/>
      </left>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8"/>
      </bottom>
      <diagonal/>
    </border>
    <border>
      <left/>
      <right style="thin">
        <color indexed="64"/>
      </right>
      <top style="thin">
        <color indexed="64"/>
      </top>
      <bottom/>
      <diagonal/>
    </border>
    <border>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auto="1"/>
      </top>
      <bottom style="thin">
        <color indexed="64"/>
      </bottom>
      <diagonal/>
    </border>
    <border>
      <left/>
      <right/>
      <top style="thin">
        <color indexed="8"/>
      </top>
      <bottom/>
      <diagonal/>
    </border>
    <border>
      <left/>
      <right style="thin">
        <color indexed="8"/>
      </right>
      <top style="thin">
        <color indexed="8"/>
      </top>
      <bottom style="thin">
        <color indexed="64"/>
      </bottom>
      <diagonal/>
    </border>
    <border>
      <left/>
      <right/>
      <top style="thin">
        <color indexed="64"/>
      </top>
      <bottom/>
      <diagonal/>
    </border>
    <border>
      <left style="thin">
        <color indexed="64"/>
      </left>
      <right style="thin">
        <color indexed="64"/>
      </right>
      <top style="thin">
        <color indexed="8"/>
      </top>
      <bottom/>
      <diagonal/>
    </border>
    <border>
      <left/>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64"/>
      </top>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8"/>
      </right>
      <top style="thin">
        <color indexed="8"/>
      </top>
      <bottom style="thin">
        <color indexed="8"/>
      </bottom>
      <diagonal/>
    </border>
    <border>
      <left style="thin">
        <color indexed="64"/>
      </left>
      <right/>
      <top style="thin">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style="thin">
        <color indexed="64"/>
      </top>
      <bottom style="thin">
        <color indexed="8"/>
      </bottom>
      <diagonal/>
    </border>
    <border>
      <left style="thin">
        <color indexed="64"/>
      </left>
      <right style="thin">
        <color indexed="8"/>
      </right>
      <top/>
      <bottom style="thin">
        <color indexed="8"/>
      </bottom>
      <diagonal/>
    </border>
    <border>
      <left style="thin">
        <color indexed="64"/>
      </left>
      <right/>
      <top style="thin">
        <color indexed="64"/>
      </top>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top style="thin">
        <color indexed="8"/>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8"/>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64"/>
      </left>
      <right style="thin">
        <color indexed="8"/>
      </right>
      <top style="thin">
        <color indexed="8"/>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64"/>
      </left>
      <right style="thin">
        <color indexed="8"/>
      </right>
      <top style="thin">
        <color indexed="8"/>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theme="0" tint="-0.24994659260841701"/>
      </bottom>
      <diagonal/>
    </border>
    <border>
      <left/>
      <right/>
      <top style="thin">
        <color auto="1"/>
      </top>
      <bottom style="thin">
        <color theme="0" tint="-0.24994659260841701"/>
      </bottom>
      <diagonal/>
    </border>
    <border>
      <left/>
      <right style="thin">
        <color indexed="64"/>
      </right>
      <top style="thin">
        <color auto="1"/>
      </top>
      <bottom style="thin">
        <color theme="0" tint="-0.24994659260841701"/>
      </bottom>
      <diagonal/>
    </border>
    <border>
      <left style="thin">
        <color indexed="64"/>
      </left>
      <right style="thin">
        <color indexed="64"/>
      </right>
      <top style="thin">
        <color indexed="64"/>
      </top>
      <bottom style="thin">
        <color indexed="64"/>
      </bottom>
      <diagonal/>
    </border>
    <border>
      <left style="medium">
        <color auto="1"/>
      </left>
      <right style="thin">
        <color theme="0" tint="-0.249977111117893"/>
      </right>
      <top style="thin">
        <color auto="1"/>
      </top>
      <bottom style="thin">
        <color auto="1"/>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thin">
        <color theme="0" tint="-0.249977111117893"/>
      </right>
      <top style="thin">
        <color auto="1"/>
      </top>
      <bottom style="medium">
        <color auto="1"/>
      </bottom>
      <diagonal/>
    </border>
    <border>
      <left/>
      <right style="thin">
        <color indexed="64"/>
      </right>
      <top style="thin">
        <color indexed="64"/>
      </top>
      <bottom/>
      <diagonal/>
    </border>
    <border>
      <left style="thin">
        <color auto="1"/>
      </left>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indexed="64"/>
      </right>
      <top style="thin">
        <color auto="1"/>
      </top>
      <bottom style="thin">
        <color theme="0" tint="-0.2499465926084170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64"/>
      </top>
      <bottom style="thin">
        <color indexed="64"/>
      </bottom>
      <diagonal/>
    </border>
    <border>
      <left style="medium">
        <color indexed="64"/>
      </left>
      <right/>
      <top style="medium">
        <color indexed="64"/>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64"/>
      </top>
      <bottom style="medium">
        <color indexed="64"/>
      </bottom>
      <diagonal/>
    </border>
    <border>
      <left/>
      <right/>
      <top style="thin">
        <color indexed="8"/>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auto="1"/>
      </bottom>
      <diagonal/>
    </border>
    <border>
      <left style="thin">
        <color indexed="64"/>
      </left>
      <right style="thin">
        <color auto="1"/>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8"/>
      </right>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8"/>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medium">
        <color indexed="64"/>
      </right>
      <top style="thin">
        <color indexed="8"/>
      </top>
      <bottom/>
      <diagonal/>
    </border>
    <border>
      <left/>
      <right/>
      <top style="thin">
        <color indexed="64"/>
      </top>
      <bottom style="thin">
        <color indexed="64"/>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style="medium">
        <color indexed="64"/>
      </right>
      <top style="thin">
        <color indexed="8"/>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bottom style="thin">
        <color indexed="8"/>
      </bottom>
      <diagonal/>
    </border>
    <border>
      <left style="thin">
        <color indexed="64"/>
      </left>
      <right/>
      <top style="thin">
        <color auto="1"/>
      </top>
      <bottom style="thin">
        <color indexed="64"/>
      </bottom>
      <diagonal/>
    </border>
    <border>
      <left/>
      <right/>
      <top style="thin">
        <color indexed="64"/>
      </top>
      <bottom/>
      <diagonal/>
    </border>
    <border>
      <left/>
      <right/>
      <top style="thin">
        <color indexed="8"/>
      </top>
      <bottom/>
      <diagonal/>
    </border>
    <border>
      <left/>
      <right/>
      <top/>
      <bottom style="thin">
        <color indexed="64"/>
      </bottom>
      <diagonal/>
    </border>
    <border>
      <left/>
      <right style="thin">
        <color indexed="64"/>
      </right>
      <top style="double">
        <color auto="1"/>
      </top>
      <bottom style="double">
        <color auto="1"/>
      </bottom>
      <diagonal/>
    </border>
    <border>
      <left/>
      <right style="thin">
        <color indexed="64"/>
      </right>
      <top style="thin">
        <color indexed="64"/>
      </top>
      <bottom style="thin">
        <color indexed="64"/>
      </bottom>
      <diagonal/>
    </border>
    <border>
      <left style="thin">
        <color indexed="64"/>
      </left>
      <right/>
      <top style="double">
        <color auto="1"/>
      </top>
      <bottom style="double">
        <color auto="1"/>
      </bottom>
      <diagonal/>
    </border>
    <border>
      <left style="thin">
        <color indexed="64"/>
      </left>
      <right/>
      <top/>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style="thin">
        <color indexed="8"/>
      </top>
      <bottom style="thin">
        <color indexed="8"/>
      </bottom>
      <diagonal/>
    </border>
  </borders>
  <cellStyleXfs count="14">
    <xf numFmtId="37" fontId="0"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37" fontId="6" fillId="0" borderId="0"/>
    <xf numFmtId="44" fontId="4" fillId="0" borderId="0" applyFont="0" applyFill="0" applyBorder="0" applyAlignment="0" applyProtection="0"/>
    <xf numFmtId="9" fontId="4" fillId="0" borderId="0" applyFont="0" applyFill="0" applyBorder="0" applyAlignment="0" applyProtection="0"/>
    <xf numFmtId="43" fontId="6" fillId="0" borderId="0" applyFont="0" applyFill="0" applyBorder="0" applyAlignment="0" applyProtection="0"/>
    <xf numFmtId="37" fontId="45" fillId="0" borderId="0" applyNumberFormat="0" applyFill="0" applyBorder="0" applyAlignment="0" applyProtection="0"/>
    <xf numFmtId="0" fontId="2" fillId="0" borderId="0"/>
    <xf numFmtId="43" fontId="4" fillId="0" borderId="0" applyFont="0" applyFill="0" applyBorder="0" applyAlignment="0" applyProtection="0"/>
    <xf numFmtId="37" fontId="4" fillId="0" borderId="0" applyFont="0" applyFill="0" applyBorder="0" applyAlignment="0" applyProtection="0"/>
    <xf numFmtId="0" fontId="1" fillId="0" borderId="0"/>
    <xf numFmtId="0" fontId="136" fillId="0" borderId="0"/>
  </cellStyleXfs>
  <cellXfs count="2006">
    <xf numFmtId="37" fontId="0" fillId="0" borderId="0" xfId="0"/>
    <xf numFmtId="37" fontId="0" fillId="0" borderId="0" xfId="0" applyAlignment="1">
      <alignment horizontal="centerContinuous"/>
    </xf>
    <xf numFmtId="37" fontId="0" fillId="0" borderId="0" xfId="0" applyAlignment="1">
      <alignment horizontal="centerContinuous" wrapText="1"/>
    </xf>
    <xf numFmtId="37" fontId="0" fillId="0" borderId="0" xfId="0" applyAlignment="1">
      <alignment horizontal="right"/>
    </xf>
    <xf numFmtId="37" fontId="10" fillId="0" borderId="0" xfId="0" applyFont="1"/>
    <xf numFmtId="37" fontId="0" fillId="0" borderId="0" xfId="0" applyAlignment="1">
      <alignment horizontal="center" wrapText="1"/>
    </xf>
    <xf numFmtId="37" fontId="9" fillId="0" borderId="0" xfId="0" applyFont="1" applyAlignment="1">
      <alignment horizontal="centerContinuous"/>
    </xf>
    <xf numFmtId="37" fontId="0" fillId="0" borderId="0" xfId="0" applyProtection="1">
      <protection locked="0"/>
    </xf>
    <xf numFmtId="0" fontId="31" fillId="0" borderId="0" xfId="0" applyNumberFormat="1" applyFont="1" applyAlignment="1" applyProtection="1">
      <alignment horizontal="center"/>
      <protection locked="0"/>
    </xf>
    <xf numFmtId="37" fontId="0" fillId="0" borderId="0" xfId="0" applyAlignment="1" applyProtection="1">
      <alignment horizontal="right"/>
      <protection locked="0"/>
    </xf>
    <xf numFmtId="37" fontId="0" fillId="0" borderId="0" xfId="0" applyAlignment="1" applyProtection="1">
      <alignment horizontal="left"/>
      <protection locked="0"/>
    </xf>
    <xf numFmtId="37" fontId="10" fillId="0" borderId="0" xfId="0" applyFont="1" applyAlignment="1">
      <alignment horizontal="left" indent="1"/>
    </xf>
    <xf numFmtId="37" fontId="0" fillId="0" borderId="0" xfId="0" applyAlignment="1">
      <alignment horizontal="left" indent="1"/>
    </xf>
    <xf numFmtId="37" fontId="5" fillId="0" borderId="0" xfId="0" applyFont="1" applyAlignment="1">
      <alignment horizontal="left" indent="1"/>
    </xf>
    <xf numFmtId="14" fontId="10" fillId="0" borderId="0" xfId="0" applyNumberFormat="1" applyFont="1" applyAlignment="1">
      <alignment horizontal="left" indent="1"/>
    </xf>
    <xf numFmtId="37" fontId="9" fillId="0" borderId="0" xfId="0" applyFont="1" applyAlignment="1">
      <alignment horizontal="left" indent="1"/>
    </xf>
    <xf numFmtId="5" fontId="34" fillId="0" borderId="0" xfId="0" applyNumberFormat="1" applyFont="1"/>
    <xf numFmtId="37" fontId="34" fillId="0" borderId="0" xfId="0" applyFont="1"/>
    <xf numFmtId="43" fontId="46" fillId="0" borderId="0" xfId="7" applyFont="1" applyAlignment="1" applyProtection="1">
      <alignment horizontal="right"/>
      <protection locked="0"/>
    </xf>
    <xf numFmtId="37" fontId="49" fillId="0" borderId="0" xfId="0" applyFont="1"/>
    <xf numFmtId="37" fontId="44" fillId="0" borderId="0" xfId="0" applyFont="1"/>
    <xf numFmtId="37" fontId="34" fillId="0" borderId="0" xfId="0" applyFont="1" applyAlignment="1">
      <alignment horizontal="right"/>
    </xf>
    <xf numFmtId="37" fontId="5" fillId="0" borderId="0" xfId="0" applyFont="1" applyAlignment="1">
      <alignment horizontal="left" indent="2"/>
    </xf>
    <xf numFmtId="37" fontId="10" fillId="0" borderId="0" xfId="0" applyFont="1" applyAlignment="1">
      <alignment horizontal="left" indent="2"/>
    </xf>
    <xf numFmtId="37" fontId="35" fillId="0" borderId="0" xfId="0" applyFont="1" applyAlignment="1" applyProtection="1">
      <alignment horizontal="left" indent="1"/>
      <protection locked="0"/>
    </xf>
    <xf numFmtId="37" fontId="0" fillId="0" borderId="12" xfId="0" applyBorder="1" applyAlignment="1">
      <alignment horizontal="left" indent="1"/>
    </xf>
    <xf numFmtId="37" fontId="33" fillId="0" borderId="0" xfId="0" applyFont="1" applyAlignment="1" applyProtection="1">
      <alignment vertical="center"/>
      <protection locked="0"/>
    </xf>
    <xf numFmtId="10" fontId="10" fillId="13" borderId="22" xfId="2" applyNumberFormat="1" applyFont="1" applyFill="1" applyBorder="1" applyProtection="1"/>
    <xf numFmtId="37" fontId="50" fillId="0" borderId="0" xfId="0" applyFont="1" applyAlignment="1">
      <alignment horizontal="right"/>
    </xf>
    <xf numFmtId="37" fontId="0" fillId="0" borderId="0" xfId="0" applyAlignment="1" applyProtection="1">
      <alignment horizontal="right" indent="1"/>
      <protection locked="0"/>
    </xf>
    <xf numFmtId="37" fontId="9" fillId="0" borderId="0" xfId="0" applyFont="1" applyAlignment="1">
      <alignment horizontal="left" vertical="center"/>
    </xf>
    <xf numFmtId="37" fontId="9" fillId="0" borderId="0" xfId="0" applyFont="1" applyAlignment="1">
      <alignment horizontal="left" vertical="center" indent="1"/>
    </xf>
    <xf numFmtId="176" fontId="0" fillId="0" borderId="0" xfId="7" applyNumberFormat="1" applyFont="1" applyFill="1" applyBorder="1" applyAlignment="1" applyProtection="1">
      <alignment horizontal="right"/>
      <protection locked="0"/>
    </xf>
    <xf numFmtId="37" fontId="0" fillId="3" borderId="52" xfId="0" quotePrefix="1" applyFill="1" applyBorder="1" applyAlignment="1">
      <alignment horizontal="center"/>
    </xf>
    <xf numFmtId="14" fontId="0" fillId="0" borderId="0" xfId="0" applyNumberFormat="1" applyAlignment="1" applyProtection="1">
      <alignment horizontal="left"/>
      <protection locked="0"/>
    </xf>
    <xf numFmtId="14" fontId="0" fillId="0" borderId="0" xfId="0" applyNumberFormat="1" applyAlignment="1" applyProtection="1">
      <alignment horizontal="left" indent="1"/>
      <protection locked="0"/>
    </xf>
    <xf numFmtId="37" fontId="32" fillId="0" borderId="0" xfId="4" applyFont="1" applyAlignment="1" applyProtection="1">
      <alignment horizontal="left" vertical="center" indent="1"/>
      <protection locked="0"/>
    </xf>
    <xf numFmtId="37" fontId="32" fillId="0" borderId="0" xfId="4" applyFont="1" applyAlignment="1" applyProtection="1">
      <alignment vertical="center"/>
      <protection locked="0"/>
    </xf>
    <xf numFmtId="37" fontId="0" fillId="0" borderId="35" xfId="0" applyBorder="1" applyProtection="1">
      <protection locked="0"/>
    </xf>
    <xf numFmtId="37" fontId="0" fillId="0" borderId="0" xfId="0" applyAlignment="1" applyProtection="1">
      <alignment horizontal="left" wrapText="1" indent="1"/>
      <protection locked="0"/>
    </xf>
    <xf numFmtId="37" fontId="42" fillId="0" borderId="0" xfId="0" applyFont="1" applyAlignment="1">
      <alignment horizontal="right" indent="1"/>
    </xf>
    <xf numFmtId="37" fontId="0" fillId="0" borderId="0" xfId="0" applyAlignment="1" applyProtection="1">
      <alignment horizontal="centerContinuous"/>
      <protection locked="0"/>
    </xf>
    <xf numFmtId="37" fontId="42" fillId="0" borderId="0" xfId="0" applyFont="1" applyAlignment="1" applyProtection="1">
      <alignment horizontal="right" indent="1"/>
      <protection locked="0"/>
    </xf>
    <xf numFmtId="37" fontId="10" fillId="0" borderId="0" xfId="0" applyFont="1" applyProtection="1">
      <protection locked="0"/>
    </xf>
    <xf numFmtId="37" fontId="0" fillId="0" borderId="0" xfId="0" applyAlignment="1" applyProtection="1">
      <alignment horizontal="left" indent="1"/>
      <protection locked="0"/>
    </xf>
    <xf numFmtId="37" fontId="15" fillId="0" borderId="0" xfId="0" applyFont="1" applyAlignment="1" applyProtection="1">
      <alignment horizontal="center" wrapText="1"/>
      <protection locked="0"/>
    </xf>
    <xf numFmtId="168" fontId="0" fillId="0" borderId="0" xfId="0" applyNumberFormat="1" applyProtection="1">
      <protection locked="0"/>
    </xf>
    <xf numFmtId="37" fontId="10" fillId="0" borderId="0" xfId="0" applyFont="1" applyAlignment="1" applyProtection="1">
      <alignment horizontal="left" indent="1"/>
      <protection locked="0"/>
    </xf>
    <xf numFmtId="168" fontId="10" fillId="0" borderId="0" xfId="0" applyNumberFormat="1" applyFont="1" applyProtection="1">
      <protection locked="0"/>
    </xf>
    <xf numFmtId="176" fontId="0" fillId="0" borderId="0" xfId="7" applyNumberFormat="1" applyFont="1" applyFill="1" applyBorder="1" applyProtection="1">
      <protection locked="0"/>
    </xf>
    <xf numFmtId="169" fontId="0" fillId="0" borderId="0" xfId="0" applyNumberFormat="1" applyProtection="1">
      <protection locked="0"/>
    </xf>
    <xf numFmtId="37" fontId="0" fillId="16" borderId="0" xfId="0" applyFill="1" applyProtection="1">
      <protection locked="0"/>
    </xf>
    <xf numFmtId="37" fontId="25" fillId="0" borderId="0" xfId="0" applyFont="1" applyProtection="1">
      <protection locked="0"/>
    </xf>
    <xf numFmtId="37" fontId="44" fillId="0" borderId="0" xfId="0" applyFont="1" applyProtection="1">
      <protection locked="0"/>
    </xf>
    <xf numFmtId="37" fontId="0" fillId="0" borderId="0" xfId="0" quotePrefix="1" applyProtection="1">
      <protection locked="0"/>
    </xf>
    <xf numFmtId="168" fontId="10" fillId="0" borderId="0" xfId="1" applyNumberFormat="1" applyFont="1" applyFill="1" applyBorder="1" applyProtection="1">
      <protection locked="0"/>
    </xf>
    <xf numFmtId="37" fontId="5" fillId="0" borderId="0" xfId="0" applyFont="1" applyAlignment="1" applyProtection="1">
      <alignment horizontal="center" wrapText="1"/>
      <protection locked="0"/>
    </xf>
    <xf numFmtId="37" fontId="6" fillId="0" borderId="0" xfId="0" applyFont="1" applyAlignment="1" applyProtection="1">
      <alignment horizontal="left" indent="1"/>
      <protection locked="0"/>
    </xf>
    <xf numFmtId="168" fontId="0" fillId="0" borderId="0" xfId="1" applyNumberFormat="1" applyFont="1" applyFill="1" applyBorder="1" applyAlignment="1" applyProtection="1">
      <alignment horizontal="left"/>
      <protection locked="0"/>
    </xf>
    <xf numFmtId="37" fontId="5" fillId="0" borderId="0" xfId="0" applyFont="1" applyAlignment="1" applyProtection="1">
      <alignment horizontal="left" indent="1"/>
      <protection locked="0"/>
    </xf>
    <xf numFmtId="168" fontId="10" fillId="0" borderId="0" xfId="1" applyNumberFormat="1" applyFont="1" applyFill="1" applyBorder="1" applyAlignment="1" applyProtection="1">
      <alignment horizontal="right"/>
      <protection locked="0"/>
    </xf>
    <xf numFmtId="37" fontId="49" fillId="0" borderId="0" xfId="0" applyFont="1" applyProtection="1">
      <protection locked="0"/>
    </xf>
    <xf numFmtId="166" fontId="0" fillId="0" borderId="0" xfId="0" applyNumberFormat="1" applyProtection="1">
      <protection locked="0"/>
    </xf>
    <xf numFmtId="9" fontId="0" fillId="0" borderId="0" xfId="2" applyFont="1" applyFill="1" applyProtection="1">
      <protection locked="0"/>
    </xf>
    <xf numFmtId="37" fontId="34" fillId="0" borderId="0" xfId="0" quotePrefix="1" applyFont="1" applyProtection="1">
      <protection locked="0"/>
    </xf>
    <xf numFmtId="37" fontId="47" fillId="0" borderId="0" xfId="0" applyFont="1" applyAlignment="1">
      <alignment horizontal="left" indent="2"/>
    </xf>
    <xf numFmtId="37" fontId="44" fillId="0" borderId="0" xfId="0" applyFont="1" applyAlignment="1">
      <alignment horizontal="center"/>
    </xf>
    <xf numFmtId="37" fontId="10" fillId="0" borderId="0" xfId="0" applyFont="1" applyAlignment="1">
      <alignment horizontal="center"/>
    </xf>
    <xf numFmtId="37" fontId="25" fillId="0" borderId="0" xfId="0" applyFont="1"/>
    <xf numFmtId="173" fontId="0" fillId="0" borderId="0" xfId="0" applyNumberFormat="1" applyAlignment="1" applyProtection="1">
      <alignment horizontal="center"/>
      <protection locked="0"/>
    </xf>
    <xf numFmtId="37" fontId="6" fillId="0" borderId="0" xfId="0" applyFont="1" applyProtection="1">
      <protection locked="0"/>
    </xf>
    <xf numFmtId="42" fontId="0" fillId="0" borderId="0" xfId="0" applyNumberFormat="1" applyProtection="1">
      <protection locked="0"/>
    </xf>
    <xf numFmtId="37" fontId="51" fillId="0" borderId="0" xfId="0" applyFont="1" applyAlignment="1" applyProtection="1">
      <alignment horizontal="left" indent="1"/>
      <protection locked="0"/>
    </xf>
    <xf numFmtId="37" fontId="0" fillId="0" borderId="0" xfId="0" applyAlignment="1" applyProtection="1">
      <alignment horizontal="left" indent="2"/>
      <protection locked="0"/>
    </xf>
    <xf numFmtId="37" fontId="35" fillId="0" borderId="0" xfId="0" applyFont="1" applyAlignment="1" applyProtection="1">
      <alignment horizontal="left" vertical="center" indent="1"/>
      <protection locked="0"/>
    </xf>
    <xf numFmtId="37" fontId="0" fillId="0" borderId="0" xfId="0" applyAlignment="1" applyProtection="1">
      <alignment horizontal="left" vertical="center" indent="1"/>
      <protection locked="0"/>
    </xf>
    <xf numFmtId="37" fontId="0" fillId="0" borderId="0" xfId="0" applyAlignment="1" applyProtection="1">
      <alignment horizontal="left" vertical="center" wrapText="1" indent="1"/>
      <protection locked="0"/>
    </xf>
    <xf numFmtId="37" fontId="10" fillId="0" borderId="0" xfId="0" applyFont="1" applyAlignment="1" applyProtection="1">
      <alignment horizontal="center" vertical="center"/>
      <protection locked="0"/>
    </xf>
    <xf numFmtId="37" fontId="54" fillId="0" borderId="0" xfId="0" applyFont="1" applyAlignment="1" applyProtection="1">
      <alignment horizontal="center" wrapText="1"/>
      <protection locked="0"/>
    </xf>
    <xf numFmtId="37" fontId="5" fillId="0" borderId="0" xfId="0" applyFont="1" applyProtection="1">
      <protection locked="0"/>
    </xf>
    <xf numFmtId="37" fontId="5" fillId="0" borderId="0" xfId="0" applyFont="1" applyAlignment="1" applyProtection="1">
      <alignment horizontal="centerContinuous"/>
      <protection locked="0"/>
    </xf>
    <xf numFmtId="37" fontId="0" fillId="16" borderId="1" xfId="0" applyFill="1" applyBorder="1" applyProtection="1">
      <protection locked="0"/>
    </xf>
    <xf numFmtId="37" fontId="6" fillId="0" borderId="0" xfId="0" applyFont="1" applyAlignment="1" applyProtection="1">
      <alignment horizontal="centerContinuous"/>
      <protection locked="0"/>
    </xf>
    <xf numFmtId="37" fontId="18" fillId="0" borderId="0" xfId="0" applyFont="1" applyAlignment="1" applyProtection="1">
      <alignment horizontal="center"/>
      <protection locked="0"/>
    </xf>
    <xf numFmtId="37" fontId="20" fillId="0" borderId="0" xfId="0" applyFont="1" applyProtection="1">
      <protection locked="0"/>
    </xf>
    <xf numFmtId="37" fontId="10" fillId="0" borderId="0" xfId="0" quotePrefix="1" applyFont="1" applyAlignment="1" applyProtection="1">
      <alignment horizontal="left" vertical="center" indent="1"/>
      <protection locked="0"/>
    </xf>
    <xf numFmtId="176" fontId="10" fillId="0" borderId="0" xfId="7" applyNumberFormat="1" applyFont="1" applyAlignment="1" applyProtection="1">
      <alignment horizontal="left" indent="1"/>
      <protection locked="0"/>
    </xf>
    <xf numFmtId="37" fontId="9" fillId="0" borderId="0" xfId="0" applyFont="1" applyAlignment="1" applyProtection="1">
      <alignment horizontal="left" indent="1"/>
      <protection locked="0"/>
    </xf>
    <xf numFmtId="10" fontId="0" fillId="0" borderId="0" xfId="0" applyNumberFormat="1" applyAlignment="1" applyProtection="1">
      <alignment horizontal="right"/>
      <protection locked="0"/>
    </xf>
    <xf numFmtId="37" fontId="5" fillId="0" borderId="0" xfId="0" applyFont="1" applyAlignment="1" applyProtection="1">
      <alignment horizontal="right"/>
      <protection locked="0"/>
    </xf>
    <xf numFmtId="37" fontId="9" fillId="0" borderId="0" xfId="0" applyFont="1" applyProtection="1">
      <protection locked="0"/>
    </xf>
    <xf numFmtId="172" fontId="0" fillId="0" borderId="0" xfId="0" quotePrefix="1" applyNumberFormat="1" applyAlignment="1" applyProtection="1">
      <alignment horizontal="left"/>
      <protection locked="0"/>
    </xf>
    <xf numFmtId="37" fontId="0" fillId="0" borderId="0" xfId="0" applyAlignment="1" applyProtection="1">
      <alignment horizontal="center"/>
      <protection locked="0"/>
    </xf>
    <xf numFmtId="37" fontId="12" fillId="0" borderId="0" xfId="0" applyFont="1" applyAlignment="1" applyProtection="1">
      <alignment horizontal="center"/>
      <protection locked="0"/>
    </xf>
    <xf numFmtId="37" fontId="13" fillId="0" borderId="0" xfId="0" applyFont="1" applyAlignment="1" applyProtection="1">
      <alignment horizontal="center"/>
      <protection locked="0"/>
    </xf>
    <xf numFmtId="14" fontId="0" fillId="0" borderId="0" xfId="0" applyNumberFormat="1" applyProtection="1">
      <protection locked="0"/>
    </xf>
    <xf numFmtId="14" fontId="10" fillId="0" borderId="0" xfId="0" applyNumberFormat="1" applyFont="1" applyAlignment="1" applyProtection="1">
      <alignment horizontal="center"/>
      <protection locked="0"/>
    </xf>
    <xf numFmtId="37" fontId="15" fillId="0" borderId="0" xfId="0" applyFont="1" applyAlignment="1" applyProtection="1">
      <alignment horizontal="center"/>
      <protection locked="0"/>
    </xf>
    <xf numFmtId="37" fontId="35" fillId="0" borderId="0" xfId="0" applyFont="1" applyAlignment="1" applyProtection="1">
      <alignment horizontal="left"/>
      <protection locked="0"/>
    </xf>
    <xf numFmtId="37" fontId="10" fillId="0" borderId="0" xfId="0" applyFont="1" applyAlignment="1" applyProtection="1">
      <alignment horizontal="right"/>
      <protection locked="0"/>
    </xf>
    <xf numFmtId="37" fontId="10" fillId="0" borderId="0" xfId="0" applyFont="1" applyAlignment="1" applyProtection="1">
      <alignment horizontal="left"/>
      <protection locked="0"/>
    </xf>
    <xf numFmtId="37" fontId="29" fillId="0" borderId="0" xfId="0" applyFont="1" applyAlignment="1" applyProtection="1">
      <alignment horizontal="center"/>
      <protection locked="0"/>
    </xf>
    <xf numFmtId="176" fontId="10" fillId="0" borderId="0" xfId="7" applyNumberFormat="1" applyFont="1" applyFill="1" applyBorder="1" applyProtection="1">
      <protection locked="0"/>
    </xf>
    <xf numFmtId="37" fontId="0" fillId="0" borderId="0" xfId="0" applyAlignment="1" applyProtection="1">
      <alignment horizontal="centerContinuous" wrapText="1"/>
      <protection locked="0"/>
    </xf>
    <xf numFmtId="174" fontId="0" fillId="0" borderId="0" xfId="0" applyNumberFormat="1" applyProtection="1">
      <protection locked="0"/>
    </xf>
    <xf numFmtId="37" fontId="51" fillId="0" borderId="0" xfId="0" applyFont="1" applyAlignment="1" applyProtection="1">
      <alignment horizontal="left" wrapText="1" indent="1"/>
      <protection locked="0"/>
    </xf>
    <xf numFmtId="37" fontId="11" fillId="0" borderId="0" xfId="0" applyFont="1" applyAlignment="1" applyProtection="1">
      <alignment horizontal="left" indent="1"/>
      <protection locked="0"/>
    </xf>
    <xf numFmtId="37" fontId="11" fillId="0" borderId="0" xfId="0" applyFont="1" applyAlignment="1" applyProtection="1">
      <alignment horizontal="right" indent="1"/>
      <protection locked="0"/>
    </xf>
    <xf numFmtId="37" fontId="11" fillId="0" borderId="0" xfId="0" applyFont="1" applyAlignment="1" applyProtection="1">
      <alignment horizontal="right"/>
      <protection locked="0"/>
    </xf>
    <xf numFmtId="37" fontId="36" fillId="0" borderId="0" xfId="0" applyFont="1" applyProtection="1">
      <protection locked="0"/>
    </xf>
    <xf numFmtId="9" fontId="0" fillId="0" borderId="0" xfId="0" applyNumberFormat="1" applyAlignment="1" applyProtection="1">
      <alignment horizontal="center"/>
      <protection locked="0"/>
    </xf>
    <xf numFmtId="37" fontId="0" fillId="0" borderId="0" xfId="0" applyAlignment="1" applyProtection="1">
      <alignment vertical="center" wrapText="1"/>
      <protection locked="0"/>
    </xf>
    <xf numFmtId="37" fontId="0" fillId="0" borderId="0" xfId="0" applyAlignment="1" applyProtection="1">
      <alignment horizontal="center" vertical="center"/>
      <protection locked="0"/>
    </xf>
    <xf numFmtId="37" fontId="0" fillId="0" borderId="0" xfId="0" applyAlignment="1" applyProtection="1">
      <alignment vertical="center"/>
      <protection locked="0"/>
    </xf>
    <xf numFmtId="37" fontId="25" fillId="0" borderId="0" xfId="0" applyFont="1" applyAlignment="1" applyProtection="1">
      <alignment horizontal="left" wrapText="1" indent="1"/>
      <protection locked="0"/>
    </xf>
    <xf numFmtId="37" fontId="25" fillId="0" borderId="0" xfId="0" applyFont="1" applyAlignment="1" applyProtection="1">
      <alignment horizontal="left" wrapText="1"/>
      <protection locked="0"/>
    </xf>
    <xf numFmtId="37" fontId="31" fillId="0" borderId="0" xfId="0" applyFont="1" applyAlignment="1" applyProtection="1">
      <alignment horizontal="center" vertical="center"/>
      <protection locked="0"/>
    </xf>
    <xf numFmtId="37" fontId="0" fillId="0" borderId="0" xfId="0" applyAlignment="1" applyProtection="1">
      <alignment wrapText="1"/>
      <protection locked="0"/>
    </xf>
    <xf numFmtId="37" fontId="52" fillId="0" borderId="0" xfId="0" applyFont="1" applyAlignment="1" applyProtection="1">
      <alignment horizontal="left" indent="1"/>
      <protection locked="0"/>
    </xf>
    <xf numFmtId="1" fontId="0" fillId="0" borderId="0" xfId="0" applyNumberFormat="1" applyProtection="1">
      <protection locked="0"/>
    </xf>
    <xf numFmtId="37" fontId="42" fillId="0" borderId="0" xfId="0" quotePrefix="1" applyFont="1" applyAlignment="1" applyProtection="1">
      <alignment horizontal="right" indent="1"/>
      <protection locked="0"/>
    </xf>
    <xf numFmtId="37" fontId="42" fillId="0" borderId="0" xfId="0" applyFont="1" applyAlignment="1" applyProtection="1">
      <alignment horizontal="right"/>
      <protection locked="0"/>
    </xf>
    <xf numFmtId="10" fontId="0" fillId="0" borderId="0" xfId="2" applyNumberFormat="1" applyFont="1" applyFill="1" applyBorder="1" applyAlignment="1" applyProtection="1">
      <alignment horizontal="right"/>
      <protection locked="0"/>
    </xf>
    <xf numFmtId="168" fontId="10" fillId="0" borderId="0" xfId="0" applyNumberFormat="1" applyFont="1" applyAlignment="1" applyProtection="1">
      <alignment horizontal="left"/>
      <protection locked="0"/>
    </xf>
    <xf numFmtId="37" fontId="0" fillId="0" borderId="0" xfId="0" applyAlignment="1" applyProtection="1">
      <alignment horizontal="center" wrapText="1"/>
      <protection locked="0"/>
    </xf>
    <xf numFmtId="37" fontId="10" fillId="0" borderId="0" xfId="0" applyFont="1" applyAlignment="1" applyProtection="1">
      <alignment horizontal="center"/>
      <protection locked="0"/>
    </xf>
    <xf numFmtId="37" fontId="0" fillId="0" borderId="0" xfId="0" applyAlignment="1" applyProtection="1">
      <alignment horizontal="left" vertical="top" wrapText="1" indent="2"/>
      <protection locked="0"/>
    </xf>
    <xf numFmtId="37" fontId="9" fillId="0" borderId="0" xfId="0" applyFont="1" applyAlignment="1" applyProtection="1">
      <alignment horizontal="left"/>
      <protection locked="0"/>
    </xf>
    <xf numFmtId="37" fontId="30" fillId="0" borderId="43" xfId="0" applyFont="1" applyBorder="1" applyProtection="1">
      <protection locked="0"/>
    </xf>
    <xf numFmtId="37" fontId="10" fillId="0" borderId="16" xfId="0" applyFont="1" applyBorder="1" applyAlignment="1" applyProtection="1">
      <alignment horizontal="left" indent="1"/>
      <protection locked="0"/>
    </xf>
    <xf numFmtId="49" fontId="29" fillId="0" borderId="43" xfId="0" applyNumberFormat="1" applyFont="1" applyBorder="1" applyProtection="1">
      <protection locked="0"/>
    </xf>
    <xf numFmtId="37" fontId="10" fillId="0" borderId="20" xfId="0" applyFont="1" applyBorder="1" applyAlignment="1" applyProtection="1">
      <alignment horizontal="left" indent="1"/>
      <protection locked="0"/>
    </xf>
    <xf numFmtId="37" fontId="10" fillId="0" borderId="18" xfId="0" applyFont="1" applyBorder="1" applyAlignment="1" applyProtection="1">
      <alignment horizontal="center" vertical="center"/>
      <protection locked="0"/>
    </xf>
    <xf numFmtId="37" fontId="10" fillId="20" borderId="18" xfId="0" applyFont="1" applyFill="1" applyBorder="1" applyAlignment="1" applyProtection="1">
      <alignment horizontal="center"/>
      <protection locked="0"/>
    </xf>
    <xf numFmtId="37" fontId="44" fillId="0" borderId="43" xfId="0" applyFont="1" applyBorder="1" applyAlignment="1" applyProtection="1">
      <alignment horizontal="left" indent="1"/>
      <protection locked="0"/>
    </xf>
    <xf numFmtId="37" fontId="30" fillId="0" borderId="43" xfId="0" applyFont="1" applyBorder="1" applyAlignment="1" applyProtection="1">
      <alignment horizontal="center"/>
      <protection locked="0"/>
    </xf>
    <xf numFmtId="37" fontId="0" fillId="0" borderId="0" xfId="0" applyAlignment="1" applyProtection="1">
      <alignment horizontal="left" wrapText="1"/>
      <protection locked="0"/>
    </xf>
    <xf numFmtId="37" fontId="30" fillId="0" borderId="12" xfId="0" applyFont="1" applyBorder="1" applyAlignment="1" applyProtection="1">
      <alignment horizontal="left" indent="1"/>
      <protection locked="0"/>
    </xf>
    <xf numFmtId="37" fontId="30" fillId="0" borderId="49" xfId="0" applyFont="1" applyBorder="1" applyAlignment="1" applyProtection="1">
      <alignment horizontal="center"/>
      <protection locked="0"/>
    </xf>
    <xf numFmtId="37" fontId="30" fillId="0" borderId="0" xfId="0" applyFont="1" applyAlignment="1" applyProtection="1">
      <alignment horizontal="left" indent="1"/>
      <protection locked="0"/>
    </xf>
    <xf numFmtId="37" fontId="30" fillId="0" borderId="43" xfId="0" applyFont="1" applyBorder="1" applyAlignment="1" applyProtection="1">
      <alignment horizontal="left" indent="1"/>
      <protection locked="0"/>
    </xf>
    <xf numFmtId="37" fontId="61" fillId="0" borderId="43" xfId="0" applyFont="1" applyBorder="1" applyProtection="1">
      <protection locked="0"/>
    </xf>
    <xf numFmtId="37" fontId="59" fillId="0" borderId="0" xfId="0" applyFont="1" applyProtection="1">
      <protection locked="0"/>
    </xf>
    <xf numFmtId="37" fontId="59" fillId="0" borderId="51" xfId="0" applyFont="1" applyBorder="1" applyAlignment="1" applyProtection="1">
      <alignment horizontal="center"/>
      <protection locked="0"/>
    </xf>
    <xf numFmtId="37" fontId="30" fillId="0" borderId="50" xfId="0" applyFont="1" applyBorder="1" applyAlignment="1" applyProtection="1">
      <alignment horizontal="center"/>
      <protection locked="0"/>
    </xf>
    <xf numFmtId="10" fontId="10" fillId="0" borderId="43" xfId="0" applyNumberFormat="1" applyFont="1" applyBorder="1" applyProtection="1">
      <protection locked="0"/>
    </xf>
    <xf numFmtId="37" fontId="0" fillId="0" borderId="55" xfId="0" applyBorder="1" applyAlignment="1" applyProtection="1">
      <alignment horizontal="center"/>
      <protection locked="0"/>
    </xf>
    <xf numFmtId="37" fontId="0" fillId="0" borderId="14" xfId="0" applyBorder="1" applyAlignment="1" applyProtection="1">
      <alignment horizontal="center"/>
      <protection locked="0"/>
    </xf>
    <xf numFmtId="37" fontId="0" fillId="0" borderId="17" xfId="0" applyBorder="1" applyAlignment="1" applyProtection="1">
      <alignment horizontal="center"/>
      <protection locked="0"/>
    </xf>
    <xf numFmtId="37" fontId="30" fillId="0" borderId="0" xfId="0" applyFont="1" applyAlignment="1" applyProtection="1">
      <alignment horizontal="left" wrapText="1" indent="1"/>
      <protection locked="0"/>
    </xf>
    <xf numFmtId="37" fontId="10" fillId="11" borderId="54" xfId="0" applyFont="1" applyFill="1" applyBorder="1" applyAlignment="1" applyProtection="1">
      <alignment horizontal="center" wrapText="1"/>
      <protection locked="0"/>
    </xf>
    <xf numFmtId="37" fontId="10" fillId="0" borderId="0" xfId="0" applyFont="1" applyAlignment="1" applyProtection="1">
      <alignment horizontal="center" wrapText="1"/>
      <protection locked="0"/>
    </xf>
    <xf numFmtId="37" fontId="30" fillId="0" borderId="0" xfId="0" applyFont="1" applyProtection="1">
      <protection locked="0"/>
    </xf>
    <xf numFmtId="9" fontId="0" fillId="0" borderId="14" xfId="0" applyNumberFormat="1" applyBorder="1" applyAlignment="1" applyProtection="1">
      <alignment horizontal="center"/>
      <protection locked="0"/>
    </xf>
    <xf numFmtId="9" fontId="0" fillId="0" borderId="17" xfId="0" applyNumberFormat="1" applyBorder="1" applyAlignment="1" applyProtection="1">
      <alignment horizontal="center"/>
      <protection locked="0"/>
    </xf>
    <xf numFmtId="0" fontId="0" fillId="0" borderId="0" xfId="0" applyNumberFormat="1" applyAlignment="1" applyProtection="1">
      <alignment horizontal="right" indent="1"/>
      <protection locked="0"/>
    </xf>
    <xf numFmtId="37" fontId="0" fillId="0" borderId="20" xfId="0" applyBorder="1" applyProtection="1">
      <protection locked="0"/>
    </xf>
    <xf numFmtId="37" fontId="0" fillId="0" borderId="21" xfId="0" applyBorder="1" applyProtection="1">
      <protection locked="0"/>
    </xf>
    <xf numFmtId="37" fontId="0" fillId="0" borderId="21" xfId="0" applyBorder="1" applyAlignment="1" applyProtection="1">
      <alignment horizontal="right" indent="1"/>
      <protection locked="0"/>
    </xf>
    <xf numFmtId="37" fontId="10" fillId="0" borderId="0" xfId="0" applyFont="1" applyAlignment="1" applyProtection="1">
      <alignment horizontal="right" indent="1"/>
      <protection locked="0"/>
    </xf>
    <xf numFmtId="37" fontId="10" fillId="11" borderId="56" xfId="0" applyFont="1" applyFill="1" applyBorder="1" applyAlignment="1" applyProtection="1">
      <alignment horizontal="center"/>
      <protection locked="0"/>
    </xf>
    <xf numFmtId="37" fontId="0" fillId="11" borderId="57" xfId="0" applyFill="1" applyBorder="1" applyAlignment="1" applyProtection="1">
      <alignment horizontal="center" wrapText="1"/>
      <protection locked="0"/>
    </xf>
    <xf numFmtId="0" fontId="0" fillId="0" borderId="0" xfId="0" applyNumberFormat="1" applyProtection="1">
      <protection locked="0"/>
    </xf>
    <xf numFmtId="37" fontId="26" fillId="0" borderId="0" xfId="0" applyFont="1" applyAlignment="1" applyProtection="1">
      <alignment horizontal="center" vertical="center"/>
      <protection locked="0"/>
    </xf>
    <xf numFmtId="49" fontId="23" fillId="0" borderId="0" xfId="0" applyNumberFormat="1" applyFont="1" applyAlignment="1" applyProtection="1">
      <alignment horizontal="center" vertical="center"/>
      <protection locked="0"/>
    </xf>
    <xf numFmtId="9" fontId="0" fillId="0" borderId="0" xfId="0" applyNumberFormat="1" applyAlignment="1" applyProtection="1">
      <alignment horizontal="left"/>
      <protection locked="0"/>
    </xf>
    <xf numFmtId="49" fontId="30" fillId="0" borderId="0" xfId="0" applyNumberFormat="1" applyFont="1" applyAlignment="1" applyProtection="1">
      <alignment horizontal="right"/>
      <protection locked="0"/>
    </xf>
    <xf numFmtId="37" fontId="10" fillId="0" borderId="0" xfId="0" applyFont="1" applyAlignment="1" applyProtection="1">
      <alignment horizontal="center" vertical="center" wrapText="1"/>
      <protection locked="0"/>
    </xf>
    <xf numFmtId="37" fontId="10" fillId="0" borderId="0" xfId="0" applyFont="1" applyAlignment="1" applyProtection="1">
      <alignment horizontal="left" wrapText="1"/>
      <protection locked="0"/>
    </xf>
    <xf numFmtId="37" fontId="30" fillId="0" borderId="0" xfId="0" applyFont="1" applyAlignment="1" applyProtection="1">
      <alignment horizontal="center" wrapText="1"/>
      <protection locked="0"/>
    </xf>
    <xf numFmtId="37" fontId="10" fillId="0" borderId="0" xfId="0" applyFont="1" applyAlignment="1" applyProtection="1">
      <alignment horizontal="right" vertical="center"/>
      <protection locked="0"/>
    </xf>
    <xf numFmtId="10" fontId="0" fillId="0" borderId="0" xfId="2" applyNumberFormat="1" applyFont="1" applyFill="1" applyBorder="1" applyAlignment="1" applyProtection="1">
      <alignment wrapText="1"/>
      <protection locked="0"/>
    </xf>
    <xf numFmtId="37" fontId="29" fillId="0" borderId="0" xfId="0" applyFont="1" applyAlignment="1" applyProtection="1">
      <alignment horizontal="right"/>
      <protection locked="0"/>
    </xf>
    <xf numFmtId="49" fontId="26" fillId="0" borderId="6" xfId="0" applyNumberFormat="1" applyFont="1" applyBorder="1" applyAlignment="1">
      <alignment horizontal="center" vertical="center"/>
    </xf>
    <xf numFmtId="37" fontId="26" fillId="0" borderId="24" xfId="0" applyFont="1" applyBorder="1" applyAlignment="1">
      <alignment horizontal="center" vertical="center"/>
    </xf>
    <xf numFmtId="49" fontId="26" fillId="0" borderId="23" xfId="0" applyNumberFormat="1" applyFont="1" applyBorder="1" applyAlignment="1">
      <alignment horizontal="center" vertical="center"/>
    </xf>
    <xf numFmtId="49" fontId="26" fillId="0" borderId="13" xfId="0" applyNumberFormat="1" applyFont="1" applyBorder="1" applyAlignment="1">
      <alignment horizontal="center" vertical="center"/>
    </xf>
    <xf numFmtId="37" fontId="26" fillId="0" borderId="8" xfId="0" applyFont="1" applyBorder="1" applyAlignment="1">
      <alignment horizontal="center" vertical="center"/>
    </xf>
    <xf numFmtId="37" fontId="10" fillId="0" borderId="0" xfId="0" applyFont="1" applyAlignment="1" applyProtection="1">
      <alignment horizontal="right" vertical="center" wrapText="1"/>
      <protection locked="0"/>
    </xf>
    <xf numFmtId="37" fontId="39" fillId="0" borderId="0" xfId="0" applyFont="1" applyProtection="1">
      <protection locked="0"/>
    </xf>
    <xf numFmtId="37" fontId="27" fillId="0" borderId="0" xfId="4" applyFont="1" applyAlignment="1" applyProtection="1">
      <alignment horizontal="left" vertical="center"/>
      <protection locked="0"/>
    </xf>
    <xf numFmtId="37" fontId="30" fillId="0" borderId="0" xfId="0" quotePrefix="1" applyFont="1" applyProtection="1">
      <protection locked="0"/>
    </xf>
    <xf numFmtId="37" fontId="27" fillId="0" borderId="0" xfId="0" applyFont="1" applyAlignment="1" applyProtection="1">
      <alignment horizontal="left" vertical="center" indent="1"/>
      <protection locked="0"/>
    </xf>
    <xf numFmtId="37" fontId="26" fillId="0" borderId="0" xfId="0" applyFont="1" applyAlignment="1" applyProtection="1">
      <alignment horizontal="left" vertical="center" indent="1"/>
      <protection locked="0"/>
    </xf>
    <xf numFmtId="37" fontId="34" fillId="0" borderId="0" xfId="0" applyFont="1" applyAlignment="1" applyProtection="1">
      <alignment horizontal="left" vertical="center" indent="1"/>
      <protection locked="0"/>
    </xf>
    <xf numFmtId="37" fontId="10" fillId="0" borderId="0" xfId="0" applyFont="1" applyAlignment="1" applyProtection="1">
      <alignment horizontal="left" vertical="center" indent="1"/>
      <protection locked="0"/>
    </xf>
    <xf numFmtId="37" fontId="58" fillId="0" borderId="0" xfId="0" applyFont="1" applyAlignment="1" applyProtection="1">
      <alignment horizontal="right" indent="1"/>
      <protection locked="0"/>
    </xf>
    <xf numFmtId="37" fontId="10" fillId="0" borderId="0" xfId="0" applyFont="1" applyAlignment="1" applyProtection="1">
      <alignment vertical="center"/>
      <protection locked="0"/>
    </xf>
    <xf numFmtId="37" fontId="39" fillId="0" borderId="0" xfId="0" applyFont="1" applyAlignment="1" applyProtection="1">
      <alignment horizontal="left" indent="1"/>
      <protection locked="0"/>
    </xf>
    <xf numFmtId="37" fontId="39" fillId="0" borderId="0" xfId="0" applyFont="1" applyAlignment="1" applyProtection="1">
      <alignment horizontal="center"/>
      <protection locked="0"/>
    </xf>
    <xf numFmtId="37" fontId="0" fillId="0" borderId="63" xfId="0" applyBorder="1" applyAlignment="1" applyProtection="1">
      <alignment horizontal="right"/>
      <protection locked="0"/>
    </xf>
    <xf numFmtId="37" fontId="39" fillId="11" borderId="0" xfId="0" applyFont="1" applyFill="1" applyAlignment="1" applyProtection="1">
      <alignment horizontal="center"/>
      <protection locked="0"/>
    </xf>
    <xf numFmtId="37" fontId="40" fillId="0" borderId="0" xfId="0" applyFont="1" applyAlignment="1" applyProtection="1">
      <alignment horizontal="left" indent="1"/>
      <protection locked="0"/>
    </xf>
    <xf numFmtId="37" fontId="36" fillId="0" borderId="0" xfId="0" applyFont="1" applyAlignment="1" applyProtection="1">
      <alignment horizontal="left" indent="1"/>
      <protection locked="0"/>
    </xf>
    <xf numFmtId="37" fontId="40" fillId="0" borderId="0" xfId="0" applyFont="1" applyAlignment="1" applyProtection="1">
      <alignment horizontal="center" wrapText="1"/>
      <protection locked="0"/>
    </xf>
    <xf numFmtId="37" fontId="36" fillId="0" borderId="30" xfId="0" applyFont="1" applyBorder="1" applyAlignment="1" applyProtection="1">
      <alignment horizontal="center"/>
      <protection locked="0"/>
    </xf>
    <xf numFmtId="37" fontId="36" fillId="0" borderId="0" xfId="0" applyFont="1" applyAlignment="1" applyProtection="1">
      <alignment horizontal="center"/>
      <protection locked="0"/>
    </xf>
    <xf numFmtId="37" fontId="36" fillId="0" borderId="31" xfId="0" applyFont="1" applyBorder="1" applyAlignment="1" applyProtection="1">
      <alignment horizontal="left" indent="1"/>
      <protection locked="0"/>
    </xf>
    <xf numFmtId="37" fontId="36" fillId="0" borderId="32" xfId="0" applyFont="1" applyBorder="1" applyAlignment="1" applyProtection="1">
      <alignment horizontal="center"/>
      <protection locked="0"/>
    </xf>
    <xf numFmtId="37" fontId="36" fillId="0" borderId="31" xfId="0" applyFont="1" applyBorder="1" applyAlignment="1" applyProtection="1">
      <alignment horizontal="left" vertical="center" wrapText="1" indent="1"/>
      <protection locked="0"/>
    </xf>
    <xf numFmtId="37" fontId="36" fillId="0" borderId="34" xfId="0" applyFont="1" applyBorder="1" applyAlignment="1" applyProtection="1">
      <alignment horizontal="center" vertical="center"/>
      <protection locked="0"/>
    </xf>
    <xf numFmtId="37" fontId="36" fillId="0" borderId="0" xfId="0" applyFont="1" applyAlignment="1" applyProtection="1">
      <alignment horizontal="center" vertical="center"/>
      <protection locked="0"/>
    </xf>
    <xf numFmtId="37" fontId="40" fillId="0" borderId="0" xfId="0" applyFont="1" applyAlignment="1" applyProtection="1">
      <alignment horizontal="right" indent="1"/>
      <protection locked="0"/>
    </xf>
    <xf numFmtId="37" fontId="40" fillId="0" borderId="30" xfId="0" applyFont="1" applyBorder="1" applyAlignment="1" applyProtection="1">
      <alignment horizontal="center"/>
      <protection locked="0"/>
    </xf>
    <xf numFmtId="37" fontId="40" fillId="0" borderId="0" xfId="0" applyFont="1" applyAlignment="1" applyProtection="1">
      <alignment horizontal="center"/>
      <protection locked="0"/>
    </xf>
    <xf numFmtId="2" fontId="36" fillId="0" borderId="0" xfId="0" applyNumberFormat="1" applyFont="1" applyAlignment="1" applyProtection="1">
      <alignment horizontal="center"/>
      <protection locked="0"/>
    </xf>
    <xf numFmtId="2" fontId="40" fillId="0" borderId="0" xfId="0" applyNumberFormat="1" applyFont="1" applyAlignment="1" applyProtection="1">
      <alignment horizontal="center"/>
      <protection locked="0"/>
    </xf>
    <xf numFmtId="37" fontId="40" fillId="0" borderId="0" xfId="0" applyFont="1" applyAlignment="1" applyProtection="1">
      <alignment horizontal="left" wrapText="1"/>
      <protection locked="0"/>
    </xf>
    <xf numFmtId="37" fontId="39" fillId="0" borderId="0" xfId="0" applyFont="1" applyAlignment="1" applyProtection="1">
      <alignment horizontal="left" wrapText="1"/>
      <protection locked="0"/>
    </xf>
    <xf numFmtId="37" fontId="39" fillId="0" borderId="0" xfId="0" applyFont="1" applyAlignment="1" applyProtection="1">
      <alignment wrapText="1"/>
      <protection locked="0"/>
    </xf>
    <xf numFmtId="37" fontId="10" fillId="0" borderId="0" xfId="0" applyFont="1" applyAlignment="1" applyProtection="1">
      <alignment vertical="top"/>
      <protection locked="0"/>
    </xf>
    <xf numFmtId="37" fontId="34" fillId="0" borderId="0" xfId="0" quotePrefix="1" applyFont="1" applyProtection="1">
      <protection hidden="1"/>
    </xf>
    <xf numFmtId="37" fontId="62" fillId="0" borderId="0" xfId="0" quotePrefix="1" applyFont="1" applyAlignment="1" applyProtection="1">
      <alignment horizontal="left" vertical="center" indent="1"/>
      <protection hidden="1"/>
    </xf>
    <xf numFmtId="37" fontId="5" fillId="0" borderId="0" xfId="0" applyFont="1" applyAlignment="1" applyProtection="1">
      <alignment horizontal="right" indent="1"/>
      <protection locked="0"/>
    </xf>
    <xf numFmtId="176" fontId="0" fillId="0" borderId="0" xfId="7" applyNumberFormat="1" applyFont="1" applyProtection="1">
      <protection locked="0"/>
    </xf>
    <xf numFmtId="177" fontId="10" fillId="0" borderId="0" xfId="1" applyNumberFormat="1" applyFont="1" applyProtection="1">
      <protection locked="0"/>
    </xf>
    <xf numFmtId="9" fontId="34" fillId="0" borderId="43" xfId="2" applyFont="1" applyFill="1" applyBorder="1" applyAlignment="1" applyProtection="1">
      <alignment horizontal="center"/>
      <protection locked="0"/>
    </xf>
    <xf numFmtId="43" fontId="10" fillId="0" borderId="0" xfId="0" applyNumberFormat="1" applyFont="1" applyProtection="1">
      <protection locked="0"/>
    </xf>
    <xf numFmtId="176" fontId="10" fillId="0" borderId="0" xfId="0" applyNumberFormat="1" applyFont="1" applyProtection="1">
      <protection locked="0"/>
    </xf>
    <xf numFmtId="37" fontId="44" fillId="0" borderId="37" xfId="0" applyFont="1" applyBorder="1" applyProtection="1">
      <protection locked="0"/>
    </xf>
    <xf numFmtId="37" fontId="44" fillId="0" borderId="9" xfId="0" applyFont="1" applyBorder="1" applyProtection="1">
      <protection locked="0"/>
    </xf>
    <xf numFmtId="37" fontId="58" fillId="0" borderId="39" xfId="0" applyFont="1" applyBorder="1" applyProtection="1">
      <protection locked="0"/>
    </xf>
    <xf numFmtId="37" fontId="58" fillId="0" borderId="40" xfId="0" applyFont="1" applyBorder="1" applyProtection="1">
      <protection locked="0"/>
    </xf>
    <xf numFmtId="175" fontId="34" fillId="0" borderId="10" xfId="2" applyNumberFormat="1" applyFont="1" applyBorder="1" applyAlignment="1" applyProtection="1">
      <alignment horizontal="right" indent="1"/>
      <protection locked="0"/>
    </xf>
    <xf numFmtId="37" fontId="0" fillId="16" borderId="5" xfId="0" applyFill="1" applyBorder="1" applyProtection="1">
      <protection locked="0"/>
    </xf>
    <xf numFmtId="37" fontId="44" fillId="0" borderId="46" xfId="0" applyFont="1" applyBorder="1"/>
    <xf numFmtId="37" fontId="9" fillId="0" borderId="0" xfId="0" applyFont="1" applyAlignment="1">
      <alignment vertical="center"/>
    </xf>
    <xf numFmtId="9" fontId="35" fillId="0" borderId="0" xfId="2" quotePrefix="1" applyFont="1" applyAlignment="1" applyProtection="1">
      <alignment horizontal="left" indent="1"/>
      <protection locked="0"/>
    </xf>
    <xf numFmtId="9" fontId="35" fillId="0" borderId="0" xfId="2" quotePrefix="1" applyFont="1" applyAlignment="1" applyProtection="1">
      <alignment horizontal="left" indent="2"/>
      <protection hidden="1"/>
    </xf>
    <xf numFmtId="9" fontId="0" fillId="0" borderId="0" xfId="2" applyFont="1" applyProtection="1">
      <protection locked="0"/>
    </xf>
    <xf numFmtId="9" fontId="35" fillId="0" borderId="0" xfId="2" quotePrefix="1" applyFont="1" applyAlignment="1" applyProtection="1">
      <alignment horizontal="right" indent="2"/>
      <protection hidden="1"/>
    </xf>
    <xf numFmtId="37" fontId="0" fillId="0" borderId="43" xfId="0" applyBorder="1" applyAlignment="1" applyProtection="1">
      <alignment horizontal="left" indent="1"/>
      <protection locked="0"/>
    </xf>
    <xf numFmtId="37" fontId="0" fillId="0" borderId="53" xfId="0" applyBorder="1" applyProtection="1">
      <protection locked="0"/>
    </xf>
    <xf numFmtId="37" fontId="44" fillId="0" borderId="63" xfId="0" applyFont="1" applyBorder="1" applyAlignment="1" applyProtection="1">
      <alignment horizontal="right" indent="1"/>
      <protection locked="0"/>
    </xf>
    <xf numFmtId="37" fontId="0" fillId="0" borderId="63" xfId="0" applyBorder="1" applyProtection="1">
      <protection locked="0"/>
    </xf>
    <xf numFmtId="37" fontId="0" fillId="0" borderId="65" xfId="0" applyBorder="1" applyProtection="1">
      <protection locked="0"/>
    </xf>
    <xf numFmtId="37" fontId="0" fillId="0" borderId="0" xfId="0" applyAlignment="1" applyProtection="1">
      <alignment horizontal="left" vertical="top" indent="1"/>
      <protection locked="0"/>
    </xf>
    <xf numFmtId="37" fontId="0" fillId="0" borderId="0" xfId="0" applyAlignment="1">
      <alignment horizontal="left"/>
    </xf>
    <xf numFmtId="37" fontId="0" fillId="0" borderId="28" xfId="0" applyBorder="1" applyAlignment="1">
      <alignment horizontal="left" indent="1"/>
    </xf>
    <xf numFmtId="37" fontId="68" fillId="0" borderId="0" xfId="0" quotePrefix="1" applyFont="1" applyAlignment="1" applyProtection="1">
      <alignment horizontal="right" vertical="center" indent="1"/>
      <protection hidden="1"/>
    </xf>
    <xf numFmtId="37" fontId="37" fillId="0" borderId="0" xfId="0" applyFont="1" applyAlignment="1" applyProtection="1">
      <alignment horizontal="center"/>
      <protection locked="0"/>
    </xf>
    <xf numFmtId="168" fontId="10" fillId="0" borderId="0" xfId="0" applyNumberFormat="1" applyFont="1"/>
    <xf numFmtId="37" fontId="73" fillId="0" borderId="0" xfId="0" applyFont="1" applyProtection="1">
      <protection hidden="1"/>
    </xf>
    <xf numFmtId="37" fontId="10" fillId="0" borderId="53" xfId="0" applyFont="1" applyBorder="1" applyAlignment="1" applyProtection="1">
      <alignment horizontal="left" vertical="center" wrapText="1" indent="1"/>
      <protection locked="0"/>
    </xf>
    <xf numFmtId="10" fontId="10" fillId="0" borderId="10" xfId="0" applyNumberFormat="1" applyFont="1" applyBorder="1" applyProtection="1">
      <protection locked="0"/>
    </xf>
    <xf numFmtId="10" fontId="10" fillId="0" borderId="11" xfId="0" applyNumberFormat="1" applyFont="1" applyBorder="1" applyProtection="1">
      <protection locked="0"/>
    </xf>
    <xf numFmtId="37" fontId="34" fillId="0" borderId="16" xfId="0" applyFont="1" applyBorder="1" applyAlignment="1" applyProtection="1">
      <alignment horizontal="left" indent="1"/>
      <protection locked="0"/>
    </xf>
    <xf numFmtId="10" fontId="35" fillId="0" borderId="10" xfId="0" applyNumberFormat="1" applyFont="1" applyBorder="1" applyAlignment="1" applyProtection="1">
      <alignment horizontal="center"/>
      <protection locked="0"/>
    </xf>
    <xf numFmtId="37" fontId="30" fillId="0" borderId="0" xfId="0" applyFont="1" applyAlignment="1" applyProtection="1">
      <alignment horizontal="center"/>
      <protection locked="0"/>
    </xf>
    <xf numFmtId="37" fontId="10" fillId="0" borderId="0" xfId="0" applyFont="1" applyAlignment="1" applyProtection="1">
      <alignment horizontal="left" wrapText="1" indent="1"/>
      <protection locked="0"/>
    </xf>
    <xf numFmtId="37" fontId="5" fillId="0" borderId="0" xfId="0" quotePrefix="1" applyFont="1" applyAlignment="1" applyProtection="1">
      <alignment horizontal="center" vertical="center" wrapText="1"/>
      <protection locked="0"/>
    </xf>
    <xf numFmtId="44" fontId="0" fillId="0" borderId="0" xfId="1" applyFont="1" applyFill="1" applyBorder="1" applyProtection="1"/>
    <xf numFmtId="176" fontId="0" fillId="0" borderId="0" xfId="7" applyNumberFormat="1" applyFont="1" applyFill="1" applyBorder="1" applyProtection="1"/>
    <xf numFmtId="172" fontId="10" fillId="0" borderId="0" xfId="0" applyNumberFormat="1" applyFont="1"/>
    <xf numFmtId="176" fontId="10" fillId="0" borderId="0" xfId="7" applyNumberFormat="1" applyFont="1" applyFill="1" applyBorder="1" applyProtection="1"/>
    <xf numFmtId="177" fontId="35" fillId="0" borderId="0" xfId="1" applyNumberFormat="1" applyFont="1" applyFill="1" applyBorder="1" applyProtection="1"/>
    <xf numFmtId="10" fontId="10" fillId="0" borderId="0" xfId="0" applyNumberFormat="1" applyFont="1"/>
    <xf numFmtId="10" fontId="10" fillId="0" borderId="0" xfId="0" applyNumberFormat="1" applyFont="1" applyProtection="1">
      <protection locked="0"/>
    </xf>
    <xf numFmtId="37" fontId="5" fillId="0" borderId="0" xfId="0" applyFont="1" applyAlignment="1">
      <alignment horizontal="center" vertical="center" wrapText="1"/>
    </xf>
    <xf numFmtId="177" fontId="0" fillId="0" borderId="0" xfId="1" applyNumberFormat="1" applyFont="1" applyFill="1" applyBorder="1" applyProtection="1">
      <protection locked="0"/>
    </xf>
    <xf numFmtId="177" fontId="10" fillId="0" borderId="0" xfId="1" applyNumberFormat="1" applyFont="1" applyFill="1" applyBorder="1" applyProtection="1"/>
    <xf numFmtId="37" fontId="59" fillId="0" borderId="0" xfId="0" applyFont="1" applyAlignment="1" applyProtection="1">
      <alignment horizontal="center"/>
      <protection locked="0"/>
    </xf>
    <xf numFmtId="1" fontId="35" fillId="0" borderId="43" xfId="0" applyNumberFormat="1" applyFont="1" applyBorder="1" applyAlignment="1" applyProtection="1">
      <alignment horizontal="center" vertical="center"/>
      <protection locked="0"/>
    </xf>
    <xf numFmtId="10" fontId="74" fillId="0" borderId="10" xfId="0" applyNumberFormat="1" applyFont="1" applyBorder="1" applyAlignment="1" applyProtection="1">
      <alignment horizontal="center"/>
      <protection locked="0"/>
    </xf>
    <xf numFmtId="183" fontId="44" fillId="0" borderId="48" xfId="0" applyNumberFormat="1" applyFont="1" applyBorder="1" applyAlignment="1">
      <alignment horizontal="center"/>
    </xf>
    <xf numFmtId="9" fontId="0" fillId="16" borderId="66" xfId="2" applyFont="1" applyFill="1" applyBorder="1" applyAlignment="1" applyProtection="1">
      <alignment horizontal="center"/>
      <protection locked="0"/>
    </xf>
    <xf numFmtId="37" fontId="0" fillId="16" borderId="66" xfId="0" applyFill="1" applyBorder="1" applyAlignment="1" applyProtection="1">
      <alignment horizontal="center"/>
      <protection locked="0"/>
    </xf>
    <xf numFmtId="44" fontId="0" fillId="16" borderId="66" xfId="1" applyFont="1" applyFill="1" applyBorder="1" applyAlignment="1" applyProtection="1">
      <alignment horizontal="left"/>
      <protection locked="0"/>
    </xf>
    <xf numFmtId="42" fontId="0" fillId="16" borderId="67" xfId="0" applyNumberFormat="1" applyFill="1" applyBorder="1" applyProtection="1">
      <protection locked="0"/>
    </xf>
    <xf numFmtId="37" fontId="0" fillId="16" borderId="68" xfId="0" applyFill="1" applyBorder="1" applyProtection="1">
      <protection locked="0"/>
    </xf>
    <xf numFmtId="165" fontId="0" fillId="2" borderId="69" xfId="0" applyNumberFormat="1" applyFill="1" applyBorder="1"/>
    <xf numFmtId="165" fontId="0" fillId="2" borderId="70" xfId="0" applyNumberFormat="1" applyFill="1" applyBorder="1"/>
    <xf numFmtId="165" fontId="0" fillId="2" borderId="71" xfId="0" applyNumberFormat="1" applyFill="1" applyBorder="1"/>
    <xf numFmtId="37" fontId="0" fillId="16" borderId="72" xfId="0" applyFill="1" applyBorder="1" applyAlignment="1" applyProtection="1">
      <alignment horizontal="center"/>
      <protection locked="0"/>
    </xf>
    <xf numFmtId="37" fontId="62" fillId="0" borderId="0" xfId="0" quotePrefix="1" applyFont="1" applyAlignment="1" applyProtection="1">
      <alignment horizontal="right" vertical="center" indent="1"/>
      <protection locked="0"/>
    </xf>
    <xf numFmtId="37" fontId="0" fillId="0" borderId="74" xfId="0" applyBorder="1" applyProtection="1">
      <protection locked="0"/>
    </xf>
    <xf numFmtId="37" fontId="0" fillId="0" borderId="1" xfId="0" applyBorder="1" applyProtection="1">
      <protection locked="0"/>
    </xf>
    <xf numFmtId="37" fontId="0" fillId="0" borderId="62" xfId="0" applyBorder="1" applyProtection="1">
      <protection locked="0"/>
    </xf>
    <xf numFmtId="14" fontId="10" fillId="0" borderId="0" xfId="0" applyNumberFormat="1" applyFont="1"/>
    <xf numFmtId="183" fontId="0" fillId="0" borderId="0" xfId="0" applyNumberFormat="1" applyAlignment="1" applyProtection="1">
      <alignment horizontal="right" indent="1"/>
      <protection locked="0"/>
    </xf>
    <xf numFmtId="37" fontId="44" fillId="0" borderId="0" xfId="0" quotePrefix="1" applyFont="1" applyProtection="1">
      <protection locked="0"/>
    </xf>
    <xf numFmtId="37" fontId="10" fillId="0" borderId="0" xfId="0" applyFont="1" applyAlignment="1" applyProtection="1">
      <alignment horizontal="left" indent="2"/>
      <protection locked="0"/>
    </xf>
    <xf numFmtId="37" fontId="72" fillId="0" borderId="0" xfId="0" applyFont="1" applyAlignment="1" applyProtection="1">
      <alignment horizontal="left"/>
      <protection locked="0"/>
    </xf>
    <xf numFmtId="37" fontId="51" fillId="0" borderId="0" xfId="0" applyFont="1"/>
    <xf numFmtId="43" fontId="0" fillId="0" borderId="0" xfId="7" quotePrefix="1" applyFont="1" applyBorder="1" applyProtection="1">
      <protection locked="0"/>
    </xf>
    <xf numFmtId="37" fontId="50" fillId="0" borderId="0" xfId="0" applyFont="1" applyProtection="1">
      <protection locked="0"/>
    </xf>
    <xf numFmtId="37" fontId="0" fillId="0" borderId="26" xfId="0" applyBorder="1" applyProtection="1">
      <protection locked="0"/>
    </xf>
    <xf numFmtId="37" fontId="44" fillId="0" borderId="0" xfId="0" applyFont="1" applyAlignment="1" applyProtection="1">
      <alignment horizontal="center"/>
      <protection locked="0"/>
    </xf>
    <xf numFmtId="37" fontId="47" fillId="0" borderId="0" xfId="0" applyFont="1" applyAlignment="1" applyProtection="1">
      <alignment horizontal="left" indent="2"/>
      <protection locked="0"/>
    </xf>
    <xf numFmtId="37" fontId="5" fillId="0" borderId="0" xfId="0" applyFont="1" applyAlignment="1" applyProtection="1">
      <alignment horizontal="left" indent="2"/>
      <protection locked="0"/>
    </xf>
    <xf numFmtId="37" fontId="70" fillId="0" borderId="63" xfId="0" quotePrefix="1" applyFont="1" applyBorder="1" applyProtection="1">
      <protection locked="0"/>
    </xf>
    <xf numFmtId="37" fontId="10" fillId="0" borderId="0" xfId="0" applyFont="1" applyAlignment="1">
      <alignment horizontal="left"/>
    </xf>
    <xf numFmtId="37" fontId="35" fillId="0" borderId="0" xfId="0" quotePrefix="1" applyFont="1" applyAlignment="1" applyProtection="1">
      <alignment horizontal="center" vertical="center"/>
      <protection hidden="1"/>
    </xf>
    <xf numFmtId="37" fontId="0" fillId="0" borderId="53" xfId="0" applyBorder="1" applyAlignment="1" applyProtection="1">
      <alignment horizontal="left"/>
      <protection locked="0"/>
    </xf>
    <xf numFmtId="37" fontId="0" fillId="16" borderId="76" xfId="0" applyFill="1" applyBorder="1" applyProtection="1">
      <protection locked="0"/>
    </xf>
    <xf numFmtId="168" fontId="10" fillId="0" borderId="0" xfId="0" applyNumberFormat="1" applyFont="1" applyAlignment="1">
      <alignment horizontal="left"/>
    </xf>
    <xf numFmtId="37" fontId="24" fillId="0" borderId="31" xfId="0" applyFont="1" applyBorder="1" applyAlignment="1" applyProtection="1">
      <alignment horizontal="left" indent="1"/>
      <protection locked="0"/>
    </xf>
    <xf numFmtId="37" fontId="0" fillId="0" borderId="0" xfId="1" applyNumberFormat="1" applyFont="1" applyFill="1" applyBorder="1" applyAlignment="1" applyProtection="1">
      <alignment horizontal="left"/>
      <protection locked="0"/>
    </xf>
    <xf numFmtId="37" fontId="44" fillId="0" borderId="46" xfId="0" applyFont="1" applyBorder="1" applyProtection="1">
      <protection locked="0"/>
    </xf>
    <xf numFmtId="37" fontId="58" fillId="0" borderId="10" xfId="0" applyFont="1" applyBorder="1" applyProtection="1">
      <protection locked="0"/>
    </xf>
    <xf numFmtId="37" fontId="48" fillId="0" borderId="9" xfId="0" applyFont="1" applyBorder="1" applyAlignment="1">
      <alignment horizontal="left" indent="1"/>
    </xf>
    <xf numFmtId="37" fontId="48" fillId="0" borderId="39" xfId="0" applyFont="1" applyBorder="1" applyAlignment="1">
      <alignment horizontal="left" indent="1"/>
    </xf>
    <xf numFmtId="37" fontId="10" fillId="0" borderId="0" xfId="0" applyFont="1" applyAlignment="1">
      <alignment horizontal="right"/>
    </xf>
    <xf numFmtId="37" fontId="51" fillId="0" borderId="78" xfId="0" quotePrefix="1" applyFont="1" applyBorder="1" applyAlignment="1">
      <alignment horizontal="right"/>
    </xf>
    <xf numFmtId="0" fontId="0" fillId="0" borderId="0" xfId="0" applyNumberFormat="1" applyAlignment="1" applyProtection="1">
      <alignment horizontal="left"/>
      <protection locked="0"/>
    </xf>
    <xf numFmtId="37" fontId="0" fillId="0" borderId="70" xfId="0" applyBorder="1" applyProtection="1">
      <protection locked="0"/>
    </xf>
    <xf numFmtId="9" fontId="0" fillId="0" borderId="43" xfId="0" applyNumberFormat="1" applyBorder="1" applyAlignment="1" applyProtection="1">
      <alignment horizontal="center"/>
      <protection locked="0"/>
    </xf>
    <xf numFmtId="37" fontId="42" fillId="0" borderId="0" xfId="0" applyFont="1" applyAlignment="1" applyProtection="1">
      <alignment horizontal="center"/>
      <protection locked="0"/>
    </xf>
    <xf numFmtId="37" fontId="44" fillId="0" borderId="0" xfId="0" applyFont="1" applyAlignment="1">
      <alignment horizontal="left" indent="1"/>
    </xf>
    <xf numFmtId="37" fontId="47" fillId="0" borderId="0" xfId="0" applyFont="1"/>
    <xf numFmtId="49" fontId="0" fillId="0" borderId="0" xfId="0" applyNumberFormat="1"/>
    <xf numFmtId="0" fontId="0" fillId="0" borderId="0" xfId="0" applyNumberFormat="1"/>
    <xf numFmtId="37" fontId="0" fillId="0" borderId="70" xfId="0" applyBorder="1" applyAlignment="1" applyProtection="1">
      <alignment horizontal="centerContinuous"/>
      <protection locked="0"/>
    </xf>
    <xf numFmtId="39" fontId="0" fillId="16" borderId="72" xfId="0" applyNumberFormat="1" applyFill="1" applyBorder="1" applyAlignment="1" applyProtection="1">
      <alignment horizontal="center"/>
      <protection locked="0"/>
    </xf>
    <xf numFmtId="175" fontId="0" fillId="0" borderId="0" xfId="2" applyNumberFormat="1" applyFont="1"/>
    <xf numFmtId="175" fontId="0" fillId="0" borderId="0" xfId="2" applyNumberFormat="1" applyFont="1" applyBorder="1"/>
    <xf numFmtId="14" fontId="10" fillId="0" borderId="0" xfId="0" applyNumberFormat="1" applyFont="1" applyAlignment="1">
      <alignment horizontal="right"/>
    </xf>
    <xf numFmtId="37" fontId="76" fillId="0" borderId="0" xfId="0" applyFont="1"/>
    <xf numFmtId="37" fontId="5" fillId="0" borderId="67" xfId="0" applyFont="1" applyBorder="1" applyAlignment="1" applyProtection="1">
      <alignment horizontal="centerContinuous" wrapText="1"/>
      <protection locked="0"/>
    </xf>
    <xf numFmtId="37" fontId="0" fillId="16" borderId="67" xfId="0" applyFill="1" applyBorder="1" applyProtection="1">
      <protection locked="0"/>
    </xf>
    <xf numFmtId="37" fontId="5" fillId="0" borderId="72" xfId="0" applyFont="1" applyBorder="1" applyAlignment="1" applyProtection="1">
      <alignment horizontal="center"/>
      <protection locked="0"/>
    </xf>
    <xf numFmtId="37" fontId="5" fillId="0" borderId="67" xfId="0" applyFont="1" applyBorder="1" applyAlignment="1" applyProtection="1">
      <alignment horizontal="center"/>
      <protection locked="0"/>
    </xf>
    <xf numFmtId="37" fontId="0" fillId="0" borderId="84" xfId="0" applyBorder="1" applyProtection="1">
      <protection locked="0"/>
    </xf>
    <xf numFmtId="37" fontId="0" fillId="0" borderId="85" xfId="0" applyBorder="1" applyProtection="1">
      <protection locked="0"/>
    </xf>
    <xf numFmtId="37" fontId="0" fillId="0" borderId="83" xfId="0" quotePrefix="1" applyBorder="1" applyAlignment="1" applyProtection="1">
      <alignment horizontal="center"/>
      <protection locked="0"/>
    </xf>
    <xf numFmtId="37" fontId="0" fillId="16" borderId="87" xfId="0" applyFill="1" applyBorder="1" applyProtection="1">
      <protection locked="0"/>
    </xf>
    <xf numFmtId="37" fontId="0" fillId="0" borderId="87" xfId="0" applyBorder="1" applyProtection="1">
      <protection locked="0"/>
    </xf>
    <xf numFmtId="37" fontId="0" fillId="16" borderId="86" xfId="0" applyFill="1" applyBorder="1" applyAlignment="1" applyProtection="1">
      <alignment horizontal="left" indent="1"/>
      <protection locked="0"/>
    </xf>
    <xf numFmtId="37" fontId="0" fillId="0" borderId="35" xfId="0" applyBorder="1" applyAlignment="1" applyProtection="1">
      <alignment horizontal="left" indent="1"/>
      <protection locked="0"/>
    </xf>
    <xf numFmtId="37" fontId="12" fillId="0" borderId="35" xfId="0" applyFont="1" applyBorder="1" applyAlignment="1" applyProtection="1">
      <alignment horizontal="center"/>
      <protection locked="0"/>
    </xf>
    <xf numFmtId="37" fontId="8" fillId="0" borderId="80" xfId="0" applyFont="1" applyBorder="1" applyAlignment="1" applyProtection="1">
      <alignment horizontal="left" indent="1"/>
      <protection locked="0"/>
    </xf>
    <xf numFmtId="37" fontId="13" fillId="4" borderId="80" xfId="0" applyFont="1" applyFill="1" applyBorder="1" applyAlignment="1" applyProtection="1">
      <alignment horizontal="center"/>
      <protection locked="0"/>
    </xf>
    <xf numFmtId="37" fontId="10" fillId="16" borderId="88" xfId="0" applyFont="1" applyFill="1" applyBorder="1" applyAlignment="1" applyProtection="1">
      <alignment horizontal="center" vertical="center"/>
      <protection locked="0"/>
    </xf>
    <xf numFmtId="42" fontId="0" fillId="13" borderId="88" xfId="0" applyNumberFormat="1" applyFill="1" applyBorder="1"/>
    <xf numFmtId="37" fontId="0" fillId="16" borderId="88" xfId="0" applyFill="1" applyBorder="1" applyAlignment="1" applyProtection="1">
      <alignment horizontal="center"/>
      <protection locked="0"/>
    </xf>
    <xf numFmtId="37" fontId="0" fillId="9" borderId="88" xfId="0" applyFill="1" applyBorder="1" applyProtection="1">
      <protection locked="0"/>
    </xf>
    <xf numFmtId="37" fontId="10" fillId="0" borderId="63" xfId="0" applyFont="1" applyBorder="1" applyProtection="1">
      <protection locked="0"/>
    </xf>
    <xf numFmtId="37" fontId="10" fillId="16" borderId="88" xfId="0" applyFont="1" applyFill="1" applyBorder="1" applyAlignment="1" applyProtection="1">
      <alignment horizontal="right" vertical="center" indent="1"/>
      <protection locked="0"/>
    </xf>
    <xf numFmtId="37" fontId="5" fillId="0" borderId="82" xfId="0" applyFont="1" applyBorder="1" applyAlignment="1" applyProtection="1">
      <alignment horizontal="left" indent="1"/>
      <protection locked="0"/>
    </xf>
    <xf numFmtId="37" fontId="0" fillId="0" borderId="75" xfId="0" applyBorder="1" applyProtection="1">
      <protection locked="0"/>
    </xf>
    <xf numFmtId="37" fontId="5" fillId="0" borderId="81" xfId="0" applyFont="1" applyBorder="1" applyProtection="1">
      <protection locked="0"/>
    </xf>
    <xf numFmtId="37" fontId="5" fillId="0" borderId="82" xfId="0" applyFont="1" applyBorder="1"/>
    <xf numFmtId="37" fontId="5" fillId="0" borderId="81" xfId="0" applyFont="1" applyBorder="1"/>
    <xf numFmtId="37" fontId="5" fillId="0" borderId="90" xfId="0" applyFont="1" applyBorder="1"/>
    <xf numFmtId="37" fontId="5" fillId="0" borderId="69" xfId="0" applyFont="1" applyBorder="1" applyAlignment="1" applyProtection="1">
      <alignment horizontal="left" indent="1"/>
      <protection locked="0"/>
    </xf>
    <xf numFmtId="37" fontId="0" fillId="0" borderId="63" xfId="0" applyBorder="1" applyAlignment="1" applyProtection="1">
      <alignment horizontal="centerContinuous"/>
      <protection locked="0"/>
    </xf>
    <xf numFmtId="37" fontId="5" fillId="0" borderId="70" xfId="0" applyFont="1" applyBorder="1" applyAlignment="1" applyProtection="1">
      <alignment horizontal="centerContinuous"/>
      <protection locked="0"/>
    </xf>
    <xf numFmtId="37" fontId="5" fillId="0" borderId="69" xfId="0" applyFont="1" applyBorder="1" applyAlignment="1">
      <alignment horizontal="left" indent="1"/>
    </xf>
    <xf numFmtId="37" fontId="5" fillId="0" borderId="70" xfId="0" applyFont="1" applyBorder="1" applyAlignment="1">
      <alignment horizontal="centerContinuous"/>
    </xf>
    <xf numFmtId="37" fontId="5" fillId="0" borderId="66" xfId="0" applyFont="1" applyBorder="1" applyAlignment="1">
      <alignment horizontal="centerContinuous"/>
    </xf>
    <xf numFmtId="185" fontId="0" fillId="16" borderId="91" xfId="0" applyNumberFormat="1" applyFill="1" applyBorder="1" applyAlignment="1" applyProtection="1">
      <alignment horizontal="left"/>
      <protection locked="0"/>
    </xf>
    <xf numFmtId="180" fontId="0" fillId="16" borderId="70" xfId="0" applyNumberFormat="1" applyFill="1" applyBorder="1" applyAlignment="1" applyProtection="1">
      <alignment horizontal="center"/>
      <protection locked="0"/>
    </xf>
    <xf numFmtId="37" fontId="0" fillId="0" borderId="89" xfId="0" applyBorder="1" applyProtection="1">
      <protection locked="0"/>
    </xf>
    <xf numFmtId="10" fontId="0" fillId="16" borderId="86" xfId="0" applyNumberFormat="1" applyFill="1" applyBorder="1" applyAlignment="1" applyProtection="1">
      <alignment horizontal="center"/>
      <protection locked="0"/>
    </xf>
    <xf numFmtId="37" fontId="10" fillId="0" borderId="63" xfId="0" applyFont="1" applyBorder="1"/>
    <xf numFmtId="37" fontId="42" fillId="0" borderId="63" xfId="0" applyFont="1" applyBorder="1" applyAlignment="1" applyProtection="1">
      <alignment horizontal="center"/>
      <protection locked="0"/>
    </xf>
    <xf numFmtId="37" fontId="0" fillId="16" borderId="83" xfId="0" applyFill="1" applyBorder="1" applyAlignment="1" applyProtection="1">
      <alignment horizontal="center"/>
      <protection locked="0"/>
    </xf>
    <xf numFmtId="37" fontId="10" fillId="13" borderId="72" xfId="0" applyFont="1" applyFill="1" applyBorder="1" applyAlignment="1">
      <alignment horizontal="center"/>
    </xf>
    <xf numFmtId="37" fontId="0" fillId="16" borderId="72" xfId="0" applyFill="1" applyBorder="1" applyAlignment="1" applyProtection="1">
      <alignment horizontal="center" vertical="center"/>
      <protection locked="0"/>
    </xf>
    <xf numFmtId="175" fontId="0" fillId="16" borderId="72" xfId="0" applyNumberFormat="1" applyFill="1" applyBorder="1" applyAlignment="1" applyProtection="1">
      <alignment horizontal="center"/>
      <protection locked="0"/>
    </xf>
    <xf numFmtId="37" fontId="0" fillId="16" borderId="72" xfId="0" applyFill="1" applyBorder="1" applyProtection="1">
      <protection locked="0"/>
    </xf>
    <xf numFmtId="37" fontId="0" fillId="13" borderId="72" xfId="0" applyFill="1" applyBorder="1"/>
    <xf numFmtId="37" fontId="6" fillId="16" borderId="72" xfId="7" applyNumberFormat="1" applyFont="1" applyFill="1" applyBorder="1" applyAlignment="1" applyProtection="1">
      <alignment horizontal="center" vertical="center"/>
      <protection locked="0"/>
    </xf>
    <xf numFmtId="37" fontId="10" fillId="13" borderId="72" xfId="7" applyNumberFormat="1" applyFont="1" applyFill="1" applyBorder="1" applyAlignment="1" applyProtection="1">
      <alignment horizontal="center" vertical="center"/>
    </xf>
    <xf numFmtId="37" fontId="5" fillId="0" borderId="83" xfId="0" applyFont="1" applyBorder="1" applyAlignment="1" applyProtection="1">
      <alignment horizontal="left" indent="1"/>
      <protection locked="0"/>
    </xf>
    <xf numFmtId="37" fontId="5" fillId="0" borderId="84" xfId="0" applyFont="1" applyBorder="1" applyAlignment="1" applyProtection="1">
      <alignment horizontal="centerContinuous"/>
      <protection locked="0"/>
    </xf>
    <xf numFmtId="37" fontId="5" fillId="0" borderId="85" xfId="0" applyFont="1" applyBorder="1" applyAlignment="1" applyProtection="1">
      <alignment horizontal="centerContinuous"/>
      <protection locked="0"/>
    </xf>
    <xf numFmtId="14" fontId="0" fillId="16" borderId="72" xfId="0" applyNumberFormat="1" applyFill="1" applyBorder="1" applyProtection="1">
      <protection locked="0"/>
    </xf>
    <xf numFmtId="2" fontId="0" fillId="16" borderId="72" xfId="0" applyNumberFormat="1" applyFill="1" applyBorder="1" applyProtection="1">
      <protection locked="0"/>
    </xf>
    <xf numFmtId="179" fontId="0" fillId="16" borderId="72" xfId="0" applyNumberFormat="1" applyFill="1" applyBorder="1" applyAlignment="1" applyProtection="1">
      <alignment horizontal="right" indent="1"/>
      <protection locked="0"/>
    </xf>
    <xf numFmtId="37" fontId="0" fillId="0" borderId="77" xfId="0" applyBorder="1" applyAlignment="1" applyProtection="1">
      <alignment horizontal="left" indent="1"/>
      <protection locked="0"/>
    </xf>
    <xf numFmtId="37" fontId="0" fillId="0" borderId="92" xfId="0" applyBorder="1" applyProtection="1">
      <protection locked="0"/>
    </xf>
    <xf numFmtId="179" fontId="0" fillId="16" borderId="62" xfId="0" applyNumberFormat="1" applyFill="1" applyBorder="1" applyAlignment="1" applyProtection="1">
      <alignment horizontal="center"/>
      <protection locked="0"/>
    </xf>
    <xf numFmtId="37" fontId="0" fillId="0" borderId="76" xfId="0" applyBorder="1" applyAlignment="1" applyProtection="1">
      <alignment horizontal="left" indent="1"/>
      <protection locked="0"/>
    </xf>
    <xf numFmtId="37" fontId="0" fillId="0" borderId="63" xfId="0" applyBorder="1" applyAlignment="1" applyProtection="1">
      <alignment horizontal="left" indent="1"/>
      <protection locked="0"/>
    </xf>
    <xf numFmtId="37" fontId="0" fillId="0" borderId="83" xfId="0" applyBorder="1" applyAlignment="1" applyProtection="1">
      <alignment horizontal="left" indent="1"/>
      <protection locked="0"/>
    </xf>
    <xf numFmtId="179" fontId="0" fillId="16" borderId="72" xfId="0" applyNumberFormat="1" applyFill="1" applyBorder="1" applyAlignment="1" applyProtection="1">
      <alignment horizontal="center"/>
      <protection locked="0"/>
    </xf>
    <xf numFmtId="37" fontId="15" fillId="0" borderId="84" xfId="0" applyFont="1" applyBorder="1" applyAlignment="1">
      <alignment horizontal="right"/>
    </xf>
    <xf numFmtId="37" fontId="42" fillId="13" borderId="84" xfId="0" applyFont="1" applyFill="1" applyBorder="1" applyAlignment="1">
      <alignment horizontal="center"/>
    </xf>
    <xf numFmtId="37" fontId="15" fillId="0" borderId="84" xfId="0" applyFont="1" applyBorder="1" applyAlignment="1">
      <alignment horizontal="left"/>
    </xf>
    <xf numFmtId="179" fontId="10" fillId="16" borderId="72" xfId="0" applyNumberFormat="1" applyFont="1" applyFill="1" applyBorder="1" applyAlignment="1" applyProtection="1">
      <alignment horizontal="center"/>
      <protection locked="0"/>
    </xf>
    <xf numFmtId="37" fontId="15" fillId="0" borderId="84" xfId="0" applyFont="1" applyBorder="1"/>
    <xf numFmtId="37" fontId="51" fillId="0" borderId="84" xfId="0" applyFont="1" applyBorder="1" applyAlignment="1">
      <alignment horizontal="right"/>
    </xf>
    <xf numFmtId="37" fontId="42" fillId="0" borderId="93" xfId="0" quotePrefix="1" applyFont="1" applyBorder="1" applyAlignment="1" applyProtection="1">
      <alignment horizontal="right" indent="1"/>
      <protection locked="0"/>
    </xf>
    <xf numFmtId="173" fontId="0" fillId="0" borderId="63" xfId="0" applyNumberFormat="1" applyBorder="1" applyAlignment="1" applyProtection="1">
      <alignment horizontal="left" indent="1"/>
      <protection locked="0"/>
    </xf>
    <xf numFmtId="37" fontId="75" fillId="0" borderId="63" xfId="0" applyFont="1" applyBorder="1" applyProtection="1">
      <protection locked="0"/>
    </xf>
    <xf numFmtId="37" fontId="5" fillId="0" borderId="94" xfId="0" applyFont="1" applyBorder="1" applyAlignment="1" applyProtection="1">
      <alignment horizontal="center"/>
      <protection locked="0"/>
    </xf>
    <xf numFmtId="37" fontId="5" fillId="0" borderId="95" xfId="0" applyFont="1" applyBorder="1" applyAlignment="1" applyProtection="1">
      <alignment horizontal="center"/>
      <protection locked="0"/>
    </xf>
    <xf numFmtId="37" fontId="5" fillId="0" borderId="96" xfId="0" applyFont="1" applyBorder="1" applyAlignment="1" applyProtection="1">
      <alignment horizontal="center" wrapText="1"/>
      <protection locked="0"/>
    </xf>
    <xf numFmtId="1" fontId="0" fillId="16" borderId="97" xfId="0" applyNumberFormat="1" applyFill="1" applyBorder="1" applyAlignment="1" applyProtection="1">
      <alignment horizontal="center"/>
      <protection locked="0"/>
    </xf>
    <xf numFmtId="0" fontId="0" fillId="16" borderId="94" xfId="0" applyNumberFormat="1" applyFill="1" applyBorder="1" applyAlignment="1" applyProtection="1">
      <alignment horizontal="left" indent="1"/>
      <protection locked="0"/>
    </xf>
    <xf numFmtId="37" fontId="0" fillId="16" borderId="97" xfId="0" applyFill="1" applyBorder="1" applyProtection="1">
      <protection locked="0"/>
    </xf>
    <xf numFmtId="37" fontId="0" fillId="16" borderId="95" xfId="0" applyFill="1" applyBorder="1" applyProtection="1">
      <protection locked="0"/>
    </xf>
    <xf numFmtId="0" fontId="0" fillId="16" borderId="96" xfId="0" applyNumberFormat="1" applyFill="1" applyBorder="1" applyAlignment="1" applyProtection="1">
      <alignment horizontal="center"/>
      <protection locked="0"/>
    </xf>
    <xf numFmtId="10" fontId="0" fillId="0" borderId="96" xfId="2" applyNumberFormat="1" applyFont="1" applyFill="1" applyBorder="1" applyAlignment="1" applyProtection="1">
      <alignment horizontal="center"/>
    </xf>
    <xf numFmtId="3" fontId="0" fillId="16" borderId="96" xfId="2" applyNumberFormat="1" applyFont="1" applyFill="1" applyBorder="1" applyAlignment="1" applyProtection="1">
      <alignment horizontal="center"/>
      <protection locked="0"/>
    </xf>
    <xf numFmtId="10" fontId="0" fillId="0" borderId="96" xfId="0" applyNumberFormat="1" applyBorder="1" applyAlignment="1">
      <alignment horizontal="center"/>
    </xf>
    <xf numFmtId="1" fontId="0" fillId="16" borderId="96" xfId="0" applyNumberFormat="1" applyFill="1" applyBorder="1" applyAlignment="1" applyProtection="1">
      <alignment horizontal="center"/>
      <protection locked="0"/>
    </xf>
    <xf numFmtId="1" fontId="0" fillId="16" borderId="98" xfId="0" applyNumberFormat="1" applyFill="1" applyBorder="1" applyAlignment="1" applyProtection="1">
      <alignment horizontal="center"/>
      <protection locked="0"/>
    </xf>
    <xf numFmtId="37" fontId="0" fillId="16" borderId="98" xfId="0" applyFill="1" applyBorder="1" applyProtection="1">
      <protection locked="0"/>
    </xf>
    <xf numFmtId="0" fontId="10" fillId="13" borderId="96" xfId="0" applyNumberFormat="1" applyFont="1" applyFill="1" applyBorder="1" applyAlignment="1">
      <alignment horizontal="center"/>
    </xf>
    <xf numFmtId="14" fontId="0" fillId="0" borderId="63" xfId="0" applyNumberFormat="1" applyBorder="1" applyAlignment="1" applyProtection="1">
      <alignment horizontal="left" indent="1"/>
      <protection locked="0"/>
    </xf>
    <xf numFmtId="37" fontId="10" fillId="16" borderId="74" xfId="0" applyFont="1" applyFill="1" applyBorder="1" applyAlignment="1" applyProtection="1">
      <alignment horizontal="center" vertical="center"/>
      <protection locked="0"/>
    </xf>
    <xf numFmtId="37" fontId="10" fillId="16" borderId="100" xfId="0" applyFont="1" applyFill="1" applyBorder="1" applyAlignment="1" applyProtection="1">
      <alignment horizontal="center" vertical="center"/>
      <protection locked="0"/>
    </xf>
    <xf numFmtId="37" fontId="5" fillId="0" borderId="101" xfId="0" applyFont="1" applyBorder="1" applyAlignment="1" applyProtection="1">
      <alignment horizontal="center"/>
      <protection locked="0"/>
    </xf>
    <xf numFmtId="37" fontId="5" fillId="0" borderId="102" xfId="0" applyFont="1" applyBorder="1" applyAlignment="1" applyProtection="1">
      <alignment horizontal="centerContinuous"/>
      <protection locked="0"/>
    </xf>
    <xf numFmtId="37" fontId="5" fillId="0" borderId="103" xfId="0" applyFont="1" applyBorder="1" applyAlignment="1" applyProtection="1">
      <alignment horizontal="centerContinuous"/>
      <protection locked="0"/>
    </xf>
    <xf numFmtId="37" fontId="5" fillId="0" borderId="104" xfId="0" applyFont="1" applyBorder="1" applyAlignment="1" applyProtection="1">
      <alignment horizontal="center"/>
      <protection locked="0"/>
    </xf>
    <xf numFmtId="37" fontId="5" fillId="0" borderId="76" xfId="0" applyFont="1" applyBorder="1" applyAlignment="1" applyProtection="1">
      <alignment horizontal="center" wrapText="1"/>
      <protection locked="0"/>
    </xf>
    <xf numFmtId="37" fontId="5" fillId="0" borderId="105" xfId="0" applyFont="1" applyBorder="1" applyAlignment="1" applyProtection="1">
      <alignment horizontal="center" wrapText="1"/>
      <protection locked="0"/>
    </xf>
    <xf numFmtId="37" fontId="5" fillId="0" borderId="102" xfId="0" applyFont="1" applyBorder="1" applyAlignment="1" applyProtection="1">
      <alignment horizontal="center" wrapText="1"/>
      <protection locked="0"/>
    </xf>
    <xf numFmtId="37" fontId="5" fillId="0" borderId="62" xfId="0" applyFont="1" applyBorder="1" applyAlignment="1" applyProtection="1">
      <alignment horizontal="center" wrapText="1"/>
      <protection locked="0"/>
    </xf>
    <xf numFmtId="37" fontId="16" fillId="0" borderId="62" xfId="0" applyFont="1" applyBorder="1" applyAlignment="1" applyProtection="1">
      <alignment horizontal="center" wrapText="1"/>
      <protection locked="0"/>
    </xf>
    <xf numFmtId="37" fontId="0" fillId="16" borderId="105" xfId="0" applyFill="1" applyBorder="1" applyAlignment="1" applyProtection="1">
      <alignment horizontal="center" wrapText="1"/>
      <protection locked="0"/>
    </xf>
    <xf numFmtId="5" fontId="0" fillId="16" borderId="66" xfId="0" applyNumberFormat="1" applyFill="1" applyBorder="1" applyAlignment="1" applyProtection="1">
      <alignment horizontal="center"/>
      <protection locked="0"/>
    </xf>
    <xf numFmtId="0" fontId="0" fillId="16" borderId="66" xfId="0" applyNumberFormat="1" applyFill="1" applyBorder="1" applyAlignment="1" applyProtection="1">
      <alignment horizontal="center"/>
      <protection locked="0"/>
    </xf>
    <xf numFmtId="37" fontId="0" fillId="16" borderId="105" xfId="0" applyFill="1" applyBorder="1" applyAlignment="1" applyProtection="1">
      <alignment horizontal="center"/>
      <protection locked="0"/>
    </xf>
    <xf numFmtId="43" fontId="0" fillId="16" borderId="105" xfId="7" applyFont="1" applyFill="1" applyBorder="1" applyAlignment="1" applyProtection="1">
      <alignment horizontal="left"/>
      <protection locked="0"/>
    </xf>
    <xf numFmtId="10" fontId="0" fillId="16" borderId="100" xfId="0" applyNumberFormat="1" applyFill="1" applyBorder="1" applyAlignment="1" applyProtection="1">
      <alignment horizontal="right"/>
      <protection locked="0"/>
    </xf>
    <xf numFmtId="37" fontId="0" fillId="16" borderId="95" xfId="0" applyFill="1" applyBorder="1" applyAlignment="1" applyProtection="1">
      <alignment horizontal="center"/>
      <protection locked="0"/>
    </xf>
    <xf numFmtId="37" fontId="0" fillId="16" borderId="96" xfId="0" applyFill="1" applyBorder="1" applyAlignment="1" applyProtection="1">
      <alignment horizontal="center"/>
      <protection locked="0"/>
    </xf>
    <xf numFmtId="43" fontId="0" fillId="16" borderId="96" xfId="7" applyFont="1" applyFill="1" applyBorder="1" applyAlignment="1" applyProtection="1">
      <alignment horizontal="left"/>
      <protection locked="0"/>
    </xf>
    <xf numFmtId="10" fontId="6" fillId="16" borderId="72" xfId="2" applyNumberFormat="1" applyFont="1" applyFill="1" applyBorder="1" applyAlignment="1" applyProtection="1">
      <alignment horizontal="right"/>
      <protection locked="0"/>
    </xf>
    <xf numFmtId="37" fontId="0" fillId="0" borderId="94" xfId="0" applyBorder="1" applyAlignment="1" applyProtection="1">
      <alignment horizontal="centerContinuous"/>
      <protection locked="0"/>
    </xf>
    <xf numFmtId="37" fontId="0" fillId="0" borderId="106" xfId="0" applyBorder="1" applyAlignment="1" applyProtection="1">
      <alignment horizontal="left" indent="1"/>
      <protection locked="0"/>
    </xf>
    <xf numFmtId="37" fontId="0" fillId="0" borderId="94" xfId="0" applyBorder="1" applyProtection="1">
      <protection locked="0"/>
    </xf>
    <xf numFmtId="37" fontId="0" fillId="16" borderId="94" xfId="0" applyFill="1" applyBorder="1" applyProtection="1">
      <protection locked="0"/>
    </xf>
    <xf numFmtId="37" fontId="0" fillId="0" borderId="106" xfId="0" applyBorder="1" applyProtection="1">
      <protection locked="0"/>
    </xf>
    <xf numFmtId="37" fontId="0" fillId="16" borderId="96" xfId="0" applyFill="1" applyBorder="1" applyProtection="1">
      <protection locked="0"/>
    </xf>
    <xf numFmtId="37" fontId="0" fillId="16" borderId="106" xfId="0" applyFill="1" applyBorder="1" applyProtection="1">
      <protection locked="0"/>
    </xf>
    <xf numFmtId="37" fontId="0" fillId="16" borderId="96" xfId="0" applyFill="1" applyBorder="1" applyAlignment="1" applyProtection="1">
      <alignment horizontal="right" indent="1"/>
      <protection locked="0"/>
    </xf>
    <xf numFmtId="37" fontId="0" fillId="0" borderId="106" xfId="0" applyBorder="1" applyAlignment="1">
      <alignment horizontal="left" indent="1"/>
    </xf>
    <xf numFmtId="37" fontId="10" fillId="13" borderId="96" xfId="0" applyFont="1" applyFill="1" applyBorder="1"/>
    <xf numFmtId="10" fontId="0" fillId="16" borderId="72" xfId="0" applyNumberFormat="1" applyFill="1" applyBorder="1" applyAlignment="1" applyProtection="1">
      <alignment horizontal="right"/>
      <protection locked="0"/>
    </xf>
    <xf numFmtId="37" fontId="0" fillId="16" borderId="106" xfId="0" applyFill="1" applyBorder="1" applyAlignment="1" applyProtection="1">
      <alignment horizontal="left" indent="1"/>
      <protection locked="0"/>
    </xf>
    <xf numFmtId="176" fontId="10" fillId="13" borderId="72" xfId="7" applyNumberFormat="1" applyFont="1" applyFill="1" applyBorder="1" applyProtection="1"/>
    <xf numFmtId="168" fontId="10" fillId="13" borderId="62" xfId="0" applyNumberFormat="1" applyFont="1" applyFill="1" applyBorder="1"/>
    <xf numFmtId="42" fontId="0" fillId="16" borderId="72" xfId="0" applyNumberFormat="1" applyFill="1" applyBorder="1" applyProtection="1">
      <protection locked="0"/>
    </xf>
    <xf numFmtId="14" fontId="0" fillId="0" borderId="63" xfId="0" applyNumberFormat="1" applyBorder="1" applyAlignment="1">
      <alignment horizontal="left" indent="1"/>
    </xf>
    <xf numFmtId="37" fontId="10" fillId="0" borderId="63" xfId="0" applyFont="1" applyBorder="1" applyAlignment="1">
      <alignment horizontal="left" indent="1"/>
    </xf>
    <xf numFmtId="37" fontId="0" fillId="0" borderId="63" xfId="0" applyBorder="1"/>
    <xf numFmtId="37" fontId="15" fillId="0" borderId="102" xfId="0" applyFont="1" applyBorder="1" applyAlignment="1">
      <alignment horizontal="left" indent="1"/>
    </xf>
    <xf numFmtId="37" fontId="15" fillId="0" borderId="103" xfId="0" applyFont="1" applyBorder="1" applyAlignment="1">
      <alignment horizontal="centerContinuous"/>
    </xf>
    <xf numFmtId="37" fontId="15" fillId="0" borderId="109" xfId="0" applyFont="1" applyBorder="1" applyAlignment="1">
      <alignment horizontal="centerContinuous"/>
    </xf>
    <xf numFmtId="37" fontId="15" fillId="0" borderId="102" xfId="0" applyFont="1" applyBorder="1" applyAlignment="1">
      <alignment horizontal="center" wrapText="1"/>
    </xf>
    <xf numFmtId="37" fontId="15" fillId="0" borderId="110" xfId="0" applyFont="1" applyBorder="1" applyAlignment="1">
      <alignment horizontal="center" wrapText="1"/>
    </xf>
    <xf numFmtId="37" fontId="15" fillId="0" borderId="105" xfId="0" applyFont="1" applyBorder="1" applyAlignment="1">
      <alignment horizontal="center" wrapText="1"/>
    </xf>
    <xf numFmtId="37" fontId="54" fillId="0" borderId="105" xfId="0" applyFont="1" applyBorder="1" applyAlignment="1">
      <alignment horizontal="center" wrapText="1"/>
    </xf>
    <xf numFmtId="37" fontId="0" fillId="0" borderId="102" xfId="0" applyBorder="1" applyAlignment="1">
      <alignment horizontal="left" indent="1"/>
    </xf>
    <xf numFmtId="37" fontId="0" fillId="0" borderId="103" xfId="0" applyBorder="1"/>
    <xf numFmtId="37" fontId="0" fillId="0" borderId="109" xfId="0" applyBorder="1"/>
    <xf numFmtId="37" fontId="0" fillId="16" borderId="108" xfId="0" applyFill="1" applyBorder="1" applyAlignment="1" applyProtection="1">
      <alignment horizontal="center" vertical="center"/>
      <protection locked="0"/>
    </xf>
    <xf numFmtId="37" fontId="0" fillId="16" borderId="105" xfId="0" applyFill="1" applyBorder="1" applyProtection="1">
      <protection locked="0"/>
    </xf>
    <xf numFmtId="166" fontId="0" fillId="16" borderId="105" xfId="0" applyNumberFormat="1" applyFill="1" applyBorder="1" applyAlignment="1" applyProtection="1">
      <alignment horizontal="right"/>
      <protection locked="0"/>
    </xf>
    <xf numFmtId="167" fontId="0" fillId="16" borderId="105" xfId="0" applyNumberFormat="1" applyFill="1" applyBorder="1" applyAlignment="1" applyProtection="1">
      <alignment horizontal="center"/>
      <protection locked="0"/>
    </xf>
    <xf numFmtId="37" fontId="37" fillId="0" borderId="111" xfId="0" applyFont="1" applyBorder="1"/>
    <xf numFmtId="37" fontId="37" fillId="0" borderId="112" xfId="0" applyFont="1" applyBorder="1"/>
    <xf numFmtId="37" fontId="0" fillId="16" borderId="113" xfId="0" applyFill="1" applyBorder="1" applyAlignment="1" applyProtection="1">
      <alignment horizontal="left" indent="1"/>
      <protection locked="0"/>
    </xf>
    <xf numFmtId="37" fontId="0" fillId="0" borderId="113" xfId="0" applyBorder="1" applyAlignment="1">
      <alignment horizontal="left" indent="1"/>
    </xf>
    <xf numFmtId="167" fontId="0" fillId="16" borderId="114" xfId="0" applyNumberFormat="1" applyFill="1" applyBorder="1" applyAlignment="1" applyProtection="1">
      <alignment horizontal="center"/>
      <protection locked="0"/>
    </xf>
    <xf numFmtId="37" fontId="0" fillId="16" borderId="114" xfId="0" applyFill="1" applyBorder="1" applyProtection="1">
      <protection locked="0"/>
    </xf>
    <xf numFmtId="37" fontId="0" fillId="13" borderId="113" xfId="0" applyFill="1" applyBorder="1" applyAlignment="1">
      <alignment horizontal="left" indent="1"/>
    </xf>
    <xf numFmtId="37" fontId="51" fillId="0" borderId="112" xfId="0" applyFont="1" applyBorder="1" applyProtection="1">
      <protection locked="0"/>
    </xf>
    <xf numFmtId="37" fontId="0" fillId="0" borderId="112" xfId="0" applyBorder="1" applyProtection="1">
      <protection locked="0"/>
    </xf>
    <xf numFmtId="37" fontId="0" fillId="16" borderId="118" xfId="0" applyFill="1" applyBorder="1" applyAlignment="1" applyProtection="1">
      <alignment horizontal="center" vertical="center"/>
      <protection locked="0"/>
    </xf>
    <xf numFmtId="177" fontId="0" fillId="18" borderId="114" xfId="1" applyNumberFormat="1" applyFont="1" applyFill="1" applyBorder="1" applyProtection="1">
      <protection locked="0"/>
    </xf>
    <xf numFmtId="37" fontId="0" fillId="0" borderId="111" xfId="0" applyBorder="1"/>
    <xf numFmtId="176" fontId="0" fillId="18" borderId="114" xfId="7" applyNumberFormat="1" applyFont="1" applyFill="1" applyBorder="1" applyProtection="1">
      <protection locked="0"/>
    </xf>
    <xf numFmtId="165" fontId="0" fillId="9" borderId="113" xfId="0" applyNumberFormat="1" applyFill="1" applyBorder="1" applyProtection="1">
      <protection locked="0"/>
    </xf>
    <xf numFmtId="165" fontId="0" fillId="9" borderId="111" xfId="0" applyNumberFormat="1" applyFill="1" applyBorder="1" applyProtection="1">
      <protection locked="0"/>
    </xf>
    <xf numFmtId="37" fontId="0" fillId="9" borderId="112" xfId="0" applyFill="1" applyBorder="1" applyProtection="1">
      <protection locked="0"/>
    </xf>
    <xf numFmtId="37" fontId="0" fillId="0" borderId="119" xfId="0" applyBorder="1"/>
    <xf numFmtId="37" fontId="0" fillId="0" borderId="113" xfId="0" applyBorder="1" applyAlignment="1" applyProtection="1">
      <alignment horizontal="left" indent="1"/>
      <protection locked="0"/>
    </xf>
    <xf numFmtId="37" fontId="0" fillId="0" borderId="120" xfId="0" applyBorder="1"/>
    <xf numFmtId="10" fontId="0" fillId="16" borderId="114" xfId="0" applyNumberFormat="1" applyFill="1" applyBorder="1" applyAlignment="1" applyProtection="1">
      <alignment horizontal="center"/>
      <protection locked="0"/>
    </xf>
    <xf numFmtId="37" fontId="0" fillId="0" borderId="111" xfId="0" applyBorder="1" applyProtection="1">
      <protection locked="0"/>
    </xf>
    <xf numFmtId="37" fontId="10" fillId="0" borderId="83" xfId="0" applyFont="1" applyBorder="1"/>
    <xf numFmtId="37" fontId="10" fillId="0" borderId="116" xfId="0" applyFont="1" applyBorder="1"/>
    <xf numFmtId="37" fontId="10" fillId="0" borderId="85" xfId="0" applyFont="1" applyBorder="1"/>
    <xf numFmtId="37" fontId="15" fillId="3" borderId="112" xfId="0" applyFont="1" applyFill="1" applyBorder="1" applyAlignment="1">
      <alignment horizontal="center"/>
    </xf>
    <xf numFmtId="176" fontId="0" fillId="15" borderId="114" xfId="7" applyNumberFormat="1" applyFont="1" applyFill="1" applyBorder="1" applyProtection="1"/>
    <xf numFmtId="165" fontId="37" fillId="2" borderId="69" xfId="0" quotePrefix="1" applyNumberFormat="1" applyFont="1" applyFill="1" applyBorder="1"/>
    <xf numFmtId="37" fontId="52" fillId="0" borderId="111" xfId="0" applyFont="1" applyBorder="1"/>
    <xf numFmtId="37" fontId="55" fillId="0" borderId="63" xfId="0" applyFont="1" applyBorder="1"/>
    <xf numFmtId="37" fontId="0" fillId="0" borderId="63" xfId="0" applyBorder="1" applyAlignment="1">
      <alignment horizontal="centerContinuous"/>
    </xf>
    <xf numFmtId="37" fontId="15" fillId="0" borderId="83" xfId="0" applyFont="1" applyBorder="1" applyAlignment="1">
      <alignment horizontal="centerContinuous"/>
    </xf>
    <xf numFmtId="37" fontId="10" fillId="0" borderId="116" xfId="0" applyFont="1" applyBorder="1" applyAlignment="1">
      <alignment horizontal="centerContinuous"/>
    </xf>
    <xf numFmtId="37" fontId="15" fillId="0" borderId="72" xfId="0" applyFont="1" applyBorder="1" applyAlignment="1">
      <alignment horizontal="centerContinuous"/>
    </xf>
    <xf numFmtId="37" fontId="15" fillId="0" borderId="72" xfId="0" applyFont="1" applyBorder="1" applyAlignment="1">
      <alignment horizontal="center" wrapText="1"/>
    </xf>
    <xf numFmtId="37" fontId="15" fillId="0" borderId="114" xfId="0" applyFont="1" applyBorder="1" applyAlignment="1">
      <alignment horizontal="center" wrapText="1"/>
    </xf>
    <xf numFmtId="37" fontId="0" fillId="0" borderId="83" xfId="0" quotePrefix="1" applyBorder="1" applyAlignment="1">
      <alignment horizontal="center"/>
    </xf>
    <xf numFmtId="37" fontId="10" fillId="0" borderId="116" xfId="0" applyFont="1" applyBorder="1" applyProtection="1">
      <protection locked="0"/>
    </xf>
    <xf numFmtId="37" fontId="0" fillId="0" borderId="116" xfId="0" applyBorder="1" applyProtection="1">
      <protection locked="0"/>
    </xf>
    <xf numFmtId="37" fontId="0" fillId="0" borderId="116" xfId="0" applyBorder="1" applyAlignment="1">
      <alignment horizontal="left" indent="1"/>
    </xf>
    <xf numFmtId="37" fontId="0" fillId="0" borderId="116" xfId="0" quotePrefix="1" applyBorder="1" applyAlignment="1">
      <alignment horizontal="center"/>
    </xf>
    <xf numFmtId="37" fontId="0" fillId="0" borderId="121" xfId="0" applyBorder="1" applyProtection="1">
      <protection locked="0"/>
    </xf>
    <xf numFmtId="37" fontId="0" fillId="16" borderId="116" xfId="0" applyFill="1" applyBorder="1" applyProtection="1">
      <protection locked="0"/>
    </xf>
    <xf numFmtId="37" fontId="30" fillId="0" borderId="116" xfId="0" applyFont="1" applyBorder="1" applyAlignment="1">
      <alignment horizontal="left" indent="1"/>
    </xf>
    <xf numFmtId="37" fontId="35" fillId="0" borderId="116" xfId="0" applyFont="1" applyBorder="1" applyProtection="1">
      <protection locked="0"/>
    </xf>
    <xf numFmtId="37" fontId="50" fillId="0" borderId="78" xfId="0" applyFont="1" applyBorder="1" applyAlignment="1" applyProtection="1">
      <alignment horizontal="right"/>
      <protection locked="0"/>
    </xf>
    <xf numFmtId="37" fontId="0" fillId="0" borderId="116" xfId="0" applyBorder="1" applyAlignment="1" applyProtection="1">
      <alignment horizontal="left" indent="1"/>
      <protection locked="0"/>
    </xf>
    <xf numFmtId="37" fontId="0" fillId="0" borderId="116" xfId="0" quotePrefix="1" applyBorder="1" applyAlignment="1" applyProtection="1">
      <alignment horizontal="center"/>
      <protection locked="0"/>
    </xf>
    <xf numFmtId="37" fontId="0" fillId="0" borderId="115" xfId="0" applyBorder="1" applyProtection="1">
      <protection locked="0"/>
    </xf>
    <xf numFmtId="37" fontId="44" fillId="0" borderId="116" xfId="0" quotePrefix="1" applyFont="1" applyBorder="1" applyAlignment="1">
      <alignment horizontal="center"/>
    </xf>
    <xf numFmtId="37" fontId="44" fillId="0" borderId="116" xfId="0" applyFont="1" applyBorder="1" applyProtection="1">
      <protection locked="0"/>
    </xf>
    <xf numFmtId="37" fontId="34" fillId="0" borderId="63" xfId="0" applyFont="1" applyBorder="1" applyAlignment="1" applyProtection="1">
      <alignment horizontal="right" indent="1"/>
      <protection locked="0"/>
    </xf>
    <xf numFmtId="37" fontId="51" fillId="0" borderId="115" xfId="0" applyFont="1" applyBorder="1" applyAlignment="1">
      <alignment horizontal="right"/>
    </xf>
    <xf numFmtId="37" fontId="25" fillId="0" borderId="116" xfId="0" applyFont="1" applyBorder="1" applyProtection="1">
      <protection locked="0"/>
    </xf>
    <xf numFmtId="37" fontId="25" fillId="0" borderId="85" xfId="0" applyFont="1" applyBorder="1" applyProtection="1">
      <protection locked="0"/>
    </xf>
    <xf numFmtId="37" fontId="25" fillId="0" borderId="123" xfId="0" applyFont="1" applyBorder="1" applyProtection="1">
      <protection locked="0"/>
    </xf>
    <xf numFmtId="37" fontId="0" fillId="0" borderId="126" xfId="0" quotePrefix="1" applyBorder="1" applyAlignment="1">
      <alignment horizontal="center"/>
    </xf>
    <xf numFmtId="37" fontId="0" fillId="0" borderId="126" xfId="0" applyBorder="1" applyProtection="1">
      <protection locked="0"/>
    </xf>
    <xf numFmtId="37" fontId="0" fillId="0" borderId="116" xfId="0" applyBorder="1" applyAlignment="1" applyProtection="1">
      <alignment horizontal="right"/>
      <protection locked="0"/>
    </xf>
    <xf numFmtId="37" fontId="0" fillId="0" borderId="116" xfId="0" quotePrefix="1" applyBorder="1" applyProtection="1">
      <protection locked="0"/>
    </xf>
    <xf numFmtId="37" fontId="34" fillId="0" borderId="116" xfId="0" quotePrefix="1" applyFont="1" applyBorder="1" applyProtection="1">
      <protection locked="0"/>
    </xf>
    <xf numFmtId="37" fontId="37" fillId="0" borderId="116" xfId="0" quotePrefix="1" applyFont="1" applyBorder="1" applyAlignment="1">
      <alignment horizontal="center"/>
    </xf>
    <xf numFmtId="37" fontId="34" fillId="0" borderId="127" xfId="0" applyFont="1" applyBorder="1" applyProtection="1">
      <protection locked="0"/>
    </xf>
    <xf numFmtId="37" fontId="51" fillId="0" borderId="129" xfId="0" applyFont="1" applyBorder="1" applyAlignment="1">
      <alignment horizontal="right" indent="1"/>
    </xf>
    <xf numFmtId="37" fontId="10" fillId="0" borderId="63" xfId="0" applyFont="1" applyBorder="1" applyAlignment="1" applyProtection="1">
      <alignment horizontal="left" indent="1"/>
      <protection locked="0"/>
    </xf>
    <xf numFmtId="37" fontId="0" fillId="0" borderId="133" xfId="0" applyBorder="1" applyAlignment="1" applyProtection="1">
      <alignment horizontal="right"/>
      <protection locked="0"/>
    </xf>
    <xf numFmtId="37" fontId="0" fillId="0" borderId="127" xfId="0" quotePrefix="1" applyBorder="1" applyProtection="1">
      <protection locked="0"/>
    </xf>
    <xf numFmtId="37" fontId="35" fillId="0" borderId="127" xfId="0" applyFont="1" applyBorder="1" applyAlignment="1" applyProtection="1">
      <alignment horizontal="right"/>
      <protection locked="0"/>
    </xf>
    <xf numFmtId="37" fontId="51" fillId="0" borderId="134" xfId="0" applyFont="1" applyBorder="1"/>
    <xf numFmtId="37" fontId="5" fillId="0" borderId="83" xfId="0" applyFont="1" applyBorder="1" applyAlignment="1">
      <alignment horizontal="centerContinuous"/>
    </xf>
    <xf numFmtId="37" fontId="0" fillId="0" borderId="135" xfId="0" applyBorder="1" applyAlignment="1">
      <alignment horizontal="centerContinuous"/>
    </xf>
    <xf numFmtId="37" fontId="5" fillId="0" borderId="72" xfId="0" applyFont="1" applyBorder="1" applyAlignment="1">
      <alignment horizontal="centerContinuous"/>
    </xf>
    <xf numFmtId="37" fontId="51" fillId="0" borderId="135" xfId="0" applyFont="1" applyBorder="1" applyAlignment="1">
      <alignment horizontal="right"/>
    </xf>
    <xf numFmtId="37" fontId="0" fillId="0" borderId="135" xfId="0" quotePrefix="1" applyBorder="1" applyAlignment="1">
      <alignment horizontal="center"/>
    </xf>
    <xf numFmtId="37" fontId="51" fillId="0" borderId="139" xfId="0" applyFont="1" applyBorder="1"/>
    <xf numFmtId="37" fontId="0" fillId="0" borderId="135" xfId="0" applyBorder="1" applyAlignment="1">
      <alignment horizontal="left" indent="1"/>
    </xf>
    <xf numFmtId="37" fontId="0" fillId="0" borderId="135" xfId="0" quotePrefix="1" applyBorder="1" applyAlignment="1" applyProtection="1">
      <alignment horizontal="center"/>
      <protection locked="0"/>
    </xf>
    <xf numFmtId="37" fontId="0" fillId="0" borderId="135" xfId="0" applyBorder="1" applyProtection="1">
      <protection locked="0"/>
    </xf>
    <xf numFmtId="37" fontId="0" fillId="16" borderId="137" xfId="0" applyFill="1" applyBorder="1" applyProtection="1">
      <protection locked="0"/>
    </xf>
    <xf numFmtId="37" fontId="0" fillId="13" borderId="72" xfId="0" applyFill="1" applyBorder="1" applyAlignment="1">
      <alignment horizontal="right"/>
    </xf>
    <xf numFmtId="37" fontId="0" fillId="13" borderId="72" xfId="0" applyFill="1" applyBorder="1" applyAlignment="1">
      <alignment horizontal="center"/>
    </xf>
    <xf numFmtId="37" fontId="0" fillId="13" borderId="72" xfId="1" applyNumberFormat="1" applyFont="1" applyFill="1" applyBorder="1" applyAlignment="1" applyProtection="1">
      <alignment horizontal="right"/>
    </xf>
    <xf numFmtId="168" fontId="0" fillId="13" borderId="72" xfId="1" applyNumberFormat="1" applyFont="1" applyFill="1" applyBorder="1" applyAlignment="1" applyProtection="1">
      <alignment horizontal="right"/>
    </xf>
    <xf numFmtId="168" fontId="10" fillId="13" borderId="72" xfId="1" applyNumberFormat="1" applyFont="1" applyFill="1" applyBorder="1" applyAlignment="1" applyProtection="1">
      <alignment horizontal="right"/>
    </xf>
    <xf numFmtId="37" fontId="35" fillId="13" borderId="72" xfId="0" quotePrefix="1" applyFont="1" applyFill="1" applyBorder="1" applyAlignment="1">
      <alignment horizontal="right"/>
    </xf>
    <xf numFmtId="37" fontId="5" fillId="6" borderId="138" xfId="0" applyFont="1" applyFill="1" applyBorder="1" applyAlignment="1" applyProtection="1">
      <alignment horizontal="centerContinuous"/>
      <protection locked="0"/>
    </xf>
    <xf numFmtId="37" fontId="0" fillId="6" borderId="140" xfId="0" applyFill="1" applyBorder="1" applyAlignment="1" applyProtection="1">
      <alignment horizontal="centerContinuous"/>
      <protection locked="0"/>
    </xf>
    <xf numFmtId="37" fontId="0" fillId="6" borderId="136" xfId="0" applyFill="1" applyBorder="1" applyAlignment="1" applyProtection="1">
      <alignment horizontal="centerContinuous"/>
      <protection locked="0"/>
    </xf>
    <xf numFmtId="37" fontId="42" fillId="0" borderId="141" xfId="0" quotePrefix="1" applyFont="1" applyBorder="1" applyAlignment="1" applyProtection="1">
      <alignment horizontal="right" indent="1"/>
      <protection locked="0"/>
    </xf>
    <xf numFmtId="37" fontId="10" fillId="16" borderId="142" xfId="0" applyFont="1" applyFill="1" applyBorder="1" applyAlignment="1" applyProtection="1">
      <alignment horizontal="center" vertical="center"/>
      <protection locked="0"/>
    </xf>
    <xf numFmtId="37" fontId="5" fillId="0" borderId="138" xfId="0" applyFont="1" applyBorder="1" applyAlignment="1" applyProtection="1">
      <alignment horizontal="centerContinuous"/>
      <protection locked="0"/>
    </xf>
    <xf numFmtId="37" fontId="5" fillId="0" borderId="136" xfId="0" applyFont="1" applyBorder="1" applyAlignment="1" applyProtection="1">
      <alignment horizontal="centerContinuous"/>
      <protection locked="0"/>
    </xf>
    <xf numFmtId="37" fontId="5" fillId="0" borderId="136" xfId="0" applyFont="1" applyBorder="1" applyAlignment="1" applyProtection="1">
      <alignment horizontal="centerContinuous" wrapText="1"/>
      <protection locked="0"/>
    </xf>
    <xf numFmtId="37" fontId="16" fillId="0" borderId="137" xfId="0" applyFont="1" applyBorder="1" applyAlignment="1" applyProtection="1">
      <alignment horizontal="center" wrapText="1"/>
      <protection locked="0"/>
    </xf>
    <xf numFmtId="37" fontId="5" fillId="0" borderId="137" xfId="0" applyFont="1" applyBorder="1" applyAlignment="1" applyProtection="1">
      <alignment horizontal="center" wrapText="1"/>
      <protection locked="0"/>
    </xf>
    <xf numFmtId="0" fontId="0" fillId="0" borderId="138" xfId="0" applyNumberFormat="1" applyBorder="1" applyAlignment="1">
      <alignment horizontal="left" indent="1"/>
    </xf>
    <xf numFmtId="37" fontId="0" fillId="0" borderId="140" xfId="0" applyBorder="1" applyProtection="1">
      <protection locked="0"/>
    </xf>
    <xf numFmtId="37" fontId="0" fillId="0" borderId="136" xfId="0" applyBorder="1" applyProtection="1">
      <protection locked="0"/>
    </xf>
    <xf numFmtId="1" fontId="0" fillId="0" borderId="136" xfId="0" applyNumberFormat="1" applyBorder="1" applyAlignment="1">
      <alignment horizontal="center"/>
    </xf>
    <xf numFmtId="179" fontId="37" fillId="16" borderId="137" xfId="0" applyNumberFormat="1" applyFont="1" applyFill="1" applyBorder="1" applyAlignment="1" applyProtection="1">
      <alignment horizontal="center"/>
      <protection locked="0"/>
    </xf>
    <xf numFmtId="0" fontId="0" fillId="0" borderId="137" xfId="0" applyNumberFormat="1" applyBorder="1" applyAlignment="1">
      <alignment horizontal="center"/>
    </xf>
    <xf numFmtId="177" fontId="0" fillId="16" borderId="137" xfId="1" applyNumberFormat="1" applyFont="1" applyFill="1" applyBorder="1" applyProtection="1">
      <protection locked="0"/>
    </xf>
    <xf numFmtId="179" fontId="37" fillId="0" borderId="137" xfId="0" applyNumberFormat="1" applyFont="1" applyBorder="1" applyAlignment="1" applyProtection="1">
      <alignment horizontal="center"/>
      <protection locked="0"/>
    </xf>
    <xf numFmtId="179" fontId="0" fillId="16" borderId="137" xfId="0" applyNumberFormat="1" applyFill="1" applyBorder="1" applyAlignment="1" applyProtection="1">
      <alignment horizontal="center"/>
      <protection locked="0"/>
    </xf>
    <xf numFmtId="0" fontId="0" fillId="16" borderId="137" xfId="0" applyNumberFormat="1" applyFill="1" applyBorder="1" applyAlignment="1" applyProtection="1">
      <alignment horizontal="center"/>
      <protection locked="0"/>
    </xf>
    <xf numFmtId="37" fontId="0" fillId="16" borderId="137" xfId="0" applyFill="1" applyBorder="1" applyAlignment="1" applyProtection="1">
      <alignment horizontal="center"/>
      <protection locked="0"/>
    </xf>
    <xf numFmtId="179" fontId="0" fillId="0" borderId="137" xfId="0" applyNumberFormat="1" applyBorder="1" applyAlignment="1" applyProtection="1">
      <alignment horizontal="center"/>
      <protection locked="0"/>
    </xf>
    <xf numFmtId="0" fontId="10" fillId="13" borderId="137" xfId="0" applyNumberFormat="1" applyFont="1" applyFill="1" applyBorder="1" applyAlignment="1">
      <alignment horizontal="center"/>
    </xf>
    <xf numFmtId="42" fontId="10" fillId="13" borderId="137" xfId="0" applyNumberFormat="1" applyFont="1" applyFill="1" applyBorder="1"/>
    <xf numFmtId="37" fontId="0" fillId="16" borderId="142" xfId="0" applyFill="1" applyBorder="1" applyAlignment="1" applyProtection="1">
      <alignment horizontal="center"/>
      <protection locked="0"/>
    </xf>
    <xf numFmtId="177" fontId="0" fillId="16" borderId="142" xfId="1" applyNumberFormat="1" applyFont="1" applyFill="1" applyBorder="1" applyProtection="1">
      <protection locked="0"/>
    </xf>
    <xf numFmtId="42" fontId="0" fillId="13" borderId="144" xfId="0" applyNumberFormat="1" applyFill="1" applyBorder="1"/>
    <xf numFmtId="42" fontId="0" fillId="13" borderId="62" xfId="0" applyNumberFormat="1" applyFill="1" applyBorder="1"/>
    <xf numFmtId="37" fontId="5" fillId="0" borderId="148" xfId="0" applyFont="1" applyBorder="1" applyAlignment="1" applyProtection="1">
      <alignment horizontal="center"/>
      <protection locked="0"/>
    </xf>
    <xf numFmtId="10" fontId="0" fillId="16" borderId="148" xfId="2" applyNumberFormat="1" applyFont="1" applyFill="1" applyBorder="1" applyAlignment="1" applyProtection="1">
      <alignment horizontal="center"/>
      <protection locked="0"/>
    </xf>
    <xf numFmtId="177" fontId="0" fillId="16" borderId="148" xfId="1" applyNumberFormat="1" applyFont="1" applyFill="1" applyBorder="1" applyAlignment="1" applyProtection="1">
      <alignment horizontal="left"/>
      <protection locked="0"/>
    </xf>
    <xf numFmtId="176" fontId="0" fillId="16" borderId="148" xfId="7" applyNumberFormat="1" applyFont="1" applyFill="1" applyBorder="1" applyAlignment="1" applyProtection="1">
      <alignment horizontal="left"/>
      <protection locked="0"/>
    </xf>
    <xf numFmtId="37" fontId="15" fillId="0" borderId="145" xfId="0" applyFont="1" applyBorder="1" applyAlignment="1" applyProtection="1">
      <alignment horizontal="left" indent="1"/>
      <protection locked="0"/>
    </xf>
    <xf numFmtId="37" fontId="10" fillId="0" borderId="149" xfId="0" applyFont="1" applyBorder="1" applyAlignment="1" applyProtection="1">
      <alignment horizontal="centerContinuous"/>
      <protection locked="0"/>
    </xf>
    <xf numFmtId="37" fontId="15" fillId="0" borderId="150" xfId="0" applyFont="1" applyBorder="1" applyAlignment="1" applyProtection="1">
      <alignment horizontal="center" wrapText="1"/>
      <protection locked="0"/>
    </xf>
    <xf numFmtId="37" fontId="54" fillId="0" borderId="148" xfId="0" applyFont="1" applyBorder="1" applyAlignment="1" applyProtection="1">
      <alignment horizontal="center" wrapText="1"/>
      <protection locked="0"/>
    </xf>
    <xf numFmtId="37" fontId="0" fillId="0" borderId="145" xfId="0" applyBorder="1" applyAlignment="1" applyProtection="1">
      <alignment horizontal="left" indent="1"/>
      <protection locked="0"/>
    </xf>
    <xf numFmtId="37" fontId="0" fillId="0" borderId="149" xfId="0" applyBorder="1" applyProtection="1">
      <protection locked="0"/>
    </xf>
    <xf numFmtId="168" fontId="0" fillId="13" borderId="151" xfId="0" applyNumberFormat="1" applyFill="1" applyBorder="1"/>
    <xf numFmtId="168" fontId="0" fillId="13" borderId="148" xfId="0" applyNumberFormat="1" applyFill="1" applyBorder="1"/>
    <xf numFmtId="37" fontId="0" fillId="0" borderId="145" xfId="0" applyBorder="1" applyAlignment="1" applyProtection="1">
      <alignment horizontal="left" indent="2"/>
      <protection locked="0"/>
    </xf>
    <xf numFmtId="170" fontId="0" fillId="5" borderId="137" xfId="0" applyNumberFormat="1" applyFill="1" applyBorder="1" applyAlignment="1" applyProtection="1">
      <alignment horizontal="right"/>
      <protection locked="0"/>
    </xf>
    <xf numFmtId="176" fontId="0" fillId="13" borderId="137" xfId="7" applyNumberFormat="1" applyFont="1" applyFill="1" applyBorder="1" applyAlignment="1" applyProtection="1">
      <alignment horizontal="right"/>
    </xf>
    <xf numFmtId="176" fontId="0" fillId="16" borderId="137" xfId="7" applyNumberFormat="1" applyFont="1" applyFill="1" applyBorder="1" applyAlignment="1" applyProtection="1">
      <alignment horizontal="right"/>
      <protection locked="0"/>
    </xf>
    <xf numFmtId="171" fontId="0" fillId="5" borderId="137" xfId="0" applyNumberFormat="1" applyFill="1" applyBorder="1" applyAlignment="1" applyProtection="1">
      <alignment horizontal="right"/>
      <protection locked="0"/>
    </xf>
    <xf numFmtId="171" fontId="0" fillId="5" borderId="152" xfId="0" applyNumberFormat="1" applyFill="1" applyBorder="1" applyAlignment="1" applyProtection="1">
      <alignment horizontal="right"/>
      <protection locked="0"/>
    </xf>
    <xf numFmtId="37" fontId="0" fillId="0" borderId="127" xfId="0" applyBorder="1" applyProtection="1">
      <protection locked="0"/>
    </xf>
    <xf numFmtId="168" fontId="0" fillId="15" borderId="137" xfId="0" applyNumberFormat="1" applyFill="1" applyBorder="1"/>
    <xf numFmtId="37" fontId="0" fillId="0" borderId="153" xfId="0" applyBorder="1" applyAlignment="1" applyProtection="1">
      <alignment horizontal="left" indent="1"/>
      <protection locked="0"/>
    </xf>
    <xf numFmtId="37" fontId="0" fillId="0" borderId="133" xfId="0" applyBorder="1" applyProtection="1">
      <protection locked="0"/>
    </xf>
    <xf numFmtId="37" fontId="0" fillId="5" borderId="152" xfId="0" applyFill="1" applyBorder="1" applyProtection="1">
      <protection locked="0"/>
    </xf>
    <xf numFmtId="37" fontId="10" fillId="0" borderId="76" xfId="0" applyFont="1" applyBorder="1" applyAlignment="1" applyProtection="1">
      <alignment horizontal="left" indent="1"/>
      <protection locked="0"/>
    </xf>
    <xf numFmtId="37" fontId="0" fillId="5" borderId="64" xfId="0" applyFill="1" applyBorder="1" applyProtection="1">
      <protection locked="0"/>
    </xf>
    <xf numFmtId="10" fontId="0" fillId="13" borderId="137" xfId="0" quotePrefix="1" applyNumberFormat="1" applyFill="1" applyBorder="1" applyAlignment="1">
      <alignment horizontal="right"/>
    </xf>
    <xf numFmtId="9" fontId="0" fillId="16" borderId="137" xfId="0" applyNumberFormat="1" applyFill="1" applyBorder="1" applyAlignment="1" applyProtection="1">
      <alignment horizontal="right"/>
      <protection locked="0"/>
    </xf>
    <xf numFmtId="9" fontId="0" fillId="13" borderId="137" xfId="0" quotePrefix="1" applyNumberFormat="1" applyFill="1" applyBorder="1" applyAlignment="1">
      <alignment horizontal="right"/>
    </xf>
    <xf numFmtId="168" fontId="10" fillId="15" borderId="137" xfId="0" applyNumberFormat="1" applyFont="1" applyFill="1" applyBorder="1"/>
    <xf numFmtId="37" fontId="15" fillId="0" borderId="127" xfId="0" applyFont="1" applyBorder="1" applyAlignment="1" applyProtection="1">
      <alignment horizontal="centerContinuous"/>
      <protection locked="0"/>
    </xf>
    <xf numFmtId="37" fontId="15" fillId="0" borderId="72" xfId="0" applyFont="1" applyBorder="1" applyAlignment="1" applyProtection="1">
      <alignment horizontal="center"/>
      <protection locked="0"/>
    </xf>
    <xf numFmtId="37" fontId="0" fillId="12" borderId="127" xfId="0" applyFill="1" applyBorder="1" applyProtection="1">
      <protection locked="0"/>
    </xf>
    <xf numFmtId="37" fontId="5" fillId="12" borderId="127" xfId="0" applyFont="1" applyFill="1" applyBorder="1" applyAlignment="1">
      <alignment horizontal="right" indent="1"/>
    </xf>
    <xf numFmtId="37" fontId="0" fillId="3" borderId="137" xfId="0" quotePrefix="1" applyFill="1" applyBorder="1" applyAlignment="1">
      <alignment horizontal="center"/>
    </xf>
    <xf numFmtId="37" fontId="0" fillId="18" borderId="158" xfId="0" applyFill="1" applyBorder="1" applyProtection="1">
      <protection locked="0"/>
    </xf>
    <xf numFmtId="37" fontId="0" fillId="0" borderId="160" xfId="0" applyBorder="1" applyProtection="1">
      <protection locked="0"/>
    </xf>
    <xf numFmtId="181" fontId="0" fillId="15" borderId="163" xfId="7" applyNumberFormat="1" applyFont="1" applyFill="1" applyBorder="1" applyAlignment="1" applyProtection="1">
      <alignment horizontal="center"/>
    </xf>
    <xf numFmtId="37" fontId="0" fillId="0" borderId="164" xfId="0" applyBorder="1" applyProtection="1">
      <protection locked="0"/>
    </xf>
    <xf numFmtId="37" fontId="5" fillId="0" borderId="157" xfId="0" applyFont="1" applyBorder="1" applyAlignment="1" applyProtection="1">
      <alignment horizontal="center"/>
      <protection locked="0"/>
    </xf>
    <xf numFmtId="37" fontId="5" fillId="0" borderId="76" xfId="0" applyFont="1" applyBorder="1" applyAlignment="1" applyProtection="1">
      <alignment horizontal="center"/>
      <protection locked="0"/>
    </xf>
    <xf numFmtId="37" fontId="5" fillId="0" borderId="62" xfId="0" applyFont="1" applyBorder="1" applyAlignment="1" applyProtection="1">
      <alignment horizontal="center"/>
      <protection locked="0"/>
    </xf>
    <xf numFmtId="37" fontId="0" fillId="16" borderId="156" xfId="0" applyFill="1" applyBorder="1" applyProtection="1">
      <protection locked="0"/>
    </xf>
    <xf numFmtId="37" fontId="0" fillId="16" borderId="165" xfId="0" applyFill="1" applyBorder="1" applyAlignment="1" applyProtection="1">
      <alignment horizontal="center"/>
      <protection locked="0"/>
    </xf>
    <xf numFmtId="37" fontId="6" fillId="0" borderId="76" xfId="0" applyFont="1" applyBorder="1" applyAlignment="1" applyProtection="1">
      <alignment horizontal="left" indent="1"/>
      <protection locked="0"/>
    </xf>
    <xf numFmtId="37" fontId="0" fillId="16" borderId="166" xfId="0" applyFill="1" applyBorder="1" applyAlignment="1" applyProtection="1">
      <alignment horizontal="center"/>
      <protection locked="0"/>
    </xf>
    <xf numFmtId="10" fontId="10" fillId="13" borderId="72" xfId="2" applyNumberFormat="1" applyFont="1" applyFill="1" applyBorder="1" applyAlignment="1" applyProtection="1">
      <alignment horizontal="center"/>
    </xf>
    <xf numFmtId="39" fontId="0" fillId="16" borderId="72" xfId="0" applyNumberFormat="1" applyFill="1" applyBorder="1" applyProtection="1">
      <protection locked="0"/>
    </xf>
    <xf numFmtId="177" fontId="0" fillId="13" borderId="72" xfId="1" applyNumberFormat="1" applyFont="1" applyFill="1" applyBorder="1" applyAlignment="1" applyProtection="1">
      <alignment horizontal="left"/>
    </xf>
    <xf numFmtId="176" fontId="0" fillId="13" borderId="72" xfId="7" applyNumberFormat="1" applyFont="1" applyFill="1" applyBorder="1" applyAlignment="1" applyProtection="1">
      <alignment horizontal="left"/>
    </xf>
    <xf numFmtId="37" fontId="10" fillId="13" borderId="72" xfId="0" applyFont="1" applyFill="1" applyBorder="1" applyAlignment="1">
      <alignment horizontal="right"/>
    </xf>
    <xf numFmtId="0" fontId="0" fillId="0" borderId="63" xfId="0" applyNumberFormat="1" applyBorder="1"/>
    <xf numFmtId="1" fontId="0" fillId="13" borderId="169" xfId="2" applyNumberFormat="1" applyFont="1" applyFill="1" applyBorder="1" applyAlignment="1" applyProtection="1">
      <alignment horizontal="right"/>
    </xf>
    <xf numFmtId="176" fontId="0" fillId="13" borderId="169" xfId="7" applyNumberFormat="1" applyFont="1" applyFill="1" applyBorder="1" applyProtection="1"/>
    <xf numFmtId="176" fontId="0" fillId="13" borderId="170" xfId="7" applyNumberFormat="1" applyFont="1" applyFill="1" applyBorder="1" applyProtection="1"/>
    <xf numFmtId="176" fontId="0" fillId="5" borderId="171" xfId="7" applyNumberFormat="1" applyFont="1" applyFill="1" applyBorder="1" applyAlignment="1" applyProtection="1">
      <alignment horizontal="right"/>
    </xf>
    <xf numFmtId="176" fontId="0" fillId="13" borderId="173" xfId="7" applyNumberFormat="1" applyFont="1" applyFill="1" applyBorder="1" applyProtection="1"/>
    <xf numFmtId="176" fontId="0" fillId="9" borderId="169" xfId="7" applyNumberFormat="1" applyFont="1" applyFill="1" applyBorder="1" applyProtection="1"/>
    <xf numFmtId="10" fontId="0" fillId="13" borderId="169" xfId="2" applyNumberFormat="1" applyFont="1" applyFill="1" applyBorder="1" applyAlignment="1" applyProtection="1">
      <alignment horizontal="right"/>
    </xf>
    <xf numFmtId="176" fontId="0" fillId="13" borderId="150" xfId="7" applyNumberFormat="1" applyFont="1" applyFill="1" applyBorder="1" applyProtection="1"/>
    <xf numFmtId="176" fontId="0" fillId="13" borderId="182" xfId="7" applyNumberFormat="1" applyFont="1" applyFill="1" applyBorder="1" applyProtection="1"/>
    <xf numFmtId="176" fontId="10" fillId="13" borderId="71" xfId="7" applyNumberFormat="1" applyFont="1" applyFill="1" applyBorder="1" applyProtection="1"/>
    <xf numFmtId="176" fontId="6" fillId="0" borderId="83" xfId="7" applyNumberFormat="1" applyFont="1" applyFill="1" applyBorder="1" applyAlignment="1" applyProtection="1">
      <alignment horizontal="left" indent="1"/>
    </xf>
    <xf numFmtId="176" fontId="0" fillId="0" borderId="137" xfId="7" applyNumberFormat="1" applyFont="1" applyFill="1" applyBorder="1" applyAlignment="1" applyProtection="1">
      <alignment horizontal="right"/>
      <protection locked="0"/>
    </xf>
    <xf numFmtId="37" fontId="0" fillId="0" borderId="83" xfId="0" applyBorder="1" applyAlignment="1">
      <alignment horizontal="left" indent="1"/>
    </xf>
    <xf numFmtId="37" fontId="0" fillId="0" borderId="137" xfId="0" applyBorder="1"/>
    <xf numFmtId="37" fontId="0" fillId="0" borderId="137" xfId="0" applyBorder="1" applyProtection="1">
      <protection locked="0"/>
    </xf>
    <xf numFmtId="37" fontId="0" fillId="0" borderId="139" xfId="0" quotePrefix="1" applyBorder="1" applyAlignment="1" applyProtection="1">
      <alignment horizontal="left" indent="1"/>
      <protection locked="0"/>
    </xf>
    <xf numFmtId="168" fontId="0" fillId="0" borderId="150" xfId="0" applyNumberFormat="1" applyBorder="1"/>
    <xf numFmtId="168" fontId="0" fillId="0" borderId="150" xfId="0" applyNumberFormat="1" applyBorder="1" applyProtection="1">
      <protection locked="0"/>
    </xf>
    <xf numFmtId="37" fontId="0" fillId="0" borderId="186" xfId="0" applyBorder="1" applyAlignment="1" applyProtection="1">
      <alignment horizontal="left" indent="1"/>
      <protection locked="0"/>
    </xf>
    <xf numFmtId="37" fontId="43" fillId="0" borderId="76" xfId="0" applyFont="1" applyBorder="1" applyAlignment="1" applyProtection="1">
      <alignment horizontal="left" indent="2"/>
      <protection locked="0"/>
    </xf>
    <xf numFmtId="37" fontId="25" fillId="0" borderId="185" xfId="0" applyFont="1" applyBorder="1" applyProtection="1">
      <protection locked="0"/>
    </xf>
    <xf numFmtId="37" fontId="0" fillId="0" borderId="187" xfId="0" applyBorder="1" applyAlignment="1">
      <alignment horizontal="left" indent="1"/>
    </xf>
    <xf numFmtId="37" fontId="43" fillId="0" borderId="183" xfId="0" applyFont="1" applyBorder="1" applyAlignment="1" applyProtection="1">
      <alignment horizontal="left" indent="1"/>
      <protection locked="0"/>
    </xf>
    <xf numFmtId="37" fontId="0" fillId="0" borderId="185" xfId="0" applyBorder="1" applyProtection="1">
      <protection locked="0"/>
    </xf>
    <xf numFmtId="37" fontId="44" fillId="16" borderId="72" xfId="0" applyFont="1" applyFill="1" applyBorder="1" applyProtection="1">
      <protection locked="0"/>
    </xf>
    <xf numFmtId="37" fontId="0" fillId="0" borderId="188" xfId="0" applyBorder="1" applyAlignment="1" applyProtection="1">
      <alignment horizontal="left" indent="1"/>
      <protection locked="0"/>
    </xf>
    <xf numFmtId="37" fontId="0" fillId="0" borderId="188" xfId="0" applyBorder="1" applyProtection="1">
      <protection locked="0"/>
    </xf>
    <xf numFmtId="37" fontId="10" fillId="0" borderId="183" xfId="0" applyFont="1" applyBorder="1" applyAlignment="1" applyProtection="1">
      <alignment horizontal="left" indent="1"/>
      <protection locked="0"/>
    </xf>
    <xf numFmtId="168" fontId="10" fillId="16" borderId="150" xfId="0" applyNumberFormat="1" applyFont="1" applyFill="1" applyBorder="1" applyProtection="1">
      <protection locked="0"/>
    </xf>
    <xf numFmtId="38" fontId="0" fillId="0" borderId="190" xfId="0" applyNumberFormat="1" applyBorder="1"/>
    <xf numFmtId="37" fontId="29" fillId="0" borderId="192" xfId="0" applyFont="1" applyBorder="1" applyProtection="1">
      <protection locked="0"/>
    </xf>
    <xf numFmtId="37" fontId="30" fillId="0" borderId="193" xfId="0" applyFont="1" applyBorder="1" applyAlignment="1" applyProtection="1">
      <alignment horizontal="center"/>
      <protection locked="0"/>
    </xf>
    <xf numFmtId="10" fontId="10" fillId="0" borderId="53" xfId="0" applyNumberFormat="1" applyFont="1" applyBorder="1" applyProtection="1">
      <protection locked="0"/>
    </xf>
    <xf numFmtId="183" fontId="44" fillId="0" borderId="198" xfId="0" applyNumberFormat="1" applyFont="1" applyBorder="1" applyAlignment="1">
      <alignment horizontal="center"/>
    </xf>
    <xf numFmtId="37" fontId="30" fillId="0" borderId="199" xfId="0" applyFont="1" applyBorder="1" applyAlignment="1" applyProtection="1">
      <alignment horizontal="left" indent="1"/>
      <protection locked="0"/>
    </xf>
    <xf numFmtId="10" fontId="10" fillId="0" borderId="199" xfId="0" applyNumberFormat="1" applyFont="1" applyBorder="1" applyProtection="1">
      <protection locked="0"/>
    </xf>
    <xf numFmtId="183" fontId="44" fillId="0" borderId="201" xfId="0" applyNumberFormat="1" applyFont="1" applyBorder="1" applyAlignment="1">
      <alignment horizontal="center"/>
    </xf>
    <xf numFmtId="37" fontId="10" fillId="11" borderId="205" xfId="0" applyFont="1" applyFill="1" applyBorder="1" applyAlignment="1" applyProtection="1">
      <alignment horizontal="center" wrapText="1"/>
      <protection locked="0"/>
    </xf>
    <xf numFmtId="37" fontId="32" fillId="0" borderId="63" xfId="4" applyFont="1" applyBorder="1" applyAlignment="1" applyProtection="1">
      <alignment vertical="center"/>
      <protection locked="0"/>
    </xf>
    <xf numFmtId="37" fontId="32" fillId="0" borderId="208" xfId="4" applyFont="1" applyBorder="1" applyAlignment="1" applyProtection="1">
      <alignment vertical="center"/>
      <protection locked="0"/>
    </xf>
    <xf numFmtId="176" fontId="0" fillId="13" borderId="197" xfId="7" applyNumberFormat="1" applyFont="1" applyFill="1" applyBorder="1" applyAlignment="1" applyProtection="1">
      <alignment horizontal="right"/>
    </xf>
    <xf numFmtId="176" fontId="0" fillId="13" borderId="197" xfId="1" applyNumberFormat="1" applyFont="1" applyFill="1" applyBorder="1" applyAlignment="1" applyProtection="1">
      <alignment horizontal="right"/>
    </xf>
    <xf numFmtId="37" fontId="39" fillId="11" borderId="206" xfId="0" applyFont="1" applyFill="1" applyBorder="1" applyAlignment="1" applyProtection="1">
      <alignment horizontal="center"/>
      <protection locked="0"/>
    </xf>
    <xf numFmtId="9" fontId="0" fillId="0" borderId="197" xfId="2" applyFont="1" applyBorder="1" applyAlignment="1"/>
    <xf numFmtId="172" fontId="0" fillId="0" borderId="197" xfId="1" applyNumberFormat="1" applyFont="1" applyBorder="1"/>
    <xf numFmtId="49" fontId="0" fillId="0" borderId="197" xfId="2" applyNumberFormat="1" applyFont="1" applyBorder="1" applyAlignment="1"/>
    <xf numFmtId="9" fontId="0" fillId="11" borderId="197" xfId="2" applyFont="1" applyFill="1" applyBorder="1" applyAlignment="1"/>
    <xf numFmtId="172" fontId="0" fillId="11" borderId="197" xfId="1" applyNumberFormat="1" applyFont="1" applyFill="1" applyBorder="1"/>
    <xf numFmtId="10" fontId="0" fillId="0" borderId="197" xfId="2" applyNumberFormat="1" applyFont="1" applyFill="1" applyBorder="1"/>
    <xf numFmtId="175" fontId="0" fillId="0" borderId="197" xfId="2" applyNumberFormat="1" applyFont="1" applyBorder="1"/>
    <xf numFmtId="9" fontId="0" fillId="11" borderId="197" xfId="2" applyFont="1" applyFill="1" applyBorder="1"/>
    <xf numFmtId="10" fontId="0" fillId="11" borderId="197" xfId="2" applyNumberFormat="1" applyFont="1" applyFill="1" applyBorder="1"/>
    <xf numFmtId="0" fontId="31" fillId="0" borderId="197" xfId="0" applyNumberFormat="1" applyFont="1" applyBorder="1"/>
    <xf numFmtId="176" fontId="0" fillId="0" borderId="197" xfId="7" applyNumberFormat="1" applyFont="1" applyBorder="1"/>
    <xf numFmtId="176" fontId="0" fillId="11" borderId="197" xfId="7" applyNumberFormat="1" applyFont="1" applyFill="1" applyBorder="1"/>
    <xf numFmtId="9" fontId="0" fillId="0" borderId="197" xfId="2" applyFont="1" applyBorder="1"/>
    <xf numFmtId="37" fontId="15" fillId="0" borderId="63" xfId="0" applyFont="1" applyBorder="1"/>
    <xf numFmtId="37" fontId="44" fillId="0" borderId="160" xfId="0" quotePrefix="1" applyFont="1" applyBorder="1" applyAlignment="1">
      <alignment horizontal="center"/>
    </xf>
    <xf numFmtId="37" fontId="44" fillId="0" borderId="160" xfId="0" applyFont="1" applyBorder="1" applyProtection="1">
      <protection locked="0"/>
    </xf>
    <xf numFmtId="37" fontId="51" fillId="0" borderId="212" xfId="0" quotePrefix="1" applyFont="1" applyBorder="1" applyAlignment="1">
      <alignment horizontal="right"/>
    </xf>
    <xf numFmtId="37" fontId="0" fillId="28" borderId="9" xfId="0" quotePrefix="1" applyFill="1" applyBorder="1"/>
    <xf numFmtId="37" fontId="0" fillId="28" borderId="29" xfId="0" quotePrefix="1" applyFill="1" applyBorder="1" applyAlignment="1">
      <alignment horizontal="left" indent="1"/>
    </xf>
    <xf numFmtId="37" fontId="0" fillId="28" borderId="40" xfId="0" applyFill="1" applyBorder="1"/>
    <xf numFmtId="37" fontId="0" fillId="28" borderId="24" xfId="0" applyFill="1" applyBorder="1" applyAlignment="1">
      <alignment horizontal="left" indent="1"/>
    </xf>
    <xf numFmtId="176" fontId="6" fillId="0" borderId="156" xfId="7" applyNumberFormat="1" applyFont="1" applyFill="1" applyBorder="1" applyAlignment="1" applyProtection="1">
      <alignment horizontal="left" indent="1"/>
    </xf>
    <xf numFmtId="176" fontId="0" fillId="0" borderId="211" xfId="7" applyNumberFormat="1" applyFont="1" applyFill="1" applyBorder="1" applyAlignment="1" applyProtection="1">
      <alignment horizontal="right"/>
      <protection locked="0"/>
    </xf>
    <xf numFmtId="37" fontId="71" fillId="0" borderId="0" xfId="0" applyFont="1" applyProtection="1">
      <protection locked="0"/>
    </xf>
    <xf numFmtId="37" fontId="12" fillId="0" borderId="0" xfId="0" applyFont="1" applyAlignment="1" applyProtection="1">
      <alignment horizontal="center"/>
      <protection hidden="1"/>
    </xf>
    <xf numFmtId="37" fontId="0" fillId="0" borderId="0" xfId="0" applyProtection="1">
      <protection hidden="1"/>
    </xf>
    <xf numFmtId="37" fontId="0" fillId="0" borderId="0" xfId="0" applyAlignment="1" applyProtection="1">
      <alignment horizontal="left"/>
      <protection hidden="1"/>
    </xf>
    <xf numFmtId="37" fontId="34" fillId="0" borderId="0" xfId="0" applyFont="1" applyAlignment="1" applyProtection="1">
      <alignment horizontal="center"/>
      <protection hidden="1"/>
    </xf>
    <xf numFmtId="37" fontId="5" fillId="0" borderId="0" xfId="0" applyFont="1" applyAlignment="1" applyProtection="1">
      <alignment horizontal="center"/>
      <protection hidden="1"/>
    </xf>
    <xf numFmtId="37" fontId="0" fillId="0" borderId="0" xfId="0" applyAlignment="1" applyProtection="1">
      <alignment horizontal="centerContinuous" wrapText="1"/>
      <protection hidden="1"/>
    </xf>
    <xf numFmtId="37" fontId="5" fillId="0" borderId="0" xfId="0" applyFont="1" applyAlignment="1" applyProtection="1">
      <alignment horizontal="center" wrapText="1"/>
      <protection hidden="1"/>
    </xf>
    <xf numFmtId="37" fontId="11" fillId="0" borderId="0" xfId="0" applyFont="1" applyProtection="1">
      <protection hidden="1"/>
    </xf>
    <xf numFmtId="37" fontId="21" fillId="0" borderId="0" xfId="0" applyFont="1" applyAlignment="1" applyProtection="1">
      <alignment vertical="center"/>
      <protection hidden="1"/>
    </xf>
    <xf numFmtId="1" fontId="0" fillId="0" borderId="0" xfId="0" applyNumberFormat="1" applyProtection="1">
      <protection hidden="1"/>
    </xf>
    <xf numFmtId="37" fontId="41" fillId="0" borderId="0" xfId="0" applyFont="1" applyAlignment="1" applyProtection="1">
      <alignment horizontal="center" wrapText="1"/>
      <protection hidden="1"/>
    </xf>
    <xf numFmtId="1" fontId="0" fillId="0" borderId="0" xfId="0" applyNumberFormat="1"/>
    <xf numFmtId="164" fontId="0" fillId="0" borderId="0" xfId="0" applyNumberFormat="1" applyAlignment="1" applyProtection="1">
      <alignment horizontal="center"/>
      <protection hidden="1"/>
    </xf>
    <xf numFmtId="37" fontId="0" fillId="17" borderId="0" xfId="0" applyFill="1"/>
    <xf numFmtId="37" fontId="34" fillId="0" borderId="0" xfId="0" applyFont="1" applyAlignment="1">
      <alignment horizontal="center"/>
    </xf>
    <xf numFmtId="37" fontId="34" fillId="17" borderId="0" xfId="0" quotePrefix="1" applyFont="1" applyFill="1"/>
    <xf numFmtId="37" fontId="34" fillId="17" borderId="0" xfId="0" applyFont="1" applyFill="1"/>
    <xf numFmtId="9" fontId="6" fillId="17" borderId="0" xfId="2" quotePrefix="1" applyFont="1" applyFill="1" applyProtection="1"/>
    <xf numFmtId="37" fontId="34" fillId="0" borderId="0" xfId="0" quotePrefix="1" applyFont="1"/>
    <xf numFmtId="37" fontId="0" fillId="17" borderId="0" xfId="0" quotePrefix="1" applyFill="1"/>
    <xf numFmtId="184" fontId="0" fillId="13" borderId="0" xfId="2" applyNumberFormat="1" applyFont="1" applyFill="1" applyProtection="1"/>
    <xf numFmtId="183" fontId="35" fillId="13" borderId="24" xfId="0" applyNumberFormat="1" applyFont="1" applyFill="1" applyBorder="1"/>
    <xf numFmtId="183" fontId="34" fillId="13" borderId="24" xfId="0" applyNumberFormat="1" applyFont="1" applyFill="1" applyBorder="1"/>
    <xf numFmtId="37" fontId="39" fillId="0" borderId="0" xfId="0" applyFont="1" applyAlignment="1">
      <alignment horizontal="center"/>
    </xf>
    <xf numFmtId="37" fontId="39" fillId="11" borderId="199" xfId="0" applyFont="1" applyFill="1" applyBorder="1" applyAlignment="1">
      <alignment horizontal="center"/>
    </xf>
    <xf numFmtId="37" fontId="39" fillId="11" borderId="0" xfId="0" applyFont="1" applyFill="1" applyAlignment="1">
      <alignment horizontal="center"/>
    </xf>
    <xf numFmtId="37" fontId="36" fillId="0" borderId="58" xfId="0" applyFont="1" applyBorder="1" applyAlignment="1">
      <alignment horizontal="center" wrapText="1"/>
    </xf>
    <xf numFmtId="37" fontId="36" fillId="0" borderId="58" xfId="0" applyFont="1" applyBorder="1" applyAlignment="1">
      <alignment horizontal="center"/>
    </xf>
    <xf numFmtId="37" fontId="36" fillId="0" borderId="59" xfId="0" applyFont="1" applyBorder="1" applyAlignment="1">
      <alignment horizontal="center"/>
    </xf>
    <xf numFmtId="37" fontId="36" fillId="0" borderId="60" xfId="0" applyFont="1" applyBorder="1" applyAlignment="1">
      <alignment horizontal="center" vertical="center"/>
    </xf>
    <xf numFmtId="37" fontId="40" fillId="0" borderId="58" xfId="0" applyFont="1" applyBorder="1" applyAlignment="1">
      <alignment horizontal="center"/>
    </xf>
    <xf numFmtId="37" fontId="36" fillId="0" borderId="41" xfId="0" applyFont="1" applyBorder="1" applyAlignment="1">
      <alignment horizontal="center"/>
    </xf>
    <xf numFmtId="37" fontId="36" fillId="0" borderId="61" xfId="0" applyFont="1" applyBorder="1" applyAlignment="1">
      <alignment horizontal="center"/>
    </xf>
    <xf numFmtId="2" fontId="36" fillId="0" borderId="59" xfId="0" applyNumberFormat="1" applyFont="1" applyBorder="1" applyAlignment="1">
      <alignment horizontal="center"/>
    </xf>
    <xf numFmtId="37" fontId="36" fillId="0" borderId="42" xfId="0" applyFont="1" applyBorder="1" applyAlignment="1">
      <alignment horizontal="center"/>
    </xf>
    <xf numFmtId="2" fontId="40" fillId="0" borderId="58" xfId="0" applyNumberFormat="1" applyFont="1" applyBorder="1" applyAlignment="1">
      <alignment horizontal="center"/>
    </xf>
    <xf numFmtId="2" fontId="40" fillId="0" borderId="206" xfId="0" applyNumberFormat="1" applyFont="1" applyBorder="1" applyAlignment="1">
      <alignment horizontal="center"/>
    </xf>
    <xf numFmtId="37" fontId="0" fillId="0" borderId="0" xfId="0" applyAlignment="1">
      <alignment horizontal="left" wrapText="1"/>
    </xf>
    <xf numFmtId="37" fontId="0" fillId="0" borderId="35" xfId="0" applyBorder="1" applyAlignment="1">
      <alignment horizontal="center"/>
    </xf>
    <xf numFmtId="1" fontId="0" fillId="0" borderId="0" xfId="0" applyNumberFormat="1" applyAlignment="1">
      <alignment horizontal="center"/>
    </xf>
    <xf numFmtId="177" fontId="10" fillId="13" borderId="72" xfId="1" quotePrefix="1" applyNumberFormat="1" applyFont="1" applyFill="1" applyBorder="1" applyAlignment="1" applyProtection="1"/>
    <xf numFmtId="37" fontId="0" fillId="13" borderId="209" xfId="0" quotePrefix="1" applyFill="1" applyBorder="1"/>
    <xf numFmtId="37" fontId="0" fillId="13" borderId="62" xfId="0" quotePrefix="1" applyFill="1" applyBorder="1"/>
    <xf numFmtId="37" fontId="0" fillId="13" borderId="209" xfId="0" applyFill="1" applyBorder="1"/>
    <xf numFmtId="9" fontId="6" fillId="13" borderId="62" xfId="2" applyFont="1" applyFill="1" applyBorder="1" applyProtection="1"/>
    <xf numFmtId="37" fontId="57" fillId="13" borderId="209" xfId="0" applyFont="1" applyFill="1" applyBorder="1" applyAlignment="1">
      <alignment horizontal="left" indent="1"/>
    </xf>
    <xf numFmtId="37" fontId="57" fillId="13" borderId="62" xfId="0" applyFont="1" applyFill="1" applyBorder="1" applyAlignment="1">
      <alignment horizontal="left" indent="1"/>
    </xf>
    <xf numFmtId="9" fontId="7" fillId="13" borderId="62" xfId="2" applyFont="1" applyFill="1" applyBorder="1" applyAlignment="1">
      <alignment horizontal="right" indent="1"/>
    </xf>
    <xf numFmtId="37" fontId="7" fillId="13" borderId="209" xfId="0" applyFont="1" applyFill="1" applyBorder="1" applyAlignment="1">
      <alignment horizontal="center"/>
    </xf>
    <xf numFmtId="37" fontId="7" fillId="13" borderId="62" xfId="0" applyFont="1" applyFill="1" applyBorder="1" applyAlignment="1">
      <alignment horizontal="center"/>
    </xf>
    <xf numFmtId="37" fontId="0" fillId="13" borderId="186" xfId="0" applyFill="1" applyBorder="1" applyAlignment="1">
      <alignment horizontal="left" indent="1"/>
    </xf>
    <xf numFmtId="37" fontId="0" fillId="13" borderId="216" xfId="0" applyFill="1" applyBorder="1" applyProtection="1">
      <protection locked="0"/>
    </xf>
    <xf numFmtId="176" fontId="0" fillId="13" borderId="62" xfId="7" quotePrefix="1" applyNumberFormat="1" applyFont="1" applyFill="1" applyBorder="1" applyProtection="1"/>
    <xf numFmtId="37" fontId="0" fillId="13" borderId="156" xfId="0" applyFill="1" applyBorder="1" applyAlignment="1">
      <alignment horizontal="left" indent="1"/>
    </xf>
    <xf numFmtId="37" fontId="0" fillId="13" borderId="215" xfId="0" applyFill="1" applyBorder="1" applyProtection="1">
      <protection locked="0"/>
    </xf>
    <xf numFmtId="176" fontId="0" fillId="13" borderId="72" xfId="7" applyNumberFormat="1" applyFont="1" applyFill="1" applyBorder="1" applyProtection="1"/>
    <xf numFmtId="37" fontId="0" fillId="13" borderId="214" xfId="0" applyFill="1" applyBorder="1" applyProtection="1">
      <protection locked="0"/>
    </xf>
    <xf numFmtId="37" fontId="0" fillId="13" borderId="72" xfId="0" applyFill="1" applyBorder="1" applyProtection="1">
      <protection locked="0"/>
    </xf>
    <xf numFmtId="9" fontId="0" fillId="13" borderId="72" xfId="2" applyFont="1" applyFill="1" applyBorder="1"/>
    <xf numFmtId="9" fontId="0" fillId="13" borderId="72" xfId="2" applyFont="1" applyFill="1" applyBorder="1" applyProtection="1">
      <protection locked="0"/>
    </xf>
    <xf numFmtId="37" fontId="7" fillId="0" borderId="0" xfId="0" applyFont="1" applyAlignment="1" applyProtection="1">
      <alignment horizontal="right"/>
      <protection locked="0"/>
    </xf>
    <xf numFmtId="37" fontId="75" fillId="0" borderId="0" xfId="0" applyFont="1" applyProtection="1">
      <protection locked="0"/>
    </xf>
    <xf numFmtId="37" fontId="79" fillId="0" borderId="0" xfId="0" applyFont="1" applyProtection="1">
      <protection locked="0"/>
    </xf>
    <xf numFmtId="14" fontId="10" fillId="16" borderId="72" xfId="0" applyNumberFormat="1" applyFont="1" applyFill="1" applyBorder="1" applyAlignment="1" applyProtection="1">
      <alignment horizontal="center"/>
      <protection locked="0"/>
    </xf>
    <xf numFmtId="37" fontId="47" fillId="16" borderId="72" xfId="4" quotePrefix="1" applyFont="1" applyFill="1" applyBorder="1" applyAlignment="1" applyProtection="1">
      <alignment horizontal="center"/>
      <protection locked="0"/>
    </xf>
    <xf numFmtId="37" fontId="78" fillId="0" borderId="0" xfId="0" applyFont="1" applyProtection="1">
      <protection locked="0"/>
    </xf>
    <xf numFmtId="176" fontId="0" fillId="13" borderId="156" xfId="7" quotePrefix="1" applyNumberFormat="1" applyFont="1" applyFill="1" applyBorder="1" applyProtection="1"/>
    <xf numFmtId="49" fontId="0" fillId="0" borderId="0" xfId="0" applyNumberFormat="1" applyAlignment="1" applyProtection="1">
      <alignment horizontal="centerContinuous" wrapText="1"/>
      <protection locked="0"/>
    </xf>
    <xf numFmtId="37" fontId="0" fillId="16" borderId="72" xfId="0" applyFill="1" applyBorder="1" applyAlignment="1" applyProtection="1">
      <alignment horizontal="left"/>
      <protection locked="0"/>
    </xf>
    <xf numFmtId="185" fontId="0" fillId="16" borderId="72" xfId="0" applyNumberFormat="1" applyFill="1" applyBorder="1" applyAlignment="1" applyProtection="1">
      <alignment horizontal="center"/>
      <protection locked="0"/>
    </xf>
    <xf numFmtId="37" fontId="41" fillId="0" borderId="0" xfId="0" applyFont="1"/>
    <xf numFmtId="37" fontId="75" fillId="0" borderId="0" xfId="0" applyFont="1" applyAlignment="1" applyProtection="1">
      <alignment horizontal="right"/>
      <protection locked="0"/>
    </xf>
    <xf numFmtId="37" fontId="0" fillId="0" borderId="146" xfId="0" applyBorder="1" applyProtection="1">
      <protection locked="0"/>
    </xf>
    <xf numFmtId="37" fontId="75" fillId="0" borderId="84" xfId="0" applyFont="1" applyBorder="1" applyAlignment="1" applyProtection="1">
      <alignment horizontal="right"/>
      <protection locked="0"/>
    </xf>
    <xf numFmtId="37" fontId="30" fillId="13" borderId="72" xfId="0" applyFont="1" applyFill="1" applyBorder="1" applyAlignment="1">
      <alignment horizontal="center"/>
    </xf>
    <xf numFmtId="37" fontId="81" fillId="0" borderId="0" xfId="0" applyFont="1" applyAlignment="1">
      <alignment horizontal="left"/>
    </xf>
    <xf numFmtId="3" fontId="82" fillId="0" borderId="0" xfId="0" applyNumberFormat="1" applyFont="1" applyAlignment="1">
      <alignment horizontal="left"/>
    </xf>
    <xf numFmtId="37" fontId="47" fillId="0" borderId="0" xfId="0" applyFont="1" applyAlignment="1">
      <alignment horizontal="left"/>
    </xf>
    <xf numFmtId="37" fontId="86" fillId="0" borderId="0" xfId="0" applyFont="1" applyAlignment="1">
      <alignment horizontal="left"/>
    </xf>
    <xf numFmtId="3" fontId="81" fillId="0" borderId="0" xfId="0" applyNumberFormat="1" applyFont="1" applyAlignment="1">
      <alignment horizontal="left"/>
    </xf>
    <xf numFmtId="37" fontId="87" fillId="0" borderId="0" xfId="0" applyFont="1" applyAlignment="1">
      <alignment horizontal="left"/>
    </xf>
    <xf numFmtId="176" fontId="81" fillId="0" borderId="0" xfId="7" applyNumberFormat="1" applyFont="1" applyAlignment="1">
      <alignment horizontal="left"/>
    </xf>
    <xf numFmtId="176" fontId="81" fillId="0" borderId="0" xfId="7" applyNumberFormat="1" applyFont="1" applyFill="1" applyBorder="1" applyAlignment="1" applyProtection="1">
      <alignment horizontal="left"/>
    </xf>
    <xf numFmtId="176" fontId="47" fillId="0" borderId="0" xfId="7" applyNumberFormat="1" applyFont="1" applyFill="1" applyBorder="1" applyAlignment="1" applyProtection="1">
      <alignment horizontal="left"/>
    </xf>
    <xf numFmtId="37" fontId="81" fillId="0" borderId="72" xfId="0" applyFont="1" applyBorder="1" applyAlignment="1">
      <alignment horizontal="left"/>
    </xf>
    <xf numFmtId="176" fontId="86" fillId="0" borderId="0" xfId="7" applyNumberFormat="1" applyFont="1" applyAlignment="1">
      <alignment horizontal="left"/>
    </xf>
    <xf numFmtId="176" fontId="81" fillId="0" borderId="0" xfId="7" applyNumberFormat="1" applyFont="1" applyBorder="1" applyAlignment="1">
      <alignment horizontal="left"/>
    </xf>
    <xf numFmtId="37" fontId="81" fillId="29" borderId="0" xfId="0" applyFont="1" applyFill="1" applyAlignment="1">
      <alignment horizontal="left"/>
    </xf>
    <xf numFmtId="176" fontId="81" fillId="29" borderId="0" xfId="7" applyNumberFormat="1" applyFont="1" applyFill="1" applyBorder="1" applyAlignment="1">
      <alignment horizontal="left"/>
    </xf>
    <xf numFmtId="176" fontId="89" fillId="0" borderId="0" xfId="7" applyNumberFormat="1" applyFont="1" applyAlignment="1">
      <alignment horizontal="left"/>
    </xf>
    <xf numFmtId="37" fontId="89" fillId="0" borderId="0" xfId="0" applyFont="1" applyAlignment="1">
      <alignment horizontal="left"/>
    </xf>
    <xf numFmtId="176" fontId="47" fillId="0" borderId="0" xfId="7" applyNumberFormat="1" applyFont="1" applyAlignment="1">
      <alignment horizontal="left"/>
    </xf>
    <xf numFmtId="3" fontId="89" fillId="0" borderId="0" xfId="0" applyNumberFormat="1" applyFont="1" applyAlignment="1">
      <alignment horizontal="left"/>
    </xf>
    <xf numFmtId="176" fontId="86" fillId="0" borderId="0" xfId="7" applyNumberFormat="1" applyFont="1" applyBorder="1" applyAlignment="1">
      <alignment horizontal="left"/>
    </xf>
    <xf numFmtId="3" fontId="86" fillId="0" borderId="0" xfId="0" applyNumberFormat="1" applyFont="1" applyAlignment="1">
      <alignment horizontal="left"/>
    </xf>
    <xf numFmtId="176" fontId="90" fillId="0" borderId="0" xfId="7" applyNumberFormat="1" applyFont="1" applyAlignment="1">
      <alignment horizontal="left"/>
    </xf>
    <xf numFmtId="176" fontId="47" fillId="0" borderId="0" xfId="7" applyNumberFormat="1" applyFont="1" applyBorder="1" applyAlignment="1">
      <alignment horizontal="left"/>
    </xf>
    <xf numFmtId="176" fontId="91" fillId="0" borderId="0" xfId="7" applyNumberFormat="1" applyFont="1" applyAlignment="1">
      <alignment horizontal="left"/>
    </xf>
    <xf numFmtId="37" fontId="0" fillId="13" borderId="83" xfId="0" applyFill="1" applyBorder="1" applyAlignment="1">
      <alignment horizontal="left" indent="1"/>
    </xf>
    <xf numFmtId="37" fontId="0" fillId="13" borderId="124" xfId="0" applyFill="1" applyBorder="1" applyProtection="1">
      <protection locked="0"/>
    </xf>
    <xf numFmtId="176" fontId="0" fillId="13" borderId="72" xfId="7" quotePrefix="1" applyNumberFormat="1" applyFont="1" applyFill="1" applyBorder="1" applyProtection="1"/>
    <xf numFmtId="0" fontId="10" fillId="29" borderId="0" xfId="0" applyNumberFormat="1" applyFont="1" applyFill="1" applyAlignment="1">
      <alignment horizontal="center"/>
    </xf>
    <xf numFmtId="37" fontId="0" fillId="16" borderId="13" xfId="0" applyFill="1" applyBorder="1" applyProtection="1">
      <protection locked="0"/>
    </xf>
    <xf numFmtId="177" fontId="0" fillId="16" borderId="72" xfId="1" applyNumberFormat="1" applyFont="1" applyFill="1" applyBorder="1" applyProtection="1">
      <protection locked="0"/>
    </xf>
    <xf numFmtId="37" fontId="75" fillId="0" borderId="112" xfId="0" applyFont="1" applyBorder="1" applyProtection="1">
      <protection locked="0"/>
    </xf>
    <xf numFmtId="3" fontId="0" fillId="16" borderId="114" xfId="1" applyNumberFormat="1" applyFont="1" applyFill="1" applyBorder="1" applyProtection="1">
      <protection locked="0"/>
    </xf>
    <xf numFmtId="3" fontId="0" fillId="16" borderId="114" xfId="0" applyNumberFormat="1" applyFill="1" applyBorder="1" applyProtection="1">
      <protection locked="0"/>
    </xf>
    <xf numFmtId="176" fontId="44" fillId="0" borderId="0" xfId="7" applyNumberFormat="1" applyFont="1" applyFill="1" applyBorder="1" applyAlignment="1" applyProtection="1">
      <alignment horizontal="right"/>
      <protection locked="0"/>
    </xf>
    <xf numFmtId="43" fontId="0" fillId="0" borderId="0" xfId="7" applyFont="1" applyFill="1" applyProtection="1"/>
    <xf numFmtId="37" fontId="0" fillId="28" borderId="40" xfId="0" quotePrefix="1" applyFill="1" applyBorder="1"/>
    <xf numFmtId="37" fontId="0" fillId="28" borderId="24" xfId="0" quotePrefix="1" applyFill="1" applyBorder="1" applyAlignment="1">
      <alignment horizontal="left" indent="1"/>
    </xf>
    <xf numFmtId="37" fontId="0" fillId="32" borderId="0" xfId="0" applyFill="1"/>
    <xf numFmtId="37" fontId="0" fillId="32" borderId="0" xfId="0" applyFill="1" applyAlignment="1">
      <alignment horizontal="left" indent="1"/>
    </xf>
    <xf numFmtId="10" fontId="0" fillId="9" borderId="114" xfId="2" applyNumberFormat="1" applyFont="1" applyFill="1" applyBorder="1" applyAlignment="1" applyProtection="1">
      <alignment horizontal="center"/>
    </xf>
    <xf numFmtId="10" fontId="0" fillId="9" borderId="114" xfId="2" applyNumberFormat="1" applyFont="1" applyFill="1" applyBorder="1" applyAlignment="1">
      <alignment horizontal="center"/>
    </xf>
    <xf numFmtId="175" fontId="29" fillId="16" borderId="13" xfId="0" applyNumberFormat="1" applyFont="1" applyFill="1" applyBorder="1" applyAlignment="1" applyProtection="1">
      <alignment horizontal="center" vertical="center" wrapText="1"/>
      <protection locked="0"/>
    </xf>
    <xf numFmtId="37" fontId="0" fillId="16" borderId="72" xfId="0" applyFill="1" applyBorder="1" applyAlignment="1" applyProtection="1">
      <alignment horizontal="left" wrapText="1"/>
      <protection locked="0"/>
    </xf>
    <xf numFmtId="49" fontId="0" fillId="16" borderId="72" xfId="0" applyNumberFormat="1" applyFill="1" applyBorder="1" applyAlignment="1" applyProtection="1">
      <alignment horizontal="left"/>
      <protection locked="0"/>
    </xf>
    <xf numFmtId="37" fontId="0" fillId="16" borderId="72" xfId="0" applyFill="1" applyBorder="1" applyAlignment="1" applyProtection="1">
      <alignment horizontal="centerContinuous" wrapText="1"/>
      <protection locked="0"/>
    </xf>
    <xf numFmtId="0" fontId="0" fillId="16" borderId="72" xfId="0" applyNumberFormat="1" applyFill="1" applyBorder="1" applyAlignment="1" applyProtection="1">
      <alignment horizontal="left" wrapText="1"/>
      <protection locked="0"/>
    </xf>
    <xf numFmtId="49" fontId="0" fillId="16" borderId="72" xfId="0" applyNumberFormat="1" applyFill="1" applyBorder="1" applyAlignment="1" applyProtection="1">
      <alignment horizontal="centerContinuous" wrapText="1"/>
      <protection locked="0"/>
    </xf>
    <xf numFmtId="49" fontId="0" fillId="16" borderId="72" xfId="0" applyNumberFormat="1" applyFill="1" applyBorder="1" applyProtection="1">
      <protection locked="0"/>
    </xf>
    <xf numFmtId="178" fontId="0" fillId="16" borderId="72" xfId="0" applyNumberFormat="1" applyFill="1" applyBorder="1" applyAlignment="1" applyProtection="1">
      <alignment horizontal="left"/>
      <protection locked="0"/>
    </xf>
    <xf numFmtId="37" fontId="45" fillId="16" borderId="72" xfId="8" applyFill="1" applyBorder="1" applyProtection="1">
      <protection locked="0"/>
    </xf>
    <xf numFmtId="37" fontId="76" fillId="0" borderId="0" xfId="0" applyFont="1" applyProtection="1">
      <protection locked="0"/>
    </xf>
    <xf numFmtId="37" fontId="0" fillId="13" borderId="227" xfId="0" applyFill="1" applyBorder="1" applyAlignment="1">
      <alignment horizontal="left" indent="1"/>
    </xf>
    <xf numFmtId="37" fontId="37" fillId="0" borderId="224" xfId="0" applyFont="1" applyBorder="1"/>
    <xf numFmtId="37" fontId="51" fillId="0" borderId="228" xfId="0" applyFont="1" applyBorder="1"/>
    <xf numFmtId="37" fontId="75" fillId="0" borderId="103" xfId="0" applyFont="1" applyBorder="1" applyAlignment="1">
      <alignment horizontal="right"/>
    </xf>
    <xf numFmtId="37" fontId="0" fillId="0" borderId="231" xfId="0" applyBorder="1" applyProtection="1">
      <protection locked="0"/>
    </xf>
    <xf numFmtId="37" fontId="54" fillId="0" borderId="229" xfId="0" applyFont="1" applyBorder="1" applyAlignment="1">
      <alignment horizontal="center" wrapText="1"/>
    </xf>
    <xf numFmtId="3" fontId="0" fillId="18" borderId="114" xfId="0" applyNumberFormat="1" applyFill="1" applyBorder="1" applyProtection="1">
      <protection locked="0"/>
    </xf>
    <xf numFmtId="3" fontId="0" fillId="18" borderId="190" xfId="0" applyNumberFormat="1" applyFill="1" applyBorder="1" applyProtection="1">
      <protection locked="0"/>
    </xf>
    <xf numFmtId="3" fontId="0" fillId="16" borderId="190" xfId="0" applyNumberFormat="1" applyFill="1" applyBorder="1" applyProtection="1">
      <protection locked="0"/>
    </xf>
    <xf numFmtId="3" fontId="0" fillId="16" borderId="85" xfId="0" applyNumberFormat="1" applyFill="1" applyBorder="1" applyProtection="1">
      <protection locked="0"/>
    </xf>
    <xf numFmtId="3" fontId="0" fillId="16" borderId="114" xfId="0" applyNumberFormat="1" applyFill="1" applyBorder="1" applyAlignment="1" applyProtection="1">
      <alignment horizontal="right"/>
      <protection locked="0"/>
    </xf>
    <xf numFmtId="3" fontId="6" fillId="18" borderId="114" xfId="7" applyNumberFormat="1" applyFont="1" applyFill="1" applyBorder="1" applyProtection="1">
      <protection locked="0"/>
    </xf>
    <xf numFmtId="3" fontId="0" fillId="18" borderId="114" xfId="0" applyNumberFormat="1" applyFill="1" applyBorder="1" applyAlignment="1" applyProtection="1">
      <alignment horizontal="right"/>
      <protection locked="0"/>
    </xf>
    <xf numFmtId="3" fontId="0" fillId="18" borderId="230" xfId="0" applyNumberFormat="1" applyFill="1" applyBorder="1" applyAlignment="1" applyProtection="1">
      <alignment horizontal="right"/>
      <protection locked="0"/>
    </xf>
    <xf numFmtId="3" fontId="6" fillId="18" borderId="114" xfId="7" applyNumberFormat="1" applyFont="1" applyFill="1" applyBorder="1" applyAlignment="1" applyProtection="1">
      <alignment horizontal="right"/>
      <protection locked="0"/>
    </xf>
    <xf numFmtId="3" fontId="0" fillId="16" borderId="211" xfId="0" applyNumberFormat="1" applyFill="1" applyBorder="1" applyProtection="1">
      <protection locked="0"/>
    </xf>
    <xf numFmtId="3" fontId="0" fillId="16" borderId="125" xfId="0" applyNumberFormat="1" applyFill="1" applyBorder="1" applyProtection="1">
      <protection locked="0"/>
    </xf>
    <xf numFmtId="3" fontId="0" fillId="16" borderId="128" xfId="0" applyNumberFormat="1" applyFill="1" applyBorder="1" applyProtection="1">
      <protection locked="0"/>
    </xf>
    <xf numFmtId="3" fontId="0" fillId="18" borderId="128" xfId="7" applyNumberFormat="1" applyFont="1" applyFill="1" applyBorder="1" applyProtection="1">
      <protection locked="0"/>
    </xf>
    <xf numFmtId="3" fontId="0" fillId="18" borderId="190" xfId="7" applyNumberFormat="1" applyFont="1" applyFill="1" applyBorder="1" applyProtection="1">
      <protection locked="0"/>
    </xf>
    <xf numFmtId="3" fontId="0" fillId="18" borderId="128" xfId="1" applyNumberFormat="1" applyFont="1" applyFill="1" applyBorder="1" applyAlignment="1" applyProtection="1">
      <alignment horizontal="right"/>
      <protection locked="0"/>
    </xf>
    <xf numFmtId="3" fontId="0" fillId="18" borderId="190" xfId="1" applyNumberFormat="1" applyFont="1" applyFill="1" applyBorder="1" applyAlignment="1" applyProtection="1">
      <alignment horizontal="right"/>
      <protection locked="0"/>
    </xf>
    <xf numFmtId="3" fontId="6" fillId="16" borderId="128" xfId="7" applyNumberFormat="1" applyFont="1" applyFill="1" applyBorder="1" applyAlignment="1" applyProtection="1">
      <alignment horizontal="right"/>
      <protection locked="0"/>
    </xf>
    <xf numFmtId="3" fontId="0" fillId="18" borderId="128" xfId="7" applyNumberFormat="1" applyFont="1" applyFill="1" applyBorder="1" applyAlignment="1" applyProtection="1">
      <alignment horizontal="right"/>
      <protection locked="0"/>
    </xf>
    <xf numFmtId="3" fontId="0" fillId="16" borderId="132" xfId="0" applyNumberFormat="1" applyFill="1" applyBorder="1" applyAlignment="1" applyProtection="1">
      <alignment horizontal="right"/>
      <protection locked="0"/>
    </xf>
    <xf numFmtId="3" fontId="0" fillId="18" borderId="132" xfId="7" applyNumberFormat="1" applyFont="1" applyFill="1" applyBorder="1" applyAlignment="1" applyProtection="1">
      <alignment horizontal="right"/>
      <protection locked="0"/>
    </xf>
    <xf numFmtId="3" fontId="30" fillId="18" borderId="128" xfId="0" applyNumberFormat="1" applyFont="1" applyFill="1" applyBorder="1" applyProtection="1">
      <protection locked="0"/>
    </xf>
    <xf numFmtId="3" fontId="6" fillId="18" borderId="190" xfId="7" applyNumberFormat="1" applyFont="1" applyFill="1" applyBorder="1" applyProtection="1">
      <protection locked="0"/>
    </xf>
    <xf numFmtId="3" fontId="10" fillId="13" borderId="128" xfId="1" applyNumberFormat="1" applyFont="1" applyFill="1" applyBorder="1" applyProtection="1"/>
    <xf numFmtId="3" fontId="0" fillId="18" borderId="190" xfId="0" applyNumberFormat="1" applyFill="1" applyBorder="1" applyAlignment="1" applyProtection="1">
      <alignment horizontal="right"/>
      <protection locked="0"/>
    </xf>
    <xf numFmtId="3" fontId="0" fillId="18" borderId="137" xfId="7" applyNumberFormat="1" applyFont="1" applyFill="1" applyBorder="1" applyAlignment="1" applyProtection="1">
      <alignment horizontal="right"/>
      <protection locked="0"/>
    </xf>
    <xf numFmtId="3" fontId="0" fillId="16" borderId="128" xfId="0" applyNumberFormat="1" applyFill="1" applyBorder="1" applyAlignment="1" applyProtection="1">
      <alignment horizontal="right"/>
      <protection locked="0"/>
    </xf>
    <xf numFmtId="3" fontId="0" fillId="19" borderId="131" xfId="0" applyNumberFormat="1" applyFill="1" applyBorder="1" applyAlignment="1" applyProtection="1">
      <alignment horizontal="right"/>
      <protection locked="0"/>
    </xf>
    <xf numFmtId="3" fontId="0" fillId="16" borderId="137" xfId="0" applyNumberFormat="1" applyFill="1" applyBorder="1" applyAlignment="1" applyProtection="1">
      <alignment horizontal="right"/>
      <protection locked="0"/>
    </xf>
    <xf numFmtId="37" fontId="5" fillId="0" borderId="126" xfId="0" applyFont="1" applyBorder="1" applyProtection="1">
      <protection locked="0"/>
    </xf>
    <xf numFmtId="37" fontId="51" fillId="0" borderId="116" xfId="0" quotePrefix="1" applyFont="1" applyBorder="1" applyAlignment="1" applyProtection="1">
      <alignment horizontal="right"/>
      <protection locked="0"/>
    </xf>
    <xf numFmtId="37" fontId="51" fillId="0" borderId="85" xfId="0" quotePrefix="1" applyFont="1" applyBorder="1" applyAlignment="1" applyProtection="1">
      <alignment horizontal="right"/>
      <protection locked="0"/>
    </xf>
    <xf numFmtId="37" fontId="51" fillId="0" borderId="134" xfId="0" applyFont="1" applyBorder="1" applyAlignment="1">
      <alignment horizontal="right"/>
    </xf>
    <xf numFmtId="37" fontId="95" fillId="0" borderId="116" xfId="0" quotePrefix="1" applyFont="1" applyBorder="1" applyAlignment="1">
      <alignment horizontal="center"/>
    </xf>
    <xf numFmtId="37" fontId="95" fillId="0" borderId="116" xfId="0" applyFont="1" applyBorder="1" applyProtection="1">
      <protection locked="0"/>
    </xf>
    <xf numFmtId="37" fontId="51" fillId="0" borderId="116" xfId="0" quotePrefix="1" applyFont="1" applyBorder="1" applyProtection="1">
      <protection locked="0"/>
    </xf>
    <xf numFmtId="37" fontId="51" fillId="0" borderId="0" xfId="0" applyFont="1" applyAlignment="1" applyProtection="1">
      <alignment horizontal="right"/>
      <protection locked="0"/>
    </xf>
    <xf numFmtId="37" fontId="51" fillId="0" borderId="231" xfId="0" quotePrefix="1" applyFont="1" applyBorder="1" applyAlignment="1" applyProtection="1">
      <alignment horizontal="right"/>
      <protection locked="0"/>
    </xf>
    <xf numFmtId="37" fontId="0" fillId="0" borderId="218" xfId="0" applyBorder="1" applyProtection="1">
      <protection locked="0"/>
    </xf>
    <xf numFmtId="37" fontId="10" fillId="13" borderId="183" xfId="0" applyFont="1" applyFill="1" applyBorder="1" applyAlignment="1">
      <alignment horizontal="left" indent="1"/>
    </xf>
    <xf numFmtId="37" fontId="0" fillId="13" borderId="218" xfId="0" applyFill="1" applyBorder="1"/>
    <xf numFmtId="37" fontId="0" fillId="13" borderId="215" xfId="0" applyFill="1" applyBorder="1"/>
    <xf numFmtId="9" fontId="0" fillId="13" borderId="72" xfId="2" applyFont="1" applyFill="1" applyBorder="1" applyAlignment="1"/>
    <xf numFmtId="37" fontId="0" fillId="13" borderId="72" xfId="1" applyNumberFormat="1" applyFont="1" applyFill="1" applyBorder="1" applyAlignment="1" applyProtection="1"/>
    <xf numFmtId="9" fontId="0" fillId="13" borderId="72" xfId="2" applyFont="1" applyFill="1" applyBorder="1" applyAlignment="1">
      <alignment horizontal="right"/>
    </xf>
    <xf numFmtId="3" fontId="0" fillId="13" borderId="72" xfId="1" applyNumberFormat="1" applyFont="1" applyFill="1" applyBorder="1" applyAlignment="1" applyProtection="1">
      <alignment horizontal="right"/>
    </xf>
    <xf numFmtId="3" fontId="0" fillId="13" borderId="72" xfId="1" applyNumberFormat="1" applyFont="1" applyFill="1" applyBorder="1" applyAlignment="1" applyProtection="1"/>
    <xf numFmtId="37" fontId="0" fillId="13" borderId="218" xfId="0" applyFill="1" applyBorder="1" applyProtection="1">
      <protection locked="0"/>
    </xf>
    <xf numFmtId="37" fontId="75" fillId="0" borderId="0" xfId="0" applyFont="1" applyAlignment="1" applyProtection="1">
      <alignment horizontal="left" indent="1"/>
      <protection locked="0"/>
    </xf>
    <xf numFmtId="37" fontId="5" fillId="0" borderId="148" xfId="0" applyFont="1" applyBorder="1" applyAlignment="1" applyProtection="1">
      <alignment horizontal="center" wrapText="1"/>
      <protection locked="0"/>
    </xf>
    <xf numFmtId="176" fontId="0" fillId="12" borderId="137" xfId="7" applyNumberFormat="1" applyFont="1" applyFill="1" applyBorder="1" applyAlignment="1" applyProtection="1">
      <alignment horizontal="right"/>
      <protection locked="0"/>
    </xf>
    <xf numFmtId="37" fontId="39" fillId="0" borderId="197" xfId="0" applyFont="1" applyBorder="1" applyAlignment="1" applyProtection="1">
      <alignment horizontal="center"/>
      <protection locked="0"/>
    </xf>
    <xf numFmtId="37" fontId="39" fillId="0" borderId="197" xfId="0" applyFont="1" applyBorder="1" applyProtection="1">
      <protection locked="0"/>
    </xf>
    <xf numFmtId="37" fontId="40" fillId="0" borderId="197" xfId="0" applyFont="1" applyBorder="1" applyAlignment="1" applyProtection="1">
      <alignment horizontal="center" vertical="center" wrapText="1"/>
      <protection locked="0"/>
    </xf>
    <xf numFmtId="37" fontId="36" fillId="0" borderId="197" xfId="0" applyFont="1" applyBorder="1" applyAlignment="1" applyProtection="1">
      <alignment horizontal="center"/>
      <protection locked="0"/>
    </xf>
    <xf numFmtId="37" fontId="78" fillId="0" borderId="0" xfId="0" applyFont="1" applyAlignment="1">
      <alignment wrapText="1"/>
    </xf>
    <xf numFmtId="37" fontId="29" fillId="0" borderId="0" xfId="0" applyFont="1" applyAlignment="1">
      <alignment horizontal="center" wrapText="1"/>
    </xf>
    <xf numFmtId="37" fontId="75" fillId="0" borderId="149" xfId="0" applyFont="1" applyBorder="1" applyAlignment="1" applyProtection="1">
      <alignment horizontal="right"/>
      <protection locked="0"/>
    </xf>
    <xf numFmtId="37" fontId="0" fillId="29" borderId="0" xfId="0" applyFill="1" applyProtection="1">
      <protection locked="0"/>
    </xf>
    <xf numFmtId="37" fontId="51" fillId="0" borderId="0" xfId="0" applyFont="1" applyAlignment="1" applyProtection="1">
      <alignment horizontal="left"/>
      <protection locked="0"/>
    </xf>
    <xf numFmtId="37" fontId="96" fillId="0" borderId="0" xfId="0" applyFont="1" applyAlignment="1">
      <alignment horizontal="left" vertical="center" wrapText="1" indent="1"/>
    </xf>
    <xf numFmtId="37" fontId="10" fillId="0" borderId="70" xfId="0" applyFont="1" applyBorder="1" applyAlignment="1" applyProtection="1">
      <alignment horizontal="right"/>
      <protection locked="0"/>
    </xf>
    <xf numFmtId="37" fontId="47" fillId="0" borderId="35" xfId="0" applyFont="1" applyBorder="1" applyAlignment="1">
      <alignment horizontal="right" indent="1"/>
    </xf>
    <xf numFmtId="37" fontId="67" fillId="0" borderId="235" xfId="0" applyFont="1" applyBorder="1" applyAlignment="1">
      <alignment horizontal="left" vertical="center" indent="3"/>
    </xf>
    <xf numFmtId="37" fontId="34" fillId="0" borderId="234" xfId="0" applyFont="1" applyBorder="1" applyAlignment="1">
      <alignment horizontal="right" vertical="center" indent="1"/>
    </xf>
    <xf numFmtId="37" fontId="63" fillId="0" borderId="236" xfId="0" applyFont="1" applyBorder="1" applyAlignment="1" applyProtection="1">
      <alignment horizontal="right" indent="1"/>
      <protection locked="0"/>
    </xf>
    <xf numFmtId="37" fontId="15" fillId="0" borderId="236" xfId="0" applyFont="1" applyBorder="1" applyAlignment="1" applyProtection="1">
      <alignment horizontal="right" vertical="center" indent="2"/>
      <protection locked="0"/>
    </xf>
    <xf numFmtId="37" fontId="97" fillId="0" borderId="0" xfId="0" applyFont="1" applyAlignment="1">
      <alignment horizontal="left"/>
    </xf>
    <xf numFmtId="37" fontId="69" fillId="0" borderId="0" xfId="0" applyFont="1" applyAlignment="1">
      <alignment horizontal="left"/>
    </xf>
    <xf numFmtId="37" fontId="97" fillId="0" borderId="0" xfId="0" applyFont="1" applyAlignment="1">
      <alignment horizontal="left" wrapText="1"/>
    </xf>
    <xf numFmtId="37" fontId="98" fillId="0" borderId="197" xfId="0" applyFont="1" applyBorder="1" applyAlignment="1">
      <alignment horizontal="left" wrapText="1"/>
    </xf>
    <xf numFmtId="49" fontId="81" fillId="0" borderId="0" xfId="0" applyNumberFormat="1" applyFont="1" applyAlignment="1" applyProtection="1">
      <alignment horizontal="left"/>
      <protection locked="0"/>
    </xf>
    <xf numFmtId="37" fontId="47" fillId="0" borderId="197" xfId="0" applyFont="1" applyBorder="1" applyAlignment="1" applyProtection="1">
      <alignment horizontal="left" wrapText="1"/>
      <protection locked="0"/>
    </xf>
    <xf numFmtId="37" fontId="81" fillId="0" borderId="197" xfId="0" applyFont="1" applyBorder="1" applyAlignment="1" applyProtection="1">
      <alignment horizontal="left" wrapText="1"/>
      <protection locked="0"/>
    </xf>
    <xf numFmtId="37" fontId="81" fillId="0" borderId="197" xfId="0" quotePrefix="1" applyFont="1" applyBorder="1" applyAlignment="1" applyProtection="1">
      <alignment horizontal="left" wrapText="1"/>
      <protection locked="0"/>
    </xf>
    <xf numFmtId="37" fontId="97" fillId="0" borderId="197" xfId="0" applyFont="1" applyBorder="1" applyAlignment="1">
      <alignment horizontal="left"/>
    </xf>
    <xf numFmtId="37" fontId="98" fillId="0" borderId="197" xfId="0" applyFont="1" applyBorder="1" applyAlignment="1">
      <alignment horizontal="left"/>
    </xf>
    <xf numFmtId="37" fontId="97" fillId="0" borderId="197" xfId="0" quotePrefix="1" applyFont="1" applyBorder="1" applyAlignment="1">
      <alignment horizontal="left"/>
    </xf>
    <xf numFmtId="37" fontId="97" fillId="29" borderId="0" xfId="0" applyFont="1" applyFill="1" applyAlignment="1">
      <alignment horizontal="left"/>
    </xf>
    <xf numFmtId="4" fontId="81" fillId="29" borderId="0" xfId="0" applyNumberFormat="1" applyFont="1" applyFill="1" applyAlignment="1">
      <alignment horizontal="left"/>
    </xf>
    <xf numFmtId="37" fontId="98" fillId="0" borderId="0" xfId="0" applyFont="1" applyAlignment="1">
      <alignment horizontal="left"/>
    </xf>
    <xf numFmtId="49" fontId="81" fillId="16" borderId="197" xfId="0" applyNumberFormat="1" applyFont="1" applyFill="1" applyBorder="1" applyAlignment="1" applyProtection="1">
      <alignment horizontal="left"/>
      <protection locked="0"/>
    </xf>
    <xf numFmtId="1" fontId="81" fillId="16" borderId="197" xfId="0" applyNumberFormat="1" applyFont="1" applyFill="1" applyBorder="1" applyAlignment="1" applyProtection="1">
      <alignment horizontal="left"/>
      <protection locked="0"/>
    </xf>
    <xf numFmtId="37" fontId="84" fillId="13" borderId="197" xfId="0" applyFont="1" applyFill="1" applyBorder="1" applyAlignment="1" applyProtection="1">
      <alignment horizontal="left" wrapText="1"/>
      <protection locked="0"/>
    </xf>
    <xf numFmtId="37" fontId="84" fillId="13" borderId="197" xfId="0" quotePrefix="1" applyFont="1" applyFill="1" applyBorder="1" applyAlignment="1" applyProtection="1">
      <alignment horizontal="left" wrapText="1"/>
      <protection locked="0"/>
    </xf>
    <xf numFmtId="37" fontId="97" fillId="16" borderId="197" xfId="0" applyFont="1" applyFill="1" applyBorder="1" applyAlignment="1" applyProtection="1">
      <alignment horizontal="left"/>
      <protection locked="0"/>
    </xf>
    <xf numFmtId="187" fontId="97" fillId="16" borderId="197" xfId="0" applyNumberFormat="1" applyFont="1" applyFill="1" applyBorder="1" applyAlignment="1" applyProtection="1">
      <alignment horizontal="left"/>
      <protection locked="0"/>
    </xf>
    <xf numFmtId="3" fontId="97" fillId="16" borderId="197" xfId="0" applyNumberFormat="1" applyFont="1" applyFill="1" applyBorder="1" applyAlignment="1" applyProtection="1">
      <alignment horizontal="left"/>
      <protection locked="0"/>
    </xf>
    <xf numFmtId="10" fontId="97" fillId="16" borderId="197" xfId="2" applyNumberFormat="1" applyFont="1" applyFill="1" applyBorder="1" applyAlignment="1" applyProtection="1">
      <alignment horizontal="left"/>
      <protection locked="0"/>
    </xf>
    <xf numFmtId="165" fontId="97" fillId="16" borderId="197" xfId="0" applyNumberFormat="1" applyFont="1" applyFill="1" applyBorder="1" applyAlignment="1" applyProtection="1">
      <alignment horizontal="left"/>
      <protection locked="0"/>
    </xf>
    <xf numFmtId="3" fontId="98" fillId="15" borderId="197" xfId="0" applyNumberFormat="1" applyFont="1" applyFill="1" applyBorder="1" applyAlignment="1" applyProtection="1">
      <alignment horizontal="left"/>
      <protection locked="0"/>
    </xf>
    <xf numFmtId="4" fontId="97" fillId="16" borderId="197" xfId="0" applyNumberFormat="1" applyFont="1" applyFill="1" applyBorder="1" applyAlignment="1" applyProtection="1">
      <alignment horizontal="left"/>
      <protection locked="0"/>
    </xf>
    <xf numFmtId="4" fontId="97" fillId="18" borderId="197" xfId="0" applyNumberFormat="1" applyFont="1" applyFill="1" applyBorder="1" applyAlignment="1" applyProtection="1">
      <alignment horizontal="left"/>
      <protection locked="0"/>
    </xf>
    <xf numFmtId="37" fontId="81" fillId="0" borderId="197" xfId="0" quotePrefix="1" applyFont="1" applyBorder="1" applyAlignment="1">
      <alignment horizontal="left"/>
    </xf>
    <xf numFmtId="4" fontId="81" fillId="18" borderId="197" xfId="0" applyNumberFormat="1" applyFont="1" applyFill="1" applyBorder="1" applyAlignment="1" applyProtection="1">
      <alignment horizontal="left"/>
      <protection locked="0"/>
    </xf>
    <xf numFmtId="37" fontId="98" fillId="13" borderId="197" xfId="0" applyFont="1" applyFill="1" applyBorder="1" applyAlignment="1">
      <alignment horizontal="left"/>
    </xf>
    <xf numFmtId="4" fontId="98" fillId="13" borderId="197" xfId="0" applyNumberFormat="1" applyFont="1" applyFill="1" applyBorder="1" applyAlignment="1">
      <alignment horizontal="left"/>
    </xf>
    <xf numFmtId="37" fontId="81" fillId="0" borderId="197" xfId="0" applyFont="1" applyBorder="1" applyAlignment="1">
      <alignment horizontal="left"/>
    </xf>
    <xf numFmtId="37" fontId="97" fillId="13" borderId="197" xfId="0" applyFont="1" applyFill="1" applyBorder="1" applyAlignment="1">
      <alignment horizontal="left"/>
    </xf>
    <xf numFmtId="3" fontId="81" fillId="13" borderId="197" xfId="0" applyNumberFormat="1" applyFont="1" applyFill="1" applyBorder="1" applyAlignment="1">
      <alignment horizontal="left"/>
    </xf>
    <xf numFmtId="4" fontId="81" fillId="13" borderId="197" xfId="0" applyNumberFormat="1" applyFont="1" applyFill="1" applyBorder="1" applyAlignment="1">
      <alignment horizontal="left"/>
    </xf>
    <xf numFmtId="37" fontId="97" fillId="13" borderId="197" xfId="0" applyFont="1" applyFill="1" applyBorder="1" applyAlignment="1">
      <alignment horizontal="left" wrapText="1"/>
    </xf>
    <xf numFmtId="37" fontId="97" fillId="13" borderId="197" xfId="0" applyFont="1" applyFill="1" applyBorder="1" applyAlignment="1">
      <alignment horizontal="left" vertical="top" wrapText="1"/>
    </xf>
    <xf numFmtId="37" fontId="84" fillId="0" borderId="197" xfId="0" applyFont="1" applyBorder="1" applyAlignment="1">
      <alignment horizontal="left"/>
    </xf>
    <xf numFmtId="37" fontId="81" fillId="13" borderId="197" xfId="0" applyFont="1" applyFill="1" applyBorder="1" applyAlignment="1">
      <alignment horizontal="left"/>
    </xf>
    <xf numFmtId="4" fontId="98" fillId="13" borderId="235" xfId="0" applyNumberFormat="1" applyFont="1" applyFill="1" applyBorder="1" applyAlignment="1">
      <alignment horizontal="left"/>
    </xf>
    <xf numFmtId="9" fontId="97" fillId="13" borderId="197" xfId="2" applyFont="1" applyFill="1" applyBorder="1" applyAlignment="1">
      <alignment horizontal="left"/>
    </xf>
    <xf numFmtId="3" fontId="97" fillId="13" borderId="197" xfId="0" applyNumberFormat="1" applyFont="1" applyFill="1" applyBorder="1" applyAlignment="1">
      <alignment horizontal="left"/>
    </xf>
    <xf numFmtId="37" fontId="10" fillId="0" borderId="83" xfId="0" quotePrefix="1" applyFont="1" applyBorder="1" applyAlignment="1">
      <alignment horizontal="center"/>
    </xf>
    <xf numFmtId="37" fontId="10" fillId="0" borderId="116" xfId="0" applyFont="1" applyBorder="1" applyAlignment="1">
      <alignment horizontal="left" indent="1"/>
    </xf>
    <xf numFmtId="37" fontId="10" fillId="0" borderId="116" xfId="0" quotePrefix="1" applyFont="1" applyBorder="1" applyAlignment="1">
      <alignment horizontal="center"/>
    </xf>
    <xf numFmtId="37" fontId="10" fillId="0" borderId="85" xfId="0" applyFont="1" applyBorder="1" applyProtection="1">
      <protection locked="0"/>
    </xf>
    <xf numFmtId="37" fontId="0" fillId="16" borderId="197" xfId="0" applyFill="1" applyBorder="1" applyProtection="1">
      <protection locked="0"/>
    </xf>
    <xf numFmtId="37" fontId="0" fillId="0" borderId="234" xfId="0" quotePrefix="1" applyBorder="1" applyAlignment="1">
      <alignment horizontal="center"/>
    </xf>
    <xf numFmtId="37" fontId="0" fillId="0" borderId="234" xfId="0" applyBorder="1" applyProtection="1">
      <protection locked="0"/>
    </xf>
    <xf numFmtId="3" fontId="0" fillId="18" borderId="239" xfId="0" applyNumberFormat="1" applyFill="1" applyBorder="1" applyProtection="1">
      <protection locked="0"/>
    </xf>
    <xf numFmtId="3" fontId="0" fillId="16" borderId="239" xfId="0" applyNumberFormat="1" applyFill="1" applyBorder="1" applyProtection="1">
      <protection locked="0"/>
    </xf>
    <xf numFmtId="3" fontId="0" fillId="16" borderId="240" xfId="0" applyNumberFormat="1" applyFill="1" applyBorder="1" applyProtection="1">
      <protection locked="0"/>
    </xf>
    <xf numFmtId="3" fontId="0" fillId="16" borderId="230" xfId="0" applyNumberFormat="1" applyFill="1" applyBorder="1" applyProtection="1">
      <protection locked="0"/>
    </xf>
    <xf numFmtId="3" fontId="0" fillId="16" borderId="197" xfId="0" applyNumberFormat="1" applyFill="1" applyBorder="1" applyProtection="1">
      <protection locked="0"/>
    </xf>
    <xf numFmtId="37" fontId="0" fillId="0" borderId="234" xfId="0" applyBorder="1" applyAlignment="1">
      <alignment horizontal="left" indent="1"/>
    </xf>
    <xf numFmtId="37" fontId="34" fillId="0" borderId="234" xfId="0" quotePrefix="1" applyFont="1" applyBorder="1" applyProtection="1">
      <protection locked="0"/>
    </xf>
    <xf numFmtId="37" fontId="0" fillId="0" borderId="236" xfId="0" applyBorder="1" applyProtection="1">
      <protection locked="0"/>
    </xf>
    <xf numFmtId="37" fontId="0" fillId="29" borderId="234" xfId="0" applyFill="1" applyBorder="1" applyProtection="1">
      <protection locked="0"/>
    </xf>
    <xf numFmtId="37" fontId="0" fillId="29" borderId="116" xfId="0" applyFill="1" applyBorder="1" applyProtection="1">
      <protection locked="0"/>
    </xf>
    <xf numFmtId="37" fontId="25" fillId="0" borderId="241" xfId="0" applyFont="1" applyBorder="1" applyProtection="1">
      <protection locked="0"/>
    </xf>
    <xf numFmtId="37" fontId="25" fillId="0" borderId="234" xfId="0" applyFont="1" applyBorder="1" applyProtection="1">
      <protection locked="0"/>
    </xf>
    <xf numFmtId="37" fontId="51" fillId="0" borderId="234" xfId="0" quotePrefix="1" applyFont="1" applyBorder="1" applyAlignment="1" applyProtection="1">
      <alignment horizontal="right"/>
      <protection locked="0"/>
    </xf>
    <xf numFmtId="37" fontId="51" fillId="0" borderId="242" xfId="0" quotePrefix="1" applyFont="1" applyBorder="1" applyAlignment="1" applyProtection="1">
      <alignment horizontal="right"/>
      <protection locked="0"/>
    </xf>
    <xf numFmtId="3" fontId="0" fillId="16" borderId="62" xfId="0" applyNumberFormat="1" applyFill="1" applyBorder="1" applyProtection="1">
      <protection locked="0"/>
    </xf>
    <xf numFmtId="37" fontId="51" fillId="0" borderId="218" xfId="0" quotePrefix="1" applyFont="1" applyBorder="1" applyAlignment="1" applyProtection="1">
      <alignment horizontal="right"/>
      <protection locked="0"/>
    </xf>
    <xf numFmtId="37" fontId="0" fillId="0" borderId="243" xfId="0" quotePrefix="1" applyBorder="1" applyAlignment="1">
      <alignment horizontal="center"/>
    </xf>
    <xf numFmtId="37" fontId="0" fillId="0" borderId="241" xfId="0" applyBorder="1" applyAlignment="1">
      <alignment horizontal="left" indent="1"/>
    </xf>
    <xf numFmtId="37" fontId="0" fillId="0" borderId="241" xfId="0" quotePrefix="1" applyBorder="1" applyAlignment="1">
      <alignment horizontal="center"/>
    </xf>
    <xf numFmtId="37" fontId="0" fillId="0" borderId="186" xfId="0" quotePrefix="1" applyBorder="1" applyAlignment="1">
      <alignment horizontal="center"/>
    </xf>
    <xf numFmtId="37" fontId="0" fillId="0" borderId="231" xfId="0" applyBorder="1" applyAlignment="1">
      <alignment horizontal="left" indent="1"/>
    </xf>
    <xf numFmtId="37" fontId="0" fillId="0" borderId="231" xfId="0" quotePrefix="1" applyBorder="1" applyAlignment="1">
      <alignment horizontal="center"/>
    </xf>
    <xf numFmtId="37" fontId="0" fillId="0" borderId="213" xfId="0" quotePrefix="1" applyBorder="1" applyAlignment="1">
      <alignment horizontal="center"/>
    </xf>
    <xf numFmtId="37" fontId="0" fillId="0" borderId="244" xfId="0" applyBorder="1" applyAlignment="1">
      <alignment horizontal="left" indent="1"/>
    </xf>
    <xf numFmtId="37" fontId="0" fillId="0" borderId="233" xfId="0" quotePrefix="1" applyBorder="1" applyAlignment="1">
      <alignment horizontal="center"/>
    </xf>
    <xf numFmtId="37" fontId="0" fillId="0" borderId="245" xfId="0" applyBorder="1" applyProtection="1">
      <protection locked="0"/>
    </xf>
    <xf numFmtId="37" fontId="0" fillId="0" borderId="226" xfId="0" quotePrefix="1" applyBorder="1" applyAlignment="1">
      <alignment horizontal="center"/>
    </xf>
    <xf numFmtId="37" fontId="0" fillId="0" borderId="246" xfId="0" applyBorder="1"/>
    <xf numFmtId="37" fontId="0" fillId="13" borderId="72" xfId="0" quotePrefix="1" applyFill="1" applyBorder="1" applyAlignment="1">
      <alignment horizontal="right"/>
    </xf>
    <xf numFmtId="37" fontId="0" fillId="5" borderId="72" xfId="0" applyFill="1" applyBorder="1" applyAlignment="1">
      <alignment horizontal="right"/>
    </xf>
    <xf numFmtId="37" fontId="0" fillId="5" borderId="62" xfId="0" applyFill="1" applyBorder="1" applyAlignment="1">
      <alignment horizontal="right"/>
    </xf>
    <xf numFmtId="9" fontId="0" fillId="13" borderId="72" xfId="0" applyNumberFormat="1" applyFill="1" applyBorder="1" applyAlignment="1">
      <alignment horizontal="right"/>
    </xf>
    <xf numFmtId="37" fontId="0" fillId="0" borderId="0" xfId="0" applyAlignment="1">
      <alignment horizontal="center"/>
    </xf>
    <xf numFmtId="37" fontId="0" fillId="13" borderId="72" xfId="0" quotePrefix="1" applyFill="1" applyBorder="1"/>
    <xf numFmtId="37" fontId="0" fillId="5" borderId="72" xfId="0" applyFill="1" applyBorder="1"/>
    <xf numFmtId="9" fontId="0" fillId="13" borderId="72" xfId="0" applyNumberFormat="1" applyFill="1" applyBorder="1"/>
    <xf numFmtId="37" fontId="0" fillId="5" borderId="62" xfId="0" applyFill="1" applyBorder="1"/>
    <xf numFmtId="37" fontId="35" fillId="0" borderId="0" xfId="0" quotePrefix="1" applyFont="1" applyAlignment="1" applyProtection="1">
      <alignment horizontal="left" vertical="center" indent="1"/>
      <protection locked="0"/>
    </xf>
    <xf numFmtId="9" fontId="0" fillId="16" borderId="72" xfId="0" applyNumberFormat="1" applyFill="1" applyBorder="1" applyAlignment="1" applyProtection="1">
      <alignment horizontal="center"/>
      <protection locked="0"/>
    </xf>
    <xf numFmtId="168" fontId="0" fillId="13" borderId="72" xfId="0" applyNumberFormat="1" applyFill="1" applyBorder="1" applyAlignment="1">
      <alignment horizontal="right"/>
    </xf>
    <xf numFmtId="37" fontId="0" fillId="0" borderId="0" xfId="0" quotePrefix="1" applyAlignment="1" applyProtection="1">
      <alignment horizontal="left" vertical="center" indent="1"/>
      <protection hidden="1"/>
    </xf>
    <xf numFmtId="37" fontId="34" fillId="0" borderId="0" xfId="0" quotePrefix="1" applyFont="1" applyAlignment="1" applyProtection="1">
      <alignment horizontal="left" vertical="center" indent="1"/>
      <protection hidden="1"/>
    </xf>
    <xf numFmtId="37" fontId="0" fillId="0" borderId="85" xfId="0" applyBorder="1" applyAlignment="1" applyProtection="1">
      <alignment horizontal="right"/>
      <protection locked="0"/>
    </xf>
    <xf numFmtId="37" fontId="80" fillId="0" borderId="0" xfId="4" applyFont="1" applyAlignment="1">
      <alignment horizontal="left"/>
    </xf>
    <xf numFmtId="37" fontId="103" fillId="0" borderId="0" xfId="4" applyFont="1" applyAlignment="1">
      <alignment horizontal="left"/>
    </xf>
    <xf numFmtId="37" fontId="83" fillId="0" borderId="0" xfId="4" applyFont="1" applyAlignment="1">
      <alignment horizontal="left"/>
    </xf>
    <xf numFmtId="37" fontId="80" fillId="0" borderId="0" xfId="4" applyFont="1" applyAlignment="1">
      <alignment horizontal="left" vertical="center"/>
    </xf>
    <xf numFmtId="37" fontId="80" fillId="0" borderId="0" xfId="4" applyFont="1" applyAlignment="1">
      <alignment horizontal="left" wrapText="1"/>
    </xf>
    <xf numFmtId="0" fontId="109" fillId="0" borderId="0" xfId="12" applyFont="1" applyAlignment="1">
      <alignment horizontal="left"/>
    </xf>
    <xf numFmtId="43" fontId="80" fillId="0" borderId="0" xfId="4" applyNumberFormat="1" applyFont="1" applyAlignment="1">
      <alignment horizontal="left"/>
    </xf>
    <xf numFmtId="8" fontId="80" fillId="0" borderId="0" xfId="4" applyNumberFormat="1" applyFont="1" applyAlignment="1">
      <alignment horizontal="left"/>
    </xf>
    <xf numFmtId="8" fontId="80" fillId="0" borderId="0" xfId="4" applyNumberFormat="1" applyFont="1" applyAlignment="1">
      <alignment horizontal="left" wrapText="1"/>
    </xf>
    <xf numFmtId="43" fontId="110" fillId="0" borderId="0" xfId="4" applyNumberFormat="1" applyFont="1" applyAlignment="1">
      <alignment horizontal="left"/>
    </xf>
    <xf numFmtId="8" fontId="110" fillId="0" borderId="0" xfId="4" applyNumberFormat="1" applyFont="1" applyAlignment="1">
      <alignment horizontal="left"/>
    </xf>
    <xf numFmtId="43" fontId="104" fillId="0" borderId="0" xfId="10" applyFont="1" applyFill="1" applyBorder="1" applyAlignment="1">
      <alignment horizontal="left"/>
    </xf>
    <xf numFmtId="0" fontId="106" fillId="0" borderId="0" xfId="12" applyFont="1" applyAlignment="1">
      <alignment horizontal="left"/>
    </xf>
    <xf numFmtId="10" fontId="106" fillId="0" borderId="0" xfId="2" applyNumberFormat="1" applyFont="1" applyAlignment="1">
      <alignment horizontal="left"/>
    </xf>
    <xf numFmtId="43" fontId="106" fillId="0" borderId="0" xfId="12" applyNumberFormat="1" applyFont="1" applyAlignment="1">
      <alignment horizontal="left"/>
    </xf>
    <xf numFmtId="177" fontId="106" fillId="0" borderId="0" xfId="12" applyNumberFormat="1" applyFont="1" applyAlignment="1">
      <alignment horizontal="left"/>
    </xf>
    <xf numFmtId="43" fontId="103" fillId="0" borderId="0" xfId="10" applyFont="1" applyFill="1" applyAlignment="1">
      <alignment horizontal="left"/>
    </xf>
    <xf numFmtId="43" fontId="104" fillId="0" borderId="0" xfId="10" applyFont="1" applyFill="1" applyAlignment="1">
      <alignment horizontal="left"/>
    </xf>
    <xf numFmtId="37" fontId="111" fillId="0" borderId="0" xfId="4" applyFont="1" applyAlignment="1">
      <alignment horizontal="left" vertical="center"/>
    </xf>
    <xf numFmtId="37" fontId="111" fillId="0" borderId="0" xfId="4" applyFont="1" applyAlignment="1">
      <alignment horizontal="left" wrapText="1"/>
    </xf>
    <xf numFmtId="37" fontId="111" fillId="0" borderId="0" xfId="4" applyFont="1" applyAlignment="1">
      <alignment horizontal="left"/>
    </xf>
    <xf numFmtId="43" fontId="111" fillId="0" borderId="0" xfId="4" applyNumberFormat="1" applyFont="1" applyAlignment="1">
      <alignment horizontal="left"/>
    </xf>
    <xf numFmtId="43" fontId="104" fillId="0" borderId="0" xfId="4" applyNumberFormat="1" applyFont="1" applyAlignment="1">
      <alignment horizontal="left"/>
    </xf>
    <xf numFmtId="37" fontId="12" fillId="16" borderId="219" xfId="4" applyFont="1" applyFill="1" applyBorder="1" applyAlignment="1">
      <alignment horizontal="left"/>
    </xf>
    <xf numFmtId="37" fontId="12" fillId="16" borderId="220" xfId="4" applyFont="1" applyFill="1" applyBorder="1" applyAlignment="1">
      <alignment horizontal="left"/>
    </xf>
    <xf numFmtId="14" fontId="12" fillId="16" borderId="247" xfId="4" applyNumberFormat="1" applyFont="1" applyFill="1" applyBorder="1" applyAlignment="1">
      <alignment horizontal="left"/>
    </xf>
    <xf numFmtId="14" fontId="12" fillId="13" borderId="62" xfId="4" applyNumberFormat="1" applyFont="1" applyFill="1" applyBorder="1" applyAlignment="1">
      <alignment horizontal="left"/>
    </xf>
    <xf numFmtId="37" fontId="12" fillId="0" borderId="0" xfId="4" applyFont="1" applyAlignment="1">
      <alignment horizontal="left"/>
    </xf>
    <xf numFmtId="37" fontId="12" fillId="13" borderId="256" xfId="4" applyFont="1" applyFill="1" applyBorder="1" applyAlignment="1">
      <alignment horizontal="left"/>
    </xf>
    <xf numFmtId="37" fontId="12" fillId="13" borderId="237" xfId="4" applyFont="1" applyFill="1" applyBorder="1" applyAlignment="1">
      <alignment horizontal="left"/>
    </xf>
    <xf numFmtId="37" fontId="12" fillId="13" borderId="255" xfId="4" applyFont="1" applyFill="1" applyBorder="1" applyAlignment="1">
      <alignment horizontal="left" vertical="center"/>
    </xf>
    <xf numFmtId="37" fontId="12" fillId="13" borderId="252" xfId="4" applyFont="1" applyFill="1" applyBorder="1" applyAlignment="1">
      <alignment horizontal="left" vertical="center" wrapText="1"/>
    </xf>
    <xf numFmtId="37" fontId="108" fillId="13" borderId="253" xfId="4" applyFont="1" applyFill="1" applyBorder="1" applyAlignment="1">
      <alignment horizontal="left" vertical="center" wrapText="1"/>
    </xf>
    <xf numFmtId="37" fontId="80" fillId="13" borderId="39" xfId="4" applyFont="1" applyFill="1" applyBorder="1" applyAlignment="1">
      <alignment horizontal="left" vertical="center"/>
    </xf>
    <xf numFmtId="37" fontId="103" fillId="13" borderId="186" xfId="4" applyFont="1" applyFill="1" applyBorder="1" applyAlignment="1">
      <alignment horizontal="left"/>
    </xf>
    <xf numFmtId="43" fontId="80" fillId="13" borderId="216" xfId="4" applyNumberFormat="1" applyFont="1" applyFill="1" applyBorder="1" applyAlignment="1">
      <alignment horizontal="left"/>
    </xf>
    <xf numFmtId="43" fontId="80" fillId="13" borderId="62" xfId="10" applyFont="1" applyFill="1" applyBorder="1" applyAlignment="1">
      <alignment horizontal="left"/>
    </xf>
    <xf numFmtId="37" fontId="80" fillId="13" borderId="233" xfId="4" applyFont="1" applyFill="1" applyBorder="1" applyAlignment="1">
      <alignment horizontal="left" vertical="center"/>
    </xf>
    <xf numFmtId="37" fontId="80" fillId="13" borderId="235" xfId="4" applyFont="1" applyFill="1" applyBorder="1" applyAlignment="1">
      <alignment horizontal="left"/>
    </xf>
    <xf numFmtId="43" fontId="80" fillId="13" borderId="236" xfId="4" applyNumberFormat="1" applyFont="1" applyFill="1" applyBorder="1" applyAlignment="1">
      <alignment horizontal="left"/>
    </xf>
    <xf numFmtId="43" fontId="80" fillId="13" borderId="197" xfId="10" applyFont="1" applyFill="1" applyBorder="1" applyAlignment="1">
      <alignment horizontal="left"/>
    </xf>
    <xf numFmtId="37" fontId="80" fillId="13" borderId="236" xfId="4" applyFont="1" applyFill="1" applyBorder="1" applyAlignment="1">
      <alignment horizontal="left"/>
    </xf>
    <xf numFmtId="37" fontId="105" fillId="13" borderId="236" xfId="4" applyFont="1" applyFill="1" applyBorder="1" applyAlignment="1">
      <alignment horizontal="left"/>
    </xf>
    <xf numFmtId="37" fontId="80" fillId="13" borderId="254" xfId="4" applyFont="1" applyFill="1" applyBorder="1" applyAlignment="1">
      <alignment horizontal="left" vertical="center"/>
    </xf>
    <xf numFmtId="3" fontId="80" fillId="16" borderId="197" xfId="10" applyNumberFormat="1" applyFont="1" applyFill="1" applyBorder="1" applyAlignment="1">
      <alignment horizontal="left"/>
    </xf>
    <xf numFmtId="37" fontId="42" fillId="0" borderId="0" xfId="0" applyFont="1" applyAlignment="1" applyProtection="1">
      <alignment horizontal="left"/>
      <protection locked="0"/>
    </xf>
    <xf numFmtId="14" fontId="0" fillId="0" borderId="63" xfId="0" applyNumberFormat="1" applyBorder="1" applyAlignment="1" applyProtection="1">
      <alignment horizontal="left"/>
      <protection locked="0"/>
    </xf>
    <xf numFmtId="3" fontId="80" fillId="13" borderId="62" xfId="10" applyNumberFormat="1" applyFont="1" applyFill="1" applyBorder="1" applyAlignment="1">
      <alignment horizontal="left"/>
    </xf>
    <xf numFmtId="3" fontId="104" fillId="13" borderId="62" xfId="10" applyNumberFormat="1" applyFont="1" applyFill="1" applyBorder="1" applyAlignment="1">
      <alignment horizontal="left"/>
    </xf>
    <xf numFmtId="3" fontId="80" fillId="13" borderId="197" xfId="10" applyNumberFormat="1" applyFont="1" applyFill="1" applyBorder="1" applyAlignment="1">
      <alignment horizontal="left"/>
    </xf>
    <xf numFmtId="3" fontId="80" fillId="16" borderId="0" xfId="10" applyNumberFormat="1" applyFont="1" applyFill="1" applyBorder="1" applyAlignment="1">
      <alignment horizontal="left"/>
    </xf>
    <xf numFmtId="3" fontId="80" fillId="16" borderId="0" xfId="11" quotePrefix="1" applyNumberFormat="1" applyFont="1" applyFill="1" applyBorder="1" applyAlignment="1">
      <alignment horizontal="left" vertical="center"/>
    </xf>
    <xf numFmtId="37" fontId="83" fillId="13" borderId="6" xfId="4" applyFont="1" applyFill="1" applyBorder="1" applyAlignment="1">
      <alignment horizontal="left" vertical="center"/>
    </xf>
    <xf numFmtId="3" fontId="107" fillId="13" borderId="252" xfId="10" applyNumberFormat="1" applyFont="1" applyFill="1" applyBorder="1" applyAlignment="1">
      <alignment horizontal="left"/>
    </xf>
    <xf numFmtId="3" fontId="12" fillId="13" borderId="255" xfId="10" applyNumberFormat="1" applyFont="1" applyFill="1" applyBorder="1" applyAlignment="1">
      <alignment horizontal="left"/>
    </xf>
    <xf numFmtId="3" fontId="104" fillId="13" borderId="197" xfId="10" applyNumberFormat="1" applyFont="1" applyFill="1" applyBorder="1" applyAlignment="1">
      <alignment horizontal="left"/>
    </xf>
    <xf numFmtId="49" fontId="83" fillId="0" borderId="0" xfId="4" applyNumberFormat="1" applyFont="1" applyAlignment="1">
      <alignment horizontal="left"/>
    </xf>
    <xf numFmtId="37" fontId="80" fillId="13" borderId="248" xfId="4" applyFont="1" applyFill="1" applyBorder="1" applyAlignment="1">
      <alignment horizontal="left" vertical="center"/>
    </xf>
    <xf numFmtId="37" fontId="80" fillId="13" borderId="197" xfId="4" applyFont="1" applyFill="1" applyBorder="1" applyAlignment="1">
      <alignment horizontal="left"/>
    </xf>
    <xf numFmtId="37" fontId="80" fillId="13" borderId="237" xfId="4" applyFont="1" applyFill="1" applyBorder="1" applyAlignment="1">
      <alignment horizontal="left"/>
    </xf>
    <xf numFmtId="37" fontId="80" fillId="13" borderId="236" xfId="4" applyFont="1" applyFill="1" applyBorder="1" applyAlignment="1">
      <alignment horizontal="left" wrapText="1"/>
    </xf>
    <xf numFmtId="37" fontId="83" fillId="13" borderId="255" xfId="4" applyFont="1" applyFill="1" applyBorder="1" applyAlignment="1">
      <alignment horizontal="left" vertical="center"/>
    </xf>
    <xf numFmtId="37" fontId="12" fillId="13" borderId="252" xfId="4" applyFont="1" applyFill="1" applyBorder="1" applyAlignment="1">
      <alignment horizontal="left"/>
    </xf>
    <xf numFmtId="37" fontId="12" fillId="13" borderId="252" xfId="4" applyFont="1" applyFill="1" applyBorder="1" applyAlignment="1">
      <alignment horizontal="left" wrapText="1"/>
    </xf>
    <xf numFmtId="43" fontId="12" fillId="13" borderId="252" xfId="4" applyNumberFormat="1" applyFont="1" applyFill="1" applyBorder="1" applyAlignment="1">
      <alignment horizontal="left" wrapText="1"/>
    </xf>
    <xf numFmtId="37" fontId="103" fillId="13" borderId="255" xfId="4" applyFont="1" applyFill="1" applyBorder="1" applyAlignment="1">
      <alignment horizontal="left" wrapText="1"/>
    </xf>
    <xf numFmtId="37" fontId="103" fillId="13" borderId="252" xfId="4" applyFont="1" applyFill="1" applyBorder="1" applyAlignment="1">
      <alignment horizontal="left" wrapText="1"/>
    </xf>
    <xf numFmtId="43" fontId="104" fillId="13" borderId="253" xfId="10" applyFont="1" applyFill="1" applyBorder="1" applyAlignment="1">
      <alignment horizontal="left"/>
    </xf>
    <xf numFmtId="43" fontId="104" fillId="13" borderId="249" xfId="10" applyFont="1" applyFill="1" applyBorder="1" applyAlignment="1">
      <alignment horizontal="left"/>
    </xf>
    <xf numFmtId="37" fontId="12" fillId="13" borderId="221" xfId="10" applyNumberFormat="1" applyFont="1" applyFill="1" applyBorder="1" applyAlignment="1">
      <alignment horizontal="left"/>
    </xf>
    <xf numFmtId="37" fontId="12" fillId="13" borderId="251" xfId="4" applyFont="1" applyFill="1" applyBorder="1" applyAlignment="1">
      <alignment horizontal="right" wrapText="1"/>
    </xf>
    <xf numFmtId="37" fontId="12" fillId="13" borderId="250" xfId="4" applyFont="1" applyFill="1" applyBorder="1" applyAlignment="1">
      <alignment horizontal="left"/>
    </xf>
    <xf numFmtId="43" fontId="12" fillId="13" borderId="252" xfId="10" applyFont="1" applyFill="1" applyBorder="1" applyAlignment="1">
      <alignment horizontal="left"/>
    </xf>
    <xf numFmtId="37" fontId="111" fillId="0" borderId="0" xfId="4" applyFont="1" applyAlignment="1">
      <alignment horizontal="right"/>
    </xf>
    <xf numFmtId="10" fontId="80" fillId="0" borderId="0" xfId="4" applyNumberFormat="1" applyFont="1" applyAlignment="1">
      <alignment horizontal="left"/>
    </xf>
    <xf numFmtId="37" fontId="36" fillId="0" borderId="0" xfId="0" applyFont="1" applyAlignment="1" applyProtection="1">
      <alignment horizontal="left" vertical="center" wrapText="1" indent="1"/>
      <protection locked="0"/>
    </xf>
    <xf numFmtId="10" fontId="106" fillId="16" borderId="72" xfId="2" applyNumberFormat="1" applyFont="1" applyFill="1" applyBorder="1" applyAlignment="1">
      <alignment horizontal="left"/>
    </xf>
    <xf numFmtId="37" fontId="80" fillId="13" borderId="72" xfId="4" applyFont="1" applyFill="1" applyBorder="1" applyAlignment="1">
      <alignment horizontal="left"/>
    </xf>
    <xf numFmtId="0" fontId="106" fillId="13" borderId="72" xfId="12" applyFont="1" applyFill="1" applyBorder="1" applyAlignment="1">
      <alignment horizontal="left"/>
    </xf>
    <xf numFmtId="37" fontId="103" fillId="13" borderId="83" xfId="4" applyFont="1" applyFill="1" applyBorder="1" applyAlignment="1">
      <alignment horizontal="left"/>
    </xf>
    <xf numFmtId="3" fontId="80" fillId="13" borderId="72" xfId="10" applyNumberFormat="1" applyFont="1" applyFill="1" applyBorder="1" applyAlignment="1">
      <alignment horizontal="left"/>
    </xf>
    <xf numFmtId="37" fontId="80" fillId="13" borderId="83" xfId="4" applyFont="1" applyFill="1" applyBorder="1" applyAlignment="1">
      <alignment horizontal="left"/>
    </xf>
    <xf numFmtId="43" fontId="80" fillId="13" borderId="72" xfId="10" applyFont="1" applyFill="1" applyBorder="1" applyAlignment="1">
      <alignment horizontal="left"/>
    </xf>
    <xf numFmtId="3" fontId="80" fillId="16" borderId="72" xfId="10" applyNumberFormat="1" applyFont="1" applyFill="1" applyBorder="1" applyAlignment="1">
      <alignment horizontal="left"/>
    </xf>
    <xf numFmtId="37" fontId="80" fillId="0" borderId="37" xfId="4" applyFont="1" applyBorder="1" applyAlignment="1">
      <alignment horizontal="left" vertical="center"/>
    </xf>
    <xf numFmtId="37" fontId="103" fillId="0" borderId="46" xfId="4" applyFont="1" applyBorder="1" applyAlignment="1">
      <alignment horizontal="left"/>
    </xf>
    <xf numFmtId="0" fontId="109" fillId="0" borderId="46" xfId="12" applyFont="1" applyBorder="1" applyAlignment="1">
      <alignment horizontal="left"/>
    </xf>
    <xf numFmtId="43" fontId="80" fillId="0" borderId="46" xfId="4" applyNumberFormat="1" applyFont="1" applyBorder="1" applyAlignment="1">
      <alignment horizontal="left"/>
    </xf>
    <xf numFmtId="8" fontId="80" fillId="0" borderId="46" xfId="4" applyNumberFormat="1" applyFont="1" applyBorder="1" applyAlignment="1">
      <alignment horizontal="left"/>
    </xf>
    <xf numFmtId="8" fontId="80" fillId="0" borderId="46" xfId="4" applyNumberFormat="1" applyFont="1" applyBorder="1" applyAlignment="1">
      <alignment horizontal="left" wrapText="1"/>
    </xf>
    <xf numFmtId="43" fontId="110" fillId="0" borderId="46" xfId="4" applyNumberFormat="1" applyFont="1" applyBorder="1" applyAlignment="1">
      <alignment horizontal="left"/>
    </xf>
    <xf numFmtId="8" fontId="110" fillId="0" borderId="46" xfId="4" applyNumberFormat="1" applyFont="1" applyBorder="1" applyAlignment="1">
      <alignment horizontal="left"/>
    </xf>
    <xf numFmtId="8" fontId="80" fillId="0" borderId="38" xfId="4" applyNumberFormat="1" applyFont="1" applyBorder="1" applyAlignment="1">
      <alignment horizontal="left" wrapText="1"/>
    </xf>
    <xf numFmtId="8" fontId="113" fillId="0" borderId="0" xfId="4" applyNumberFormat="1" applyFont="1" applyAlignment="1">
      <alignment horizontal="left"/>
    </xf>
    <xf numFmtId="8" fontId="80" fillId="0" borderId="29" xfId="4" applyNumberFormat="1" applyFont="1" applyBorder="1" applyAlignment="1">
      <alignment horizontal="left" wrapText="1"/>
    </xf>
    <xf numFmtId="8" fontId="80" fillId="0" borderId="29" xfId="4" applyNumberFormat="1" applyFont="1" applyBorder="1" applyAlignment="1">
      <alignment horizontal="left"/>
    </xf>
    <xf numFmtId="10" fontId="80" fillId="0" borderId="29" xfId="4" applyNumberFormat="1" applyFont="1" applyBorder="1" applyAlignment="1">
      <alignment horizontal="left"/>
    </xf>
    <xf numFmtId="37" fontId="80" fillId="0" borderId="9" xfId="4" applyFont="1" applyBorder="1" applyAlignment="1">
      <alignment horizontal="left" vertical="center"/>
    </xf>
    <xf numFmtId="10" fontId="106" fillId="0" borderId="0" xfId="2" applyNumberFormat="1" applyFont="1" applyBorder="1" applyAlignment="1">
      <alignment horizontal="left"/>
    </xf>
    <xf numFmtId="3" fontId="104" fillId="13" borderId="249" xfId="10" applyNumberFormat="1" applyFont="1" applyFill="1" applyBorder="1" applyAlignment="1">
      <alignment horizontal="left"/>
    </xf>
    <xf numFmtId="3" fontId="12" fillId="13" borderId="13" xfId="10" applyNumberFormat="1" applyFont="1" applyFill="1" applyBorder="1" applyAlignment="1">
      <alignment horizontal="left"/>
    </xf>
    <xf numFmtId="37" fontId="80" fillId="29" borderId="0" xfId="4" applyFont="1" applyFill="1" applyAlignment="1">
      <alignment horizontal="left"/>
    </xf>
    <xf numFmtId="37" fontId="80" fillId="29" borderId="9" xfId="4" applyFont="1" applyFill="1" applyBorder="1" applyAlignment="1">
      <alignment horizontal="left" vertical="center"/>
    </xf>
    <xf numFmtId="0" fontId="106" fillId="29" borderId="0" xfId="12" applyFont="1" applyFill="1" applyAlignment="1">
      <alignment horizontal="left"/>
    </xf>
    <xf numFmtId="10" fontId="106" fillId="29" borderId="0" xfId="2" applyNumberFormat="1" applyFont="1" applyFill="1" applyBorder="1" applyAlignment="1">
      <alignment horizontal="left"/>
    </xf>
    <xf numFmtId="8" fontId="80" fillId="29" borderId="0" xfId="4" applyNumberFormat="1" applyFont="1" applyFill="1" applyAlignment="1">
      <alignment horizontal="left"/>
    </xf>
    <xf numFmtId="43" fontId="80" fillId="29" borderId="0" xfId="4" applyNumberFormat="1" applyFont="1" applyFill="1" applyAlignment="1">
      <alignment horizontal="left"/>
    </xf>
    <xf numFmtId="8" fontId="80" fillId="29" borderId="29" xfId="4" applyNumberFormat="1" applyFont="1" applyFill="1" applyBorder="1" applyAlignment="1">
      <alignment horizontal="left"/>
    </xf>
    <xf numFmtId="43" fontId="104" fillId="29" borderId="0" xfId="10" applyFont="1" applyFill="1" applyBorder="1" applyAlignment="1">
      <alignment horizontal="left"/>
    </xf>
    <xf numFmtId="37" fontId="80" fillId="13" borderId="234" xfId="4" applyFont="1" applyFill="1" applyBorder="1" applyAlignment="1">
      <alignment horizontal="left"/>
    </xf>
    <xf numFmtId="3" fontId="80" fillId="16" borderId="236" xfId="10" applyNumberFormat="1" applyFont="1" applyFill="1" applyBorder="1" applyAlignment="1">
      <alignment horizontal="left"/>
    </xf>
    <xf numFmtId="3" fontId="106" fillId="16" borderId="72" xfId="2" applyNumberFormat="1" applyFont="1" applyFill="1" applyBorder="1" applyAlignment="1">
      <alignment horizontal="left"/>
    </xf>
    <xf numFmtId="3" fontId="80" fillId="0" borderId="0" xfId="4" applyNumberFormat="1" applyFont="1" applyAlignment="1">
      <alignment horizontal="left"/>
    </xf>
    <xf numFmtId="3" fontId="80" fillId="0" borderId="29" xfId="4" applyNumberFormat="1" applyFont="1" applyBorder="1" applyAlignment="1">
      <alignment horizontal="left"/>
    </xf>
    <xf numFmtId="37" fontId="12" fillId="13" borderId="220" xfId="4" applyFont="1" applyFill="1" applyBorder="1" applyAlignment="1">
      <alignment horizontal="left"/>
    </xf>
    <xf numFmtId="37" fontId="108" fillId="13" borderId="73" xfId="4" applyFont="1" applyFill="1" applyBorder="1" applyAlignment="1">
      <alignment horizontal="left"/>
    </xf>
    <xf numFmtId="37" fontId="108" fillId="13" borderId="189" xfId="4" applyFont="1" applyFill="1" applyBorder="1" applyAlignment="1">
      <alignment horizontal="left"/>
    </xf>
    <xf numFmtId="37" fontId="108" fillId="13" borderId="257" xfId="4" applyFont="1" applyFill="1" applyBorder="1" applyAlignment="1">
      <alignment horizontal="left"/>
    </xf>
    <xf numFmtId="37" fontId="12" fillId="13" borderId="7" xfId="4" applyFont="1" applyFill="1" applyBorder="1" applyAlignment="1">
      <alignment horizontal="left"/>
    </xf>
    <xf numFmtId="14" fontId="12" fillId="13" borderId="7" xfId="4" applyNumberFormat="1" applyFont="1" applyFill="1" applyBorder="1" applyAlignment="1">
      <alignment horizontal="left"/>
    </xf>
    <xf numFmtId="37" fontId="83" fillId="13" borderId="8" xfId="4" applyFont="1" applyFill="1" applyBorder="1" applyAlignment="1">
      <alignment horizontal="right"/>
    </xf>
    <xf numFmtId="37" fontId="83" fillId="13" borderId="40" xfId="4" applyFont="1" applyFill="1" applyBorder="1" applyAlignment="1">
      <alignment horizontal="left" vertical="center"/>
    </xf>
    <xf numFmtId="37" fontId="12" fillId="13" borderId="10" xfId="4" applyFont="1" applyFill="1" applyBorder="1" applyAlignment="1">
      <alignment horizontal="left"/>
    </xf>
    <xf numFmtId="14" fontId="12" fillId="13" borderId="10" xfId="4" applyNumberFormat="1" applyFont="1" applyFill="1" applyBorder="1" applyAlignment="1">
      <alignment horizontal="left"/>
    </xf>
    <xf numFmtId="37" fontId="112" fillId="13" borderId="24" xfId="4" applyFont="1" applyFill="1" applyBorder="1" applyAlignment="1">
      <alignment horizontal="right"/>
    </xf>
    <xf numFmtId="37" fontId="112" fillId="13" borderId="37" xfId="4" applyFont="1" applyFill="1" applyBorder="1" applyAlignment="1">
      <alignment horizontal="left" vertical="center"/>
    </xf>
    <xf numFmtId="37" fontId="112" fillId="13" borderId="46" xfId="4" applyFont="1" applyFill="1" applyBorder="1" applyAlignment="1">
      <alignment horizontal="left"/>
    </xf>
    <xf numFmtId="37" fontId="112" fillId="13" borderId="46" xfId="4" applyFont="1" applyFill="1" applyBorder="1" applyAlignment="1">
      <alignment horizontal="right"/>
    </xf>
    <xf numFmtId="37" fontId="40" fillId="0" borderId="0" xfId="0" quotePrefix="1" applyFont="1" applyAlignment="1" applyProtection="1">
      <alignment horizontal="left" indent="1"/>
      <protection locked="0"/>
    </xf>
    <xf numFmtId="37" fontId="51" fillId="0" borderId="258" xfId="0" quotePrefix="1" applyFont="1" applyBorder="1" applyAlignment="1" applyProtection="1">
      <alignment horizontal="right"/>
      <protection locked="0"/>
    </xf>
    <xf numFmtId="37" fontId="51" fillId="0" borderId="212" xfId="0" quotePrefix="1" applyFont="1" applyBorder="1" applyAlignment="1" applyProtection="1">
      <alignment horizontal="right"/>
      <protection locked="0"/>
    </xf>
    <xf numFmtId="10" fontId="41" fillId="13" borderId="8" xfId="2" applyNumberFormat="1" applyFont="1" applyFill="1" applyBorder="1" applyAlignment="1" applyProtection="1">
      <alignment horizontal="left"/>
    </xf>
    <xf numFmtId="4" fontId="36" fillId="0" borderId="197" xfId="0" applyNumberFormat="1" applyFont="1" applyBorder="1" applyAlignment="1">
      <alignment horizontal="center"/>
    </xf>
    <xf numFmtId="4" fontId="36" fillId="0" borderId="197" xfId="0" applyNumberFormat="1" applyFont="1" applyBorder="1" applyAlignment="1" applyProtection="1">
      <alignment horizontal="center"/>
      <protection locked="0"/>
    </xf>
    <xf numFmtId="4" fontId="36" fillId="11" borderId="197" xfId="0" applyNumberFormat="1" applyFont="1" applyFill="1" applyBorder="1" applyAlignment="1">
      <alignment horizontal="center"/>
    </xf>
    <xf numFmtId="4" fontId="36" fillId="0" borderId="197" xfId="0" applyNumberFormat="1" applyFont="1" applyBorder="1" applyAlignment="1">
      <alignment horizontal="center" vertical="center"/>
    </xf>
    <xf numFmtId="4" fontId="40" fillId="0" borderId="197" xfId="0" applyNumberFormat="1" applyFont="1" applyBorder="1" applyAlignment="1">
      <alignment horizontal="center"/>
    </xf>
    <xf numFmtId="4" fontId="24" fillId="0" borderId="197" xfId="0" applyNumberFormat="1" applyFont="1" applyBorder="1" applyAlignment="1">
      <alignment horizontal="center"/>
    </xf>
    <xf numFmtId="4" fontId="40" fillId="11" borderId="232" xfId="0" applyNumberFormat="1" applyFont="1" applyFill="1" applyBorder="1" applyAlignment="1" applyProtection="1">
      <alignment horizontal="center"/>
      <protection locked="0"/>
    </xf>
    <xf numFmtId="4" fontId="40" fillId="0" borderId="72" xfId="0" applyNumberFormat="1" applyFont="1" applyBorder="1" applyAlignment="1">
      <alignment horizontal="center"/>
    </xf>
    <xf numFmtId="4" fontId="36" fillId="16" borderId="197" xfId="0" applyNumberFormat="1" applyFont="1" applyFill="1" applyBorder="1" applyAlignment="1" applyProtection="1">
      <alignment horizontal="center"/>
      <protection locked="0"/>
    </xf>
    <xf numFmtId="4" fontId="115" fillId="0" borderId="197" xfId="0" applyNumberFormat="1" applyFont="1" applyBorder="1" applyAlignment="1">
      <alignment horizontal="center"/>
    </xf>
    <xf numFmtId="4" fontId="115" fillId="0" borderId="72" xfId="0" applyNumberFormat="1" applyFont="1" applyBorder="1" applyAlignment="1">
      <alignment horizontal="center"/>
    </xf>
    <xf numFmtId="37" fontId="36" fillId="0" borderId="31" xfId="0" applyFont="1" applyBorder="1" applyAlignment="1" applyProtection="1">
      <alignment horizontal="left" wrapText="1" indent="1"/>
      <protection locked="0"/>
    </xf>
    <xf numFmtId="37" fontId="117" fillId="0" borderId="43" xfId="4" applyFont="1" applyBorder="1" applyAlignment="1" applyProtection="1">
      <alignment horizontal="left" vertical="center" indent="1"/>
      <protection locked="0"/>
    </xf>
    <xf numFmtId="37" fontId="88" fillId="0" borderId="0" xfId="0" applyFont="1" applyAlignment="1">
      <alignment horizontal="left"/>
    </xf>
    <xf numFmtId="37" fontId="36" fillId="0" borderId="0" xfId="0" applyFont="1" applyAlignment="1">
      <alignment horizontal="center"/>
    </xf>
    <xf numFmtId="4" fontId="40" fillId="11" borderId="197" xfId="0" applyNumberFormat="1" applyFont="1" applyFill="1" applyBorder="1" applyAlignment="1">
      <alignment horizontal="center"/>
    </xf>
    <xf numFmtId="37" fontId="51" fillId="0" borderId="134" xfId="0" quotePrefix="1" applyFont="1" applyBorder="1" applyAlignment="1" applyProtection="1">
      <alignment horizontal="right"/>
      <protection locked="0"/>
    </xf>
    <xf numFmtId="39" fontId="10" fillId="13" borderId="13" xfId="0" applyNumberFormat="1" applyFont="1" applyFill="1" applyBorder="1" applyAlignment="1">
      <alignment horizontal="center"/>
    </xf>
    <xf numFmtId="37" fontId="119" fillId="0" borderId="0" xfId="0" applyFont="1" applyProtection="1">
      <protection locked="0"/>
    </xf>
    <xf numFmtId="37" fontId="85" fillId="0" borderId="0" xfId="0" applyFont="1" applyProtection="1">
      <protection locked="0"/>
    </xf>
    <xf numFmtId="37" fontId="120" fillId="0" borderId="0" xfId="0" applyFont="1" applyAlignment="1">
      <alignment horizontal="left" vertical="center" wrapText="1" indent="1"/>
    </xf>
    <xf numFmtId="37" fontId="81" fillId="0" borderId="0" xfId="0" applyFont="1"/>
    <xf numFmtId="37" fontId="28" fillId="0" borderId="0" xfId="0" applyFont="1" applyAlignment="1">
      <alignment horizontal="left" vertical="center" wrapText="1" indent="1"/>
    </xf>
    <xf numFmtId="37" fontId="121" fillId="0" borderId="0" xfId="0" applyFont="1" applyAlignment="1">
      <alignment horizontal="left" vertical="center" wrapText="1" indent="1"/>
    </xf>
    <xf numFmtId="37" fontId="122" fillId="0" borderId="0" xfId="0" applyFont="1"/>
    <xf numFmtId="37" fontId="91" fillId="0" borderId="0" xfId="0" applyFont="1" applyAlignment="1">
      <alignment horizontal="left" vertical="center" wrapText="1" indent="1"/>
    </xf>
    <xf numFmtId="37" fontId="81" fillId="0" borderId="0" xfId="0" applyFont="1" applyAlignment="1">
      <alignment horizontal="left" vertical="center" wrapText="1" indent="1"/>
    </xf>
    <xf numFmtId="37" fontId="47" fillId="0" borderId="0" xfId="0" applyFont="1" applyAlignment="1">
      <alignment horizontal="left" vertical="center" wrapText="1" indent="1"/>
    </xf>
    <xf numFmtId="37" fontId="123" fillId="0" borderId="0" xfId="0" applyFont="1" applyAlignment="1">
      <alignment horizontal="left" vertical="center" wrapText="1" indent="1"/>
    </xf>
    <xf numFmtId="37" fontId="91" fillId="0" borderId="0" xfId="0" applyFont="1" applyAlignment="1">
      <alignment horizontal="left" wrapText="1" indent="1"/>
    </xf>
    <xf numFmtId="37" fontId="81" fillId="0" borderId="0" xfId="0" applyFont="1" applyAlignment="1">
      <alignment horizontal="left" wrapText="1" indent="1"/>
    </xf>
    <xf numFmtId="37" fontId="47" fillId="0" borderId="12" xfId="0" applyFont="1" applyBorder="1" applyAlignment="1">
      <alignment horizontal="left" vertical="center" wrapText="1" indent="1"/>
    </xf>
    <xf numFmtId="37" fontId="90" fillId="0" borderId="0" xfId="0" applyFont="1" applyAlignment="1">
      <alignment horizontal="left" vertical="center" wrapText="1" indent="1"/>
    </xf>
    <xf numFmtId="37" fontId="91" fillId="0" borderId="0" xfId="0" applyFont="1"/>
    <xf numFmtId="37" fontId="9" fillId="0" borderId="70" xfId="0" applyFont="1" applyBorder="1" applyAlignment="1" applyProtection="1">
      <alignment horizontal="left"/>
      <protection locked="0"/>
    </xf>
    <xf numFmtId="37" fontId="15" fillId="0" borderId="117" xfId="0" applyFont="1" applyBorder="1" applyAlignment="1">
      <alignment horizontal="center" wrapText="1"/>
    </xf>
    <xf numFmtId="37" fontId="51" fillId="0" borderId="116" xfId="0" applyFont="1" applyBorder="1" applyAlignment="1">
      <alignment horizontal="right"/>
    </xf>
    <xf numFmtId="37" fontId="30" fillId="0" borderId="116" xfId="0" quotePrefix="1" applyFont="1" applyBorder="1" applyAlignment="1">
      <alignment horizontal="center"/>
    </xf>
    <xf numFmtId="37" fontId="30" fillId="0" borderId="116" xfId="0" quotePrefix="1" applyFont="1" applyBorder="1" applyAlignment="1" applyProtection="1">
      <alignment horizontal="center"/>
      <protection locked="0"/>
    </xf>
    <xf numFmtId="37" fontId="126" fillId="0" borderId="191" xfId="0" applyFont="1" applyBorder="1" applyAlignment="1" applyProtection="1">
      <alignment horizontal="left" indent="1"/>
      <protection locked="0"/>
    </xf>
    <xf numFmtId="43" fontId="55" fillId="0" borderId="6" xfId="0" applyNumberFormat="1" applyFont="1" applyBorder="1" applyAlignment="1" applyProtection="1">
      <alignment horizontal="left"/>
      <protection locked="0"/>
    </xf>
    <xf numFmtId="43" fontId="55" fillId="0" borderId="7" xfId="0" applyNumberFormat="1" applyFont="1" applyBorder="1" applyProtection="1">
      <protection locked="0"/>
    </xf>
    <xf numFmtId="43" fontId="55" fillId="0" borderId="8" xfId="0" applyNumberFormat="1" applyFont="1" applyBorder="1" applyProtection="1">
      <protection locked="0"/>
    </xf>
    <xf numFmtId="10" fontId="0" fillId="13" borderId="23" xfId="2" applyNumberFormat="1" applyFont="1" applyFill="1" applyBorder="1" applyAlignment="1" applyProtection="1">
      <alignment horizontal="center"/>
    </xf>
    <xf numFmtId="37" fontId="126" fillId="0" borderId="0" xfId="0" applyFont="1" applyAlignment="1" applyProtection="1">
      <alignment horizontal="left" indent="1"/>
      <protection locked="0"/>
    </xf>
    <xf numFmtId="37" fontId="125" fillId="0" borderId="63" xfId="4" applyFont="1" applyBorder="1" applyAlignment="1" applyProtection="1">
      <alignment horizontal="left" vertical="center" indent="1"/>
      <protection locked="0"/>
    </xf>
    <xf numFmtId="14" fontId="0" fillId="0" borderId="0" xfId="0" applyNumberFormat="1" applyAlignment="1" applyProtection="1">
      <alignment horizontal="right" indent="1"/>
      <protection locked="0"/>
    </xf>
    <xf numFmtId="2" fontId="30" fillId="0" borderId="63" xfId="0" applyNumberFormat="1" applyFont="1" applyBorder="1" applyProtection="1">
      <protection locked="0"/>
    </xf>
    <xf numFmtId="37" fontId="0" fillId="0" borderId="208" xfId="0" applyBorder="1" applyProtection="1">
      <protection locked="0"/>
    </xf>
    <xf numFmtId="2" fontId="30" fillId="0" borderId="0" xfId="0" applyNumberFormat="1" applyFont="1" applyProtection="1">
      <protection locked="0"/>
    </xf>
    <xf numFmtId="37" fontId="97" fillId="0" borderId="0" xfId="0" applyFont="1" applyProtection="1">
      <protection locked="0"/>
    </xf>
    <xf numFmtId="37" fontId="97" fillId="0" borderId="0" xfId="0" applyFont="1" applyAlignment="1" applyProtection="1">
      <alignment horizontal="center" wrapText="1"/>
      <protection locked="0"/>
    </xf>
    <xf numFmtId="14" fontId="0" fillId="0" borderId="0" xfId="0" applyNumberFormat="1" applyAlignment="1" applyProtection="1">
      <alignment horizontal="right"/>
      <protection locked="0"/>
    </xf>
    <xf numFmtId="14" fontId="0" fillId="0" borderId="63" xfId="0" applyNumberFormat="1" applyBorder="1" applyAlignment="1" applyProtection="1">
      <alignment horizontal="left" indent="2"/>
      <protection locked="0"/>
    </xf>
    <xf numFmtId="37" fontId="47" fillId="0" borderId="0" xfId="0" applyFont="1" applyAlignment="1" applyProtection="1">
      <alignment horizontal="left" vertical="center" indent="1"/>
      <protection locked="0"/>
    </xf>
    <xf numFmtId="37" fontId="0" fillId="0" borderId="0" xfId="0" applyAlignment="1" applyProtection="1">
      <alignment vertical="top" wrapText="1"/>
      <protection locked="0"/>
    </xf>
    <xf numFmtId="37" fontId="55" fillId="0" borderId="234" xfId="0" applyFont="1" applyBorder="1" applyAlignment="1" applyProtection="1">
      <alignment vertical="center"/>
      <protection locked="0"/>
    </xf>
    <xf numFmtId="37" fontId="62" fillId="0" borderId="234" xfId="0" applyFont="1" applyBorder="1" applyAlignment="1" applyProtection="1">
      <alignment horizontal="right" vertical="center"/>
      <protection locked="0"/>
    </xf>
    <xf numFmtId="37" fontId="67" fillId="0" borderId="236" xfId="0" applyFont="1" applyBorder="1" applyAlignment="1" applyProtection="1">
      <alignment horizontal="right" indent="1"/>
      <protection locked="0"/>
    </xf>
    <xf numFmtId="172" fontId="0" fillId="16" borderId="197" xfId="4" applyNumberFormat="1" applyFont="1" applyFill="1" applyBorder="1" applyAlignment="1" applyProtection="1">
      <alignment horizontal="center"/>
      <protection locked="0"/>
    </xf>
    <xf numFmtId="37" fontId="55" fillId="0" borderId="234" xfId="0" applyFont="1" applyBorder="1" applyAlignment="1" applyProtection="1">
      <alignment horizontal="left" vertical="center" indent="1"/>
      <protection locked="0"/>
    </xf>
    <xf numFmtId="37" fontId="0" fillId="0" borderId="0" xfId="4" applyFont="1" applyAlignment="1" applyProtection="1">
      <alignment vertical="center"/>
      <protection locked="0"/>
    </xf>
    <xf numFmtId="177" fontId="0" fillId="16" borderId="197" xfId="1" applyNumberFormat="1" applyFont="1" applyFill="1" applyBorder="1" applyAlignment="1" applyProtection="1">
      <alignment horizontal="right"/>
      <protection locked="0"/>
    </xf>
    <xf numFmtId="42" fontId="0" fillId="0" borderId="0" xfId="0" applyNumberFormat="1" applyAlignment="1" applyProtection="1">
      <alignment horizontal="right"/>
      <protection locked="0"/>
    </xf>
    <xf numFmtId="37" fontId="0" fillId="0" borderId="234" xfId="0" applyBorder="1" applyAlignment="1">
      <alignment horizontal="left" vertical="center" indent="1"/>
    </xf>
    <xf numFmtId="37" fontId="0" fillId="0" borderId="236" xfId="0" applyBorder="1" applyAlignment="1" applyProtection="1">
      <alignment horizontal="left" vertical="center" indent="2"/>
      <protection locked="0"/>
    </xf>
    <xf numFmtId="37" fontId="0" fillId="0" borderId="0" xfId="0" quotePrefix="1" applyAlignment="1" applyProtection="1">
      <alignment horizontal="left"/>
      <protection locked="0"/>
    </xf>
    <xf numFmtId="176" fontId="67" fillId="13" borderId="197" xfId="7" quotePrefix="1" applyNumberFormat="1" applyFont="1" applyFill="1" applyBorder="1" applyAlignment="1" applyProtection="1">
      <alignment horizontal="right"/>
    </xf>
    <xf numFmtId="5" fontId="0" fillId="0" borderId="0" xfId="0" applyNumberFormat="1" applyAlignment="1" applyProtection="1">
      <alignment horizontal="right"/>
      <protection locked="0"/>
    </xf>
    <xf numFmtId="43" fontId="0" fillId="13" borderId="197" xfId="7" applyFont="1" applyFill="1" applyBorder="1" applyAlignment="1" applyProtection="1">
      <alignment horizontal="right"/>
    </xf>
    <xf numFmtId="42" fontId="118" fillId="0" borderId="0" xfId="0" applyNumberFormat="1" applyFont="1" applyAlignment="1" applyProtection="1">
      <alignment horizontal="right"/>
      <protection locked="0"/>
    </xf>
    <xf numFmtId="37" fontId="118" fillId="0" borderId="0" xfId="0" applyFont="1" applyProtection="1">
      <protection locked="0"/>
    </xf>
    <xf numFmtId="37" fontId="61" fillId="0" borderId="0" xfId="0" applyFont="1" applyAlignment="1" applyProtection="1">
      <alignment horizontal="left" indent="1"/>
      <protection locked="0"/>
    </xf>
    <xf numFmtId="37" fontId="0" fillId="0" borderId="0" xfId="0" applyAlignment="1" applyProtection="1">
      <alignment horizontal="left" vertical="center" indent="2"/>
      <protection locked="0"/>
    </xf>
    <xf numFmtId="176" fontId="67" fillId="16" borderId="197" xfId="7" applyNumberFormat="1" applyFont="1" applyFill="1" applyBorder="1" applyAlignment="1" applyProtection="1">
      <alignment horizontal="right"/>
      <protection locked="0"/>
    </xf>
    <xf numFmtId="37" fontId="0" fillId="0" borderId="234" xfId="0" applyBorder="1" applyAlignment="1" applyProtection="1">
      <alignment horizontal="left" vertical="center" indent="2"/>
      <protection locked="0"/>
    </xf>
    <xf numFmtId="37" fontId="67" fillId="13" borderId="197" xfId="0" applyFont="1" applyFill="1" applyBorder="1" applyAlignment="1">
      <alignment horizontal="right"/>
    </xf>
    <xf numFmtId="9" fontId="0" fillId="0" borderId="0" xfId="0" applyNumberFormat="1" applyAlignment="1" applyProtection="1">
      <alignment horizontal="right"/>
      <protection locked="0"/>
    </xf>
    <xf numFmtId="9" fontId="0" fillId="13" borderId="197" xfId="0" applyNumberFormat="1" applyFill="1" applyBorder="1" applyAlignment="1">
      <alignment horizontal="right"/>
    </xf>
    <xf numFmtId="177" fontId="0" fillId="13" borderId="197" xfId="1" applyNumberFormat="1" applyFont="1" applyFill="1" applyBorder="1" applyAlignment="1" applyProtection="1">
      <alignment horizontal="right"/>
    </xf>
    <xf numFmtId="10" fontId="0" fillId="13" borderId="197" xfId="0" applyNumberFormat="1" applyFill="1" applyBorder="1" applyAlignment="1">
      <alignment horizontal="right"/>
    </xf>
    <xf numFmtId="172" fontId="0" fillId="0" borderId="0" xfId="0" applyNumberFormat="1" applyAlignment="1" applyProtection="1">
      <alignment horizontal="right"/>
      <protection locked="0"/>
    </xf>
    <xf numFmtId="37" fontId="67" fillId="0" borderId="235" xfId="0" applyFont="1" applyBorder="1" applyAlignment="1">
      <alignment horizontal="left" vertical="center" indent="2"/>
    </xf>
    <xf numFmtId="37" fontId="67" fillId="0" borderId="234" xfId="0" applyFont="1" applyBorder="1" applyAlignment="1">
      <alignment vertical="center" wrapText="1"/>
    </xf>
    <xf numFmtId="37" fontId="67" fillId="0" borderId="197" xfId="0" applyFont="1" applyBorder="1" applyAlignment="1">
      <alignment horizontal="left" vertical="center" indent="2"/>
    </xf>
    <xf numFmtId="37" fontId="67" fillId="0" borderId="235" xfId="0" applyFont="1" applyBorder="1" applyAlignment="1">
      <alignment horizontal="left" vertical="center" indent="1"/>
    </xf>
    <xf numFmtId="37" fontId="67" fillId="0" borderId="236" xfId="0" applyFont="1" applyBorder="1" applyAlignment="1" applyProtection="1">
      <alignment horizontal="right" vertical="center" wrapText="1"/>
      <protection locked="0"/>
    </xf>
    <xf numFmtId="37" fontId="67" fillId="0" borderId="235" xfId="0" applyFont="1" applyBorder="1" applyAlignment="1" applyProtection="1">
      <alignment horizontal="left" vertical="center" indent="2"/>
      <protection locked="0"/>
    </xf>
    <xf numFmtId="37" fontId="67" fillId="0" borderId="197" xfId="4" applyFont="1" applyBorder="1" applyAlignment="1" applyProtection="1">
      <alignment horizontal="right" vertical="center" indent="1"/>
      <protection locked="0"/>
    </xf>
    <xf numFmtId="39" fontId="67" fillId="13" borderId="197" xfId="4" quotePrefix="1" applyNumberFormat="1" applyFont="1" applyFill="1" applyBorder="1" applyAlignment="1">
      <alignment horizontal="right" indent="1"/>
    </xf>
    <xf numFmtId="37" fontId="67" fillId="0" borderId="0" xfId="0" applyFont="1" applyProtection="1">
      <protection locked="0"/>
    </xf>
    <xf numFmtId="37" fontId="55" fillId="10" borderId="197" xfId="0" applyFont="1" applyFill="1" applyBorder="1" applyAlignment="1" applyProtection="1">
      <alignment horizontal="center" vertical="center"/>
      <protection locked="0"/>
    </xf>
    <xf numFmtId="37" fontId="55" fillId="10" borderId="197" xfId="0" applyFont="1" applyFill="1" applyBorder="1" applyAlignment="1" applyProtection="1">
      <alignment horizontal="center" vertical="center" wrapText="1"/>
      <protection locked="0"/>
    </xf>
    <xf numFmtId="37" fontId="67" fillId="0" borderId="197" xfId="0" applyFont="1" applyBorder="1" applyAlignment="1" applyProtection="1">
      <alignment horizontal="left" vertical="center" indent="1"/>
      <protection locked="0"/>
    </xf>
    <xf numFmtId="5" fontId="67" fillId="16" borderId="197" xfId="0" applyNumberFormat="1" applyFont="1" applyFill="1" applyBorder="1" applyAlignment="1" applyProtection="1">
      <alignment horizontal="center" vertical="center"/>
      <protection locked="0"/>
    </xf>
    <xf numFmtId="177" fontId="55" fillId="13" borderId="197" xfId="1" applyNumberFormat="1" applyFont="1" applyFill="1" applyBorder="1" applyAlignment="1" applyProtection="1">
      <alignment vertical="center"/>
    </xf>
    <xf numFmtId="37" fontId="67" fillId="16" borderId="197" xfId="0" applyFont="1" applyFill="1" applyBorder="1" applyAlignment="1" applyProtection="1">
      <alignment horizontal="center" vertical="center"/>
      <protection locked="0"/>
    </xf>
    <xf numFmtId="176" fontId="55" fillId="13" borderId="197" xfId="7" applyNumberFormat="1" applyFont="1" applyFill="1" applyBorder="1" applyAlignment="1" applyProtection="1">
      <alignment vertical="center"/>
    </xf>
    <xf numFmtId="176" fontId="55" fillId="13" borderId="197" xfId="7" applyNumberFormat="1" applyFont="1" applyFill="1" applyBorder="1" applyAlignment="1" applyProtection="1">
      <alignment horizontal="center" vertical="center"/>
    </xf>
    <xf numFmtId="37" fontId="67" fillId="0" borderId="0" xfId="0" applyFont="1" applyAlignment="1" applyProtection="1">
      <alignment horizontal="center"/>
      <protection locked="0"/>
    </xf>
    <xf numFmtId="37" fontId="129" fillId="0" borderId="0" xfId="0" applyFont="1" applyProtection="1">
      <protection locked="0"/>
    </xf>
    <xf numFmtId="37" fontId="60" fillId="0" borderId="0" xfId="0" applyFont="1" applyAlignment="1" applyProtection="1">
      <alignment horizontal="left" indent="1"/>
      <protection locked="0"/>
    </xf>
    <xf numFmtId="37" fontId="67" fillId="16" borderId="197" xfId="0" applyFont="1" applyFill="1" applyBorder="1" applyAlignment="1" applyProtection="1">
      <alignment horizontal="center"/>
      <protection locked="0"/>
    </xf>
    <xf numFmtId="9" fontId="67" fillId="0" borderId="0" xfId="2" applyFont="1" applyBorder="1" applyAlignment="1" applyProtection="1">
      <alignment horizontal="center" vertical="center" wrapText="1"/>
      <protection locked="0"/>
    </xf>
    <xf numFmtId="37" fontId="67" fillId="0" borderId="0" xfId="0" applyFont="1" applyAlignment="1" applyProtection="1">
      <alignment horizontal="left" vertical="center" wrapText="1" indent="1"/>
      <protection locked="0"/>
    </xf>
    <xf numFmtId="37" fontId="67" fillId="0" borderId="0" xfId="0" applyFont="1" applyAlignment="1" applyProtection="1">
      <alignment horizontal="left"/>
      <protection locked="0"/>
    </xf>
    <xf numFmtId="37" fontId="125" fillId="0" borderId="0" xfId="4" applyFont="1" applyAlignment="1" applyProtection="1">
      <alignment horizontal="left" vertical="center" indent="1"/>
      <protection locked="0"/>
    </xf>
    <xf numFmtId="37" fontId="87" fillId="0" borderId="0" xfId="0" applyFont="1" applyAlignment="1" applyProtection="1">
      <alignment horizontal="right" indent="1"/>
      <protection locked="0"/>
    </xf>
    <xf numFmtId="14" fontId="81" fillId="0" borderId="63" xfId="0" applyNumberFormat="1" applyFont="1" applyBorder="1" applyAlignment="1" applyProtection="1">
      <alignment horizontal="right" indent="1"/>
      <protection locked="0"/>
    </xf>
    <xf numFmtId="37" fontId="132" fillId="0" borderId="0" xfId="0" applyFont="1" applyAlignment="1">
      <alignment horizontal="right"/>
    </xf>
    <xf numFmtId="37" fontId="89" fillId="25" borderId="223" xfId="0" applyFont="1" applyFill="1" applyBorder="1" applyAlignment="1">
      <alignment horizontal="left"/>
    </xf>
    <xf numFmtId="37" fontId="89" fillId="25" borderId="223" xfId="0" applyFont="1" applyFill="1" applyBorder="1" applyAlignment="1">
      <alignment horizontal="left" wrapText="1"/>
    </xf>
    <xf numFmtId="37" fontId="9" fillId="0" borderId="0" xfId="0" applyFont="1" applyAlignment="1">
      <alignment horizontal="left"/>
    </xf>
    <xf numFmtId="37" fontId="81" fillId="0" borderId="72" xfId="0" applyFont="1" applyBorder="1" applyAlignment="1">
      <alignment horizontal="left" indent="1"/>
    </xf>
    <xf numFmtId="37" fontId="130" fillId="29" borderId="0" xfId="0" applyFont="1" applyFill="1" applyAlignment="1">
      <alignment horizontal="left" indent="1"/>
    </xf>
    <xf numFmtId="37" fontId="133" fillId="0" borderId="0" xfId="0" applyFont="1" applyAlignment="1">
      <alignment horizontal="left"/>
    </xf>
    <xf numFmtId="3" fontId="9" fillId="0" borderId="0" xfId="0" applyNumberFormat="1" applyFont="1" applyAlignment="1">
      <alignment horizontal="right"/>
    </xf>
    <xf numFmtId="37" fontId="89" fillId="25" borderId="72" xfId="0" applyFont="1" applyFill="1" applyBorder="1" applyAlignment="1">
      <alignment horizontal="left" indent="1"/>
    </xf>
    <xf numFmtId="37" fontId="130" fillId="25" borderId="72" xfId="0" applyFont="1" applyFill="1" applyBorder="1" applyAlignment="1">
      <alignment horizontal="left" indent="1"/>
    </xf>
    <xf numFmtId="37" fontId="47" fillId="33" borderId="72" xfId="0" applyFont="1" applyFill="1" applyBorder="1" applyAlignment="1">
      <alignment horizontal="left" indent="1"/>
    </xf>
    <xf numFmtId="37" fontId="125" fillId="0" borderId="63" xfId="4" applyFont="1" applyBorder="1" applyAlignment="1" applyProtection="1">
      <alignment horizontal="right" vertical="center" indent="1"/>
      <protection locked="0"/>
    </xf>
    <xf numFmtId="37" fontId="125" fillId="0" borderId="0" xfId="4" applyFont="1" applyAlignment="1" applyProtection="1">
      <alignment horizontal="right" vertical="center" indent="1"/>
      <protection locked="0"/>
    </xf>
    <xf numFmtId="3" fontId="82" fillId="0" borderId="0" xfId="0" applyNumberFormat="1" applyFont="1" applyAlignment="1">
      <alignment horizontal="right"/>
    </xf>
    <xf numFmtId="3" fontId="89" fillId="25" borderId="72" xfId="0" applyNumberFormat="1" applyFont="1" applyFill="1" applyBorder="1" applyAlignment="1">
      <alignment horizontal="right" wrapText="1"/>
    </xf>
    <xf numFmtId="3" fontId="81" fillId="33" borderId="72" xfId="0" applyNumberFormat="1" applyFont="1" applyFill="1" applyBorder="1" applyAlignment="1">
      <alignment horizontal="right"/>
    </xf>
    <xf numFmtId="3" fontId="81" fillId="3" borderId="72" xfId="7" applyNumberFormat="1" applyFont="1" applyFill="1" applyBorder="1" applyAlignment="1" applyProtection="1">
      <alignment horizontal="right"/>
    </xf>
    <xf numFmtId="3" fontId="47" fillId="33" borderId="72" xfId="0" applyNumberFormat="1" applyFont="1" applyFill="1" applyBorder="1" applyAlignment="1">
      <alignment horizontal="right"/>
    </xf>
    <xf numFmtId="3" fontId="81" fillId="31" borderId="72" xfId="0" applyNumberFormat="1" applyFont="1" applyFill="1" applyBorder="1" applyAlignment="1">
      <alignment horizontal="right"/>
    </xf>
    <xf numFmtId="3" fontId="81" fillId="0" borderId="72" xfId="7" applyNumberFormat="1" applyFont="1" applyFill="1" applyBorder="1" applyAlignment="1" applyProtection="1">
      <alignment horizontal="right"/>
    </xf>
    <xf numFmtId="3" fontId="130" fillId="25" borderId="72" xfId="0" applyNumberFormat="1" applyFont="1" applyFill="1" applyBorder="1" applyAlignment="1">
      <alignment horizontal="right"/>
    </xf>
    <xf numFmtId="37" fontId="81" fillId="0" borderId="0" xfId="0" applyFont="1" applyAlignment="1">
      <alignment horizontal="right"/>
    </xf>
    <xf numFmtId="37" fontId="89" fillId="25" borderId="225" xfId="0" applyFont="1" applyFill="1" applyBorder="1" applyAlignment="1">
      <alignment horizontal="right" wrapText="1"/>
    </xf>
    <xf numFmtId="176" fontId="81" fillId="30" borderId="72" xfId="7" applyNumberFormat="1" applyFont="1" applyFill="1" applyBorder="1" applyAlignment="1" applyProtection="1">
      <alignment horizontal="right"/>
    </xf>
    <xf numFmtId="3" fontId="130" fillId="25" borderId="222" xfId="0" applyNumberFormat="1" applyFont="1" applyFill="1" applyBorder="1" applyAlignment="1">
      <alignment horizontal="right"/>
    </xf>
    <xf numFmtId="3" fontId="130" fillId="29" borderId="0" xfId="0" applyNumberFormat="1" applyFont="1" applyFill="1" applyAlignment="1">
      <alignment horizontal="right"/>
    </xf>
    <xf numFmtId="176" fontId="132" fillId="0" borderId="80" xfId="0" applyNumberFormat="1" applyFont="1" applyBorder="1" applyAlignment="1">
      <alignment horizontal="right"/>
    </xf>
    <xf numFmtId="176" fontId="131" fillId="13" borderId="80" xfId="7" applyNumberFormat="1" applyFont="1" applyFill="1" applyBorder="1" applyAlignment="1">
      <alignment horizontal="right"/>
    </xf>
    <xf numFmtId="37" fontId="85" fillId="0" borderId="72" xfId="0" applyFont="1" applyBorder="1" applyAlignment="1">
      <alignment horizontal="left" indent="1"/>
    </xf>
    <xf numFmtId="3" fontId="85" fillId="3" borderId="72" xfId="7" applyNumberFormat="1" applyFont="1" applyFill="1" applyBorder="1" applyAlignment="1" applyProtection="1">
      <alignment horizontal="right"/>
    </xf>
    <xf numFmtId="37" fontId="71" fillId="0" borderId="0" xfId="0" applyFont="1" applyAlignment="1">
      <alignment horizontal="left"/>
    </xf>
    <xf numFmtId="37" fontId="134" fillId="0" borderId="0" xfId="0" applyFont="1" applyAlignment="1">
      <alignment horizontal="left"/>
    </xf>
    <xf numFmtId="37" fontId="0" fillId="0" borderId="84" xfId="0" applyBorder="1" applyAlignment="1" applyProtection="1">
      <alignment horizontal="center"/>
      <protection locked="0"/>
    </xf>
    <xf numFmtId="37" fontId="10" fillId="0" borderId="83" xfId="0" applyFont="1" applyBorder="1" applyAlignment="1" applyProtection="1">
      <alignment horizontal="left" indent="1"/>
      <protection locked="0"/>
    </xf>
    <xf numFmtId="37" fontId="10" fillId="0" borderId="84" xfId="0" applyFont="1" applyBorder="1" applyProtection="1">
      <protection locked="0"/>
    </xf>
    <xf numFmtId="37" fontId="76" fillId="0" borderId="84" xfId="0" applyFont="1" applyBorder="1" applyAlignment="1" applyProtection="1">
      <alignment horizontal="right"/>
      <protection locked="0"/>
    </xf>
    <xf numFmtId="37" fontId="10" fillId="0" borderId="0" xfId="0" applyFont="1" applyProtection="1">
      <protection hidden="1"/>
    </xf>
    <xf numFmtId="37" fontId="58" fillId="0" borderId="80" xfId="0" applyFont="1" applyBorder="1" applyProtection="1">
      <protection locked="0"/>
    </xf>
    <xf numFmtId="37" fontId="44" fillId="0" borderId="80" xfId="0" applyFont="1" applyBorder="1"/>
    <xf numFmtId="37" fontId="48" fillId="0" borderId="0" xfId="0" applyFont="1" applyAlignment="1">
      <alignment horizontal="right"/>
    </xf>
    <xf numFmtId="37" fontId="60" fillId="16" borderId="0" xfId="0" applyFont="1" applyFill="1" applyProtection="1">
      <protection locked="0"/>
    </xf>
    <xf numFmtId="37" fontId="44" fillId="16" borderId="0" xfId="0" applyFont="1" applyFill="1" applyProtection="1">
      <protection locked="0"/>
    </xf>
    <xf numFmtId="37" fontId="48" fillId="0" borderId="80" xfId="0" applyFont="1" applyBorder="1" applyAlignment="1">
      <alignment horizontal="right"/>
    </xf>
    <xf numFmtId="176" fontId="58" fillId="16" borderId="80" xfId="0" applyNumberFormat="1" applyFont="1" applyFill="1" applyBorder="1" applyProtection="1">
      <protection locked="0"/>
    </xf>
    <xf numFmtId="176" fontId="48" fillId="0" borderId="261" xfId="0" applyNumberFormat="1" applyFont="1" applyBorder="1" applyAlignment="1">
      <alignment horizontal="center" wrapText="1"/>
    </xf>
    <xf numFmtId="37" fontId="34" fillId="0" borderId="262" xfId="0" quotePrefix="1" applyFont="1" applyBorder="1" applyAlignment="1">
      <alignment horizontal="center" wrapText="1"/>
    </xf>
    <xf numFmtId="37" fontId="34" fillId="0" borderId="263" xfId="0" applyFont="1" applyBorder="1" applyAlignment="1">
      <alignment horizontal="center" wrapText="1"/>
    </xf>
    <xf numFmtId="175" fontId="34" fillId="13" borderId="259" xfId="2" applyNumberFormat="1" applyFont="1" applyFill="1" applyBorder="1" applyAlignment="1" applyProtection="1">
      <alignment horizontal="center"/>
    </xf>
    <xf numFmtId="175" fontId="34" fillId="13" borderId="23" xfId="2" applyNumberFormat="1" applyFont="1" applyFill="1" applyBorder="1" applyAlignment="1" applyProtection="1">
      <alignment horizontal="center"/>
    </xf>
    <xf numFmtId="37" fontId="44" fillId="0" borderId="234" xfId="0" applyFont="1" applyBorder="1" applyProtection="1">
      <protection locked="0"/>
    </xf>
    <xf numFmtId="37" fontId="34" fillId="0" borderId="234" xfId="0" applyFont="1" applyBorder="1" applyProtection="1">
      <protection locked="0"/>
    </xf>
    <xf numFmtId="3" fontId="80" fillId="16" borderId="62" xfId="10" applyNumberFormat="1" applyFont="1" applyFill="1" applyBorder="1" applyAlignment="1">
      <alignment horizontal="left"/>
    </xf>
    <xf numFmtId="176" fontId="0" fillId="0" borderId="234" xfId="7" applyNumberFormat="1" applyFont="1" applyFill="1" applyBorder="1" applyProtection="1">
      <protection locked="0"/>
    </xf>
    <xf numFmtId="37" fontId="10" fillId="0" borderId="234" xfId="0" applyFont="1" applyBorder="1" applyProtection="1">
      <protection locked="0"/>
    </xf>
    <xf numFmtId="37" fontId="0" fillId="0" borderId="234" xfId="0" quotePrefix="1" applyBorder="1" applyAlignment="1" applyProtection="1">
      <alignment horizontal="left" indent="1"/>
      <protection locked="0"/>
    </xf>
    <xf numFmtId="175" fontId="0" fillId="0" borderId="235" xfId="0" applyNumberFormat="1" applyBorder="1" applyAlignment="1" applyProtection="1">
      <alignment horizontal="left" indent="1"/>
      <protection locked="0"/>
    </xf>
    <xf numFmtId="176" fontId="0" fillId="0" borderId="266" xfId="7" applyNumberFormat="1" applyFont="1" applyFill="1" applyBorder="1" applyAlignment="1" applyProtection="1">
      <alignment horizontal="right"/>
      <protection locked="0"/>
    </xf>
    <xf numFmtId="37" fontId="0" fillId="0" borderId="266" xfId="0" applyBorder="1" applyProtection="1">
      <protection locked="0"/>
    </xf>
    <xf numFmtId="37" fontId="25" fillId="0" borderId="267" xfId="0" applyFont="1" applyBorder="1" applyProtection="1">
      <protection locked="0"/>
    </xf>
    <xf numFmtId="37" fontId="0" fillId="0" borderId="267" xfId="0" applyBorder="1" applyProtection="1">
      <protection locked="0"/>
    </xf>
    <xf numFmtId="168" fontId="10" fillId="16" borderId="266" xfId="0" applyNumberFormat="1" applyFont="1" applyFill="1" applyBorder="1" applyProtection="1">
      <protection locked="0"/>
    </xf>
    <xf numFmtId="37" fontId="25" fillId="0" borderId="268" xfId="0" applyFont="1" applyBorder="1" applyProtection="1">
      <protection locked="0"/>
    </xf>
    <xf numFmtId="37" fontId="0" fillId="0" borderId="268" xfId="0" applyBorder="1" applyProtection="1">
      <protection locked="0"/>
    </xf>
    <xf numFmtId="37" fontId="0" fillId="0" borderId="269" xfId="0" applyBorder="1" applyProtection="1">
      <protection locked="0"/>
    </xf>
    <xf numFmtId="37" fontId="0" fillId="0" borderId="269" xfId="0" applyBorder="1" applyAlignment="1" applyProtection="1">
      <alignment horizontal="left" indent="1"/>
      <protection locked="0"/>
    </xf>
    <xf numFmtId="37" fontId="10" fillId="0" borderId="269" xfId="0" applyFont="1" applyBorder="1" applyAlignment="1" applyProtection="1">
      <alignment horizontal="left" indent="1"/>
      <protection locked="0"/>
    </xf>
    <xf numFmtId="37" fontId="5" fillId="0" borderId="37" xfId="0" applyFont="1" applyBorder="1" applyAlignment="1" applyProtection="1">
      <alignment horizontal="right" indent="1"/>
      <protection locked="0"/>
    </xf>
    <xf numFmtId="37" fontId="5" fillId="0" borderId="46" xfId="0" applyFont="1" applyBorder="1" applyAlignment="1" applyProtection="1">
      <alignment horizontal="right" indent="1"/>
      <protection locked="0"/>
    </xf>
    <xf numFmtId="37" fontId="5" fillId="0" borderId="38" xfId="0" applyFont="1" applyBorder="1" applyAlignment="1" applyProtection="1">
      <alignment horizontal="right" indent="1"/>
      <protection locked="0"/>
    </xf>
    <xf numFmtId="37" fontId="5" fillId="0" borderId="9" xfId="0" applyFont="1" applyBorder="1" applyAlignment="1" applyProtection="1">
      <alignment horizontal="right" indent="1"/>
      <protection locked="0"/>
    </xf>
    <xf numFmtId="37" fontId="5" fillId="0" borderId="29" xfId="0" applyFont="1" applyBorder="1" applyAlignment="1" applyProtection="1">
      <alignment horizontal="right" indent="1"/>
      <protection locked="0"/>
    </xf>
    <xf numFmtId="176" fontId="0" fillId="0" borderId="270" xfId="7" quotePrefix="1" applyNumberFormat="1" applyFont="1" applyFill="1" applyBorder="1" applyAlignment="1" applyProtection="1">
      <alignment horizontal="right"/>
    </xf>
    <xf numFmtId="176" fontId="0" fillId="0" borderId="271" xfId="7" applyNumberFormat="1" applyFont="1" applyFill="1" applyBorder="1" applyAlignment="1" applyProtection="1">
      <alignment horizontal="right"/>
      <protection locked="0"/>
    </xf>
    <xf numFmtId="37" fontId="0" fillId="0" borderId="9" xfId="0" applyBorder="1" applyProtection="1">
      <protection locked="0"/>
    </xf>
    <xf numFmtId="37" fontId="0" fillId="0" borderId="29" xfId="0" applyBorder="1" applyProtection="1">
      <protection locked="0"/>
    </xf>
    <xf numFmtId="37" fontId="0" fillId="0" borderId="9" xfId="0" quotePrefix="1" applyBorder="1" applyProtection="1">
      <protection locked="0"/>
    </xf>
    <xf numFmtId="37" fontId="0" fillId="0" borderId="270" xfId="0" applyBorder="1"/>
    <xf numFmtId="37" fontId="0" fillId="0" borderId="271" xfId="0" applyBorder="1" applyProtection="1">
      <protection locked="0"/>
    </xf>
    <xf numFmtId="37" fontId="0" fillId="0" borderId="270" xfId="0" applyBorder="1" applyProtection="1">
      <protection locked="0"/>
    </xf>
    <xf numFmtId="0" fontId="0" fillId="7" borderId="39" xfId="0" applyNumberFormat="1" applyFill="1" applyBorder="1" applyProtection="1">
      <protection locked="0"/>
    </xf>
    <xf numFmtId="37" fontId="25" fillId="0" borderId="248" xfId="0" applyFont="1" applyBorder="1" applyProtection="1">
      <protection locked="0"/>
    </xf>
    <xf numFmtId="37" fontId="25" fillId="0" borderId="274" xfId="0" applyFont="1" applyBorder="1" applyProtection="1">
      <protection locked="0"/>
    </xf>
    <xf numFmtId="37" fontId="0" fillId="0" borderId="248" xfId="0" applyBorder="1" applyProtection="1">
      <protection locked="0"/>
    </xf>
    <xf numFmtId="37" fontId="0" fillId="0" borderId="274" xfId="0" applyBorder="1" applyProtection="1">
      <protection locked="0"/>
    </xf>
    <xf numFmtId="37" fontId="44" fillId="16" borderId="248" xfId="0" applyFont="1" applyFill="1" applyBorder="1" applyProtection="1">
      <protection locked="0"/>
    </xf>
    <xf numFmtId="37" fontId="44" fillId="16" borderId="249" xfId="0" applyFont="1" applyFill="1" applyBorder="1" applyProtection="1">
      <protection locked="0"/>
    </xf>
    <xf numFmtId="37" fontId="0" fillId="0" borderId="233" xfId="0" applyBorder="1" applyProtection="1">
      <protection locked="0"/>
    </xf>
    <xf numFmtId="37" fontId="0" fillId="0" borderId="275" xfId="0" applyBorder="1" applyProtection="1">
      <protection locked="0"/>
    </xf>
    <xf numFmtId="168" fontId="10" fillId="16" borderId="272" xfId="0" applyNumberFormat="1" applyFont="1" applyFill="1" applyBorder="1" applyProtection="1">
      <protection locked="0"/>
    </xf>
    <xf numFmtId="37" fontId="30" fillId="16" borderId="248" xfId="0" applyFont="1" applyFill="1" applyBorder="1" applyProtection="1">
      <protection locked="0"/>
    </xf>
    <xf numFmtId="37" fontId="30" fillId="16" borderId="72" xfId="0" applyFont="1" applyFill="1" applyBorder="1" applyProtection="1">
      <protection locked="0"/>
    </xf>
    <xf numFmtId="37" fontId="30" fillId="0" borderId="248" xfId="0" applyFont="1" applyBorder="1" applyProtection="1">
      <protection locked="0"/>
    </xf>
    <xf numFmtId="37" fontId="30" fillId="0" borderId="267" xfId="0" applyFont="1" applyBorder="1" applyProtection="1">
      <protection locked="0"/>
    </xf>
    <xf numFmtId="37" fontId="30" fillId="0" borderId="268" xfId="0" applyFont="1" applyBorder="1" applyProtection="1">
      <protection locked="0"/>
    </xf>
    <xf numFmtId="37" fontId="30" fillId="0" borderId="274" xfId="0" applyFont="1" applyBorder="1" applyProtection="1">
      <protection locked="0"/>
    </xf>
    <xf numFmtId="37" fontId="30" fillId="16" borderId="249" xfId="0" applyFont="1" applyFill="1" applyBorder="1" applyProtection="1">
      <protection locked="0"/>
    </xf>
    <xf numFmtId="37" fontId="30" fillId="16" borderId="5" xfId="0" applyFont="1" applyFill="1" applyBorder="1" applyProtection="1">
      <protection locked="0"/>
    </xf>
    <xf numFmtId="37" fontId="30" fillId="0" borderId="185" xfId="0" applyFont="1" applyBorder="1" applyProtection="1">
      <protection locked="0"/>
    </xf>
    <xf numFmtId="37" fontId="29" fillId="0" borderId="0" xfId="0" applyFont="1" applyProtection="1">
      <protection locked="0"/>
    </xf>
    <xf numFmtId="37" fontId="67" fillId="0" borderId="0" xfId="0" applyFont="1"/>
    <xf numFmtId="37" fontId="55" fillId="0" borderId="0" xfId="0" applyFont="1" applyAlignment="1" applyProtection="1">
      <alignment horizontal="center"/>
      <protection locked="0"/>
    </xf>
    <xf numFmtId="37" fontId="55" fillId="0" borderId="0" xfId="0" applyFont="1" applyAlignment="1">
      <alignment horizontal="left" indent="1"/>
    </xf>
    <xf numFmtId="37" fontId="55" fillId="0" borderId="0" xfId="0" applyFont="1" applyAlignment="1">
      <alignment horizontal="center"/>
    </xf>
    <xf numFmtId="37" fontId="55" fillId="0" borderId="0" xfId="0" applyFont="1" applyProtection="1">
      <protection locked="0"/>
    </xf>
    <xf numFmtId="168" fontId="55" fillId="0" borderId="0" xfId="0" applyNumberFormat="1" applyFont="1" applyProtection="1">
      <protection locked="0"/>
    </xf>
    <xf numFmtId="177" fontId="15" fillId="0" borderId="0" xfId="1" applyNumberFormat="1" applyFont="1" applyProtection="1">
      <protection locked="0"/>
    </xf>
    <xf numFmtId="188" fontId="0" fillId="18" borderId="158" xfId="0" applyNumberFormat="1" applyFill="1" applyBorder="1" applyProtection="1">
      <protection locked="0"/>
    </xf>
    <xf numFmtId="37" fontId="134" fillId="0" borderId="0" xfId="0" applyFont="1" applyAlignment="1">
      <alignment horizontal="right"/>
    </xf>
    <xf numFmtId="37" fontId="10" fillId="29" borderId="0" xfId="0" applyFont="1" applyFill="1" applyAlignment="1" applyProtection="1">
      <alignment horizontal="center"/>
      <protection locked="0"/>
    </xf>
    <xf numFmtId="37" fontId="93" fillId="34" borderId="72" xfId="8" applyFont="1" applyFill="1" applyBorder="1" applyAlignment="1" applyProtection="1">
      <alignment horizontal="center"/>
    </xf>
    <xf numFmtId="176" fontId="6" fillId="16" borderId="281" xfId="7" applyNumberFormat="1" applyFont="1" applyFill="1" applyBorder="1" applyAlignment="1" applyProtection="1">
      <protection locked="0"/>
    </xf>
    <xf numFmtId="176" fontId="6" fillId="13" borderId="281" xfId="7" applyNumberFormat="1" applyFont="1" applyFill="1" applyBorder="1" applyAlignment="1" applyProtection="1">
      <alignment horizontal="right"/>
    </xf>
    <xf numFmtId="176" fontId="0" fillId="13" borderId="282" xfId="7" applyNumberFormat="1" applyFont="1" applyFill="1" applyBorder="1" applyAlignment="1" applyProtection="1">
      <alignment horizontal="right"/>
    </xf>
    <xf numFmtId="10" fontId="6" fillId="16" borderId="281" xfId="2" applyNumberFormat="1" applyFont="1" applyFill="1" applyBorder="1" applyAlignment="1" applyProtection="1">
      <alignment horizontal="right"/>
      <protection locked="0"/>
    </xf>
    <xf numFmtId="176" fontId="6" fillId="13" borderId="283" xfId="7" applyNumberFormat="1" applyFont="1" applyFill="1" applyBorder="1" applyAlignment="1" applyProtection="1">
      <alignment horizontal="right"/>
    </xf>
    <xf numFmtId="37" fontId="0" fillId="29" borderId="113" xfId="0" applyFill="1" applyBorder="1" applyAlignment="1">
      <alignment horizontal="left" indent="1"/>
    </xf>
    <xf numFmtId="37" fontId="30" fillId="16" borderId="273" xfId="0" applyFont="1" applyFill="1" applyBorder="1" applyProtection="1">
      <protection locked="0"/>
    </xf>
    <xf numFmtId="37" fontId="44" fillId="16" borderId="273" xfId="0" applyFont="1" applyFill="1" applyBorder="1" applyProtection="1">
      <protection locked="0"/>
    </xf>
    <xf numFmtId="39" fontId="5" fillId="0" borderId="0" xfId="0" applyNumberFormat="1" applyFont="1" applyAlignment="1" applyProtection="1">
      <alignment horizontal="right" indent="1"/>
      <protection locked="0"/>
    </xf>
    <xf numFmtId="37" fontId="0" fillId="0" borderId="239" xfId="0" applyBorder="1" applyProtection="1">
      <protection locked="0"/>
    </xf>
    <xf numFmtId="176" fontId="6" fillId="0" borderId="239" xfId="7" quotePrefix="1" applyNumberFormat="1" applyFont="1" applyFill="1" applyBorder="1" applyAlignment="1" applyProtection="1">
      <alignment horizontal="right"/>
      <protection locked="0"/>
    </xf>
    <xf numFmtId="176" fontId="6" fillId="0" borderId="239" xfId="7" applyNumberFormat="1" applyFont="1" applyFill="1" applyBorder="1" applyAlignment="1" applyProtection="1">
      <alignment horizontal="right"/>
      <protection locked="0"/>
    </xf>
    <xf numFmtId="176" fontId="0" fillId="0" borderId="239" xfId="7" applyNumberFormat="1" applyFont="1" applyFill="1" applyBorder="1" applyAlignment="1" applyProtection="1">
      <alignment horizontal="right"/>
      <protection locked="0"/>
    </xf>
    <xf numFmtId="37" fontId="25" fillId="0" borderId="281" xfId="0" applyFont="1" applyBorder="1" applyProtection="1">
      <protection locked="0"/>
    </xf>
    <xf numFmtId="37" fontId="30" fillId="16" borderId="281" xfId="0" applyFont="1" applyFill="1" applyBorder="1" applyProtection="1">
      <protection locked="0"/>
    </xf>
    <xf numFmtId="37" fontId="30" fillId="0" borderId="281" xfId="0" applyFont="1" applyBorder="1" applyProtection="1">
      <protection locked="0"/>
    </xf>
    <xf numFmtId="37" fontId="0" fillId="0" borderId="281" xfId="0" applyBorder="1" applyProtection="1">
      <protection locked="0"/>
    </xf>
    <xf numFmtId="37" fontId="44" fillId="16" borderId="281" xfId="0" applyFont="1" applyFill="1" applyBorder="1" applyProtection="1">
      <protection locked="0"/>
    </xf>
    <xf numFmtId="175" fontId="44" fillId="16" borderId="264" xfId="2" applyNumberFormat="1" applyFont="1" applyFill="1" applyBorder="1" applyAlignment="1" applyProtection="1">
      <alignment horizontal="center"/>
      <protection locked="0"/>
    </xf>
    <xf numFmtId="179" fontId="10" fillId="16" borderId="72" xfId="0" quotePrefix="1" applyNumberFormat="1" applyFont="1" applyFill="1" applyBorder="1" applyAlignment="1" applyProtection="1">
      <alignment horizontal="center" vertical="center"/>
      <protection locked="0"/>
    </xf>
    <xf numFmtId="10" fontId="10" fillId="16" borderId="72" xfId="2" applyNumberFormat="1" applyFont="1" applyFill="1" applyBorder="1" applyAlignment="1" applyProtection="1">
      <alignment horizontal="center" wrapText="1"/>
      <protection locked="0"/>
    </xf>
    <xf numFmtId="3" fontId="10" fillId="13" borderId="285" xfId="1" applyNumberFormat="1" applyFont="1" applyFill="1" applyBorder="1" applyAlignment="1" applyProtection="1">
      <alignment horizontal="right"/>
    </xf>
    <xf numFmtId="37" fontId="0" fillId="29" borderId="116" xfId="0" applyFill="1" applyBorder="1" applyAlignment="1">
      <alignment horizontal="left" indent="1"/>
    </xf>
    <xf numFmtId="37" fontId="0" fillId="0" borderId="126" xfId="0" applyBorder="1" applyAlignment="1">
      <alignment horizontal="left" indent="1"/>
    </xf>
    <xf numFmtId="37" fontId="0" fillId="29" borderId="248" xfId="0" applyFill="1" applyBorder="1" applyProtection="1">
      <protection locked="0"/>
    </xf>
    <xf numFmtId="37" fontId="0" fillId="29" borderId="273" xfId="0" applyFill="1" applyBorder="1" applyProtection="1">
      <protection locked="0"/>
    </xf>
    <xf numFmtId="37" fontId="0" fillId="29" borderId="267" xfId="0" applyFill="1" applyBorder="1" applyProtection="1">
      <protection locked="0"/>
    </xf>
    <xf numFmtId="37" fontId="0" fillId="29" borderId="268" xfId="0" applyFill="1" applyBorder="1" applyProtection="1">
      <protection locked="0"/>
    </xf>
    <xf numFmtId="37" fontId="0" fillId="29" borderId="274" xfId="0" applyFill="1" applyBorder="1" applyProtection="1">
      <protection locked="0"/>
    </xf>
    <xf numFmtId="37" fontId="0" fillId="29" borderId="185" xfId="0" applyFill="1" applyBorder="1" applyProtection="1">
      <protection locked="0"/>
    </xf>
    <xf numFmtId="175" fontId="0" fillId="0" borderId="235" xfId="0" applyNumberFormat="1" applyBorder="1" applyProtection="1">
      <protection locked="0"/>
    </xf>
    <xf numFmtId="37" fontId="67" fillId="0" borderId="0" xfId="0" applyFont="1" applyAlignment="1" applyProtection="1">
      <alignment horizontal="right"/>
      <protection locked="0"/>
    </xf>
    <xf numFmtId="14" fontId="67" fillId="0" borderId="0" xfId="0" applyNumberFormat="1" applyFont="1" applyAlignment="1" applyProtection="1">
      <alignment horizontal="left" indent="1"/>
      <protection locked="0"/>
    </xf>
    <xf numFmtId="14" fontId="67" fillId="0" borderId="63" xfId="0" applyNumberFormat="1" applyFont="1" applyBorder="1" applyAlignment="1" applyProtection="1">
      <alignment horizontal="left" indent="1"/>
      <protection locked="0"/>
    </xf>
    <xf numFmtId="10" fontId="68" fillId="16" borderId="13" xfId="2" applyNumberFormat="1" applyFont="1" applyFill="1" applyBorder="1" applyAlignment="1" applyProtection="1">
      <alignment horizontal="center"/>
      <protection locked="0"/>
    </xf>
    <xf numFmtId="10" fontId="68" fillId="16" borderId="13" xfId="0" applyNumberFormat="1" applyFont="1" applyFill="1" applyBorder="1" applyAlignment="1" applyProtection="1">
      <alignment horizontal="center"/>
      <protection locked="0"/>
    </xf>
    <xf numFmtId="177" fontId="15" fillId="33" borderId="83" xfId="1" applyNumberFormat="1" applyFont="1" applyFill="1" applyBorder="1" applyAlignment="1" applyProtection="1">
      <alignment horizontal="left" indent="1"/>
    </xf>
    <xf numFmtId="177" fontId="15" fillId="33" borderId="0" xfId="1" applyNumberFormat="1" applyFont="1" applyFill="1" applyProtection="1">
      <protection locked="0"/>
    </xf>
    <xf numFmtId="177" fontId="15" fillId="33" borderId="270" xfId="1" applyNumberFormat="1" applyFont="1" applyFill="1" applyBorder="1" applyProtection="1"/>
    <xf numFmtId="177" fontId="15" fillId="33" borderId="239" xfId="1" applyNumberFormat="1" applyFont="1" applyFill="1" applyBorder="1" applyProtection="1">
      <protection locked="0"/>
    </xf>
    <xf numFmtId="177" fontId="15" fillId="33" borderId="271" xfId="1" applyNumberFormat="1" applyFont="1" applyFill="1" applyBorder="1" applyProtection="1">
      <protection locked="0"/>
    </xf>
    <xf numFmtId="177" fontId="15" fillId="33" borderId="266" xfId="1" applyNumberFormat="1" applyFont="1" applyFill="1" applyBorder="1" applyProtection="1">
      <protection locked="0"/>
    </xf>
    <xf numFmtId="177" fontId="15" fillId="33" borderId="137" xfId="1" applyNumberFormat="1" applyFont="1" applyFill="1" applyBorder="1" applyProtection="1">
      <protection locked="0"/>
    </xf>
    <xf numFmtId="177" fontId="10" fillId="33" borderId="83" xfId="1" applyNumberFormat="1" applyFont="1" applyFill="1" applyBorder="1" applyAlignment="1" applyProtection="1">
      <alignment horizontal="left" indent="1"/>
    </xf>
    <xf numFmtId="177" fontId="10" fillId="33" borderId="234" xfId="1" applyNumberFormat="1" applyFont="1" applyFill="1" applyBorder="1" applyProtection="1">
      <protection locked="0"/>
    </xf>
    <xf numFmtId="177" fontId="10" fillId="33" borderId="270" xfId="1" applyNumberFormat="1" applyFont="1" applyFill="1" applyBorder="1" applyProtection="1"/>
    <xf numFmtId="177" fontId="10" fillId="33" borderId="239" xfId="1" applyNumberFormat="1" applyFont="1" applyFill="1" applyBorder="1" applyProtection="1"/>
    <xf numFmtId="177" fontId="10" fillId="33" borderId="271" xfId="1" applyNumberFormat="1" applyFont="1" applyFill="1" applyBorder="1" applyProtection="1"/>
    <xf numFmtId="177" fontId="10" fillId="33" borderId="266" xfId="1" applyNumberFormat="1" applyFont="1" applyFill="1" applyBorder="1" applyProtection="1"/>
    <xf numFmtId="177" fontId="10" fillId="33" borderId="137" xfId="1" applyNumberFormat="1" applyFont="1" applyFill="1" applyBorder="1" applyProtection="1"/>
    <xf numFmtId="37" fontId="10" fillId="33" borderId="83" xfId="0" applyFont="1" applyFill="1" applyBorder="1" applyAlignment="1">
      <alignment horizontal="left" indent="1"/>
    </xf>
    <xf numFmtId="37" fontId="10" fillId="33" borderId="234" xfId="0" applyFont="1" applyFill="1" applyBorder="1" applyProtection="1">
      <protection locked="0"/>
    </xf>
    <xf numFmtId="168" fontId="10" fillId="33" borderId="270" xfId="0" applyNumberFormat="1" applyFont="1" applyFill="1" applyBorder="1"/>
    <xf numFmtId="168" fontId="10" fillId="33" borderId="230" xfId="0" applyNumberFormat="1" applyFont="1" applyFill="1" applyBorder="1" applyProtection="1">
      <protection locked="0"/>
    </xf>
    <xf numFmtId="168" fontId="10" fillId="33" borderId="286" xfId="0" applyNumberFormat="1" applyFont="1" applyFill="1" applyBorder="1" applyProtection="1">
      <protection locked="0"/>
    </xf>
    <xf numFmtId="168" fontId="10" fillId="33" borderId="228" xfId="0" applyNumberFormat="1" applyFont="1" applyFill="1" applyBorder="1" applyProtection="1">
      <protection locked="0"/>
    </xf>
    <xf numFmtId="168" fontId="10" fillId="33" borderId="284" xfId="0" applyNumberFormat="1" applyFont="1" applyFill="1" applyBorder="1"/>
    <xf numFmtId="168" fontId="10" fillId="33" borderId="266" xfId="0" applyNumberFormat="1" applyFont="1" applyFill="1" applyBorder="1"/>
    <xf numFmtId="43" fontId="10" fillId="33" borderId="270" xfId="0" applyNumberFormat="1" applyFont="1" applyFill="1" applyBorder="1"/>
    <xf numFmtId="43" fontId="10" fillId="33" borderId="266" xfId="0" applyNumberFormat="1" applyFont="1" applyFill="1" applyBorder="1"/>
    <xf numFmtId="43" fontId="10" fillId="33" borderId="272" xfId="0" applyNumberFormat="1" applyFont="1" applyFill="1" applyBorder="1"/>
    <xf numFmtId="43" fontId="10" fillId="33" borderId="150" xfId="0" applyNumberFormat="1" applyFont="1" applyFill="1" applyBorder="1"/>
    <xf numFmtId="9" fontId="0" fillId="0" borderId="63" xfId="2" applyFont="1" applyBorder="1" applyProtection="1">
      <protection locked="0"/>
    </xf>
    <xf numFmtId="37" fontId="10" fillId="29" borderId="0" xfId="0" applyFont="1" applyFill="1" applyProtection="1">
      <protection locked="0"/>
    </xf>
    <xf numFmtId="171" fontId="97" fillId="16" borderId="197" xfId="0" applyNumberFormat="1" applyFont="1" applyFill="1" applyBorder="1" applyAlignment="1" applyProtection="1">
      <alignment horizontal="left"/>
      <protection locked="0"/>
    </xf>
    <xf numFmtId="4" fontId="115" fillId="0" borderId="281" xfId="0" applyNumberFormat="1" applyFont="1" applyBorder="1" applyAlignment="1">
      <alignment horizontal="center"/>
    </xf>
    <xf numFmtId="37" fontId="0" fillId="0" borderId="275" xfId="0" applyBorder="1" applyAlignment="1" applyProtection="1">
      <alignment horizontal="left" indent="1"/>
      <protection locked="0"/>
    </xf>
    <xf numFmtId="37" fontId="0" fillId="0" borderId="275" xfId="0" quotePrefix="1" applyBorder="1" applyAlignment="1" applyProtection="1">
      <alignment horizontal="center"/>
      <protection locked="0"/>
    </xf>
    <xf numFmtId="3" fontId="6" fillId="18" borderId="239" xfId="7" applyNumberFormat="1" applyFont="1" applyFill="1" applyBorder="1" applyAlignment="1" applyProtection="1">
      <alignment horizontal="right"/>
      <protection locked="0"/>
    </xf>
    <xf numFmtId="37" fontId="0" fillId="0" borderId="273" xfId="0" applyBorder="1" applyProtection="1">
      <protection locked="0"/>
    </xf>
    <xf numFmtId="37" fontId="80" fillId="13" borderId="273" xfId="4" applyFont="1" applyFill="1" applyBorder="1" applyAlignment="1">
      <alignment horizontal="left"/>
    </xf>
    <xf numFmtId="3" fontId="80" fillId="13" borderId="281" xfId="10" applyNumberFormat="1" applyFont="1" applyFill="1" applyBorder="1" applyAlignment="1">
      <alignment horizontal="left"/>
    </xf>
    <xf numFmtId="3" fontId="80" fillId="16" borderId="281" xfId="10" applyNumberFormat="1" applyFont="1" applyFill="1" applyBorder="1" applyAlignment="1">
      <alignment horizontal="left"/>
    </xf>
    <xf numFmtId="3" fontId="104" fillId="13" borderId="281" xfId="10" applyNumberFormat="1" applyFont="1" applyFill="1" applyBorder="1" applyAlignment="1">
      <alignment horizontal="left"/>
    </xf>
    <xf numFmtId="37" fontId="0" fillId="13" borderId="281" xfId="0" applyFill="1" applyBorder="1" applyAlignment="1">
      <alignment horizontal="left"/>
    </xf>
    <xf numFmtId="37" fontId="0" fillId="16" borderId="281" xfId="0" applyFill="1" applyBorder="1" applyAlignment="1" applyProtection="1">
      <alignment horizontal="left"/>
      <protection locked="0"/>
    </xf>
    <xf numFmtId="173" fontId="0" fillId="0" borderId="0" xfId="0" applyNumberFormat="1" applyAlignment="1" applyProtection="1">
      <alignment horizontal="left" indent="1"/>
      <protection locked="0"/>
    </xf>
    <xf numFmtId="176" fontId="0" fillId="29" borderId="0" xfId="7" applyNumberFormat="1" applyFont="1" applyFill="1" applyBorder="1" applyProtection="1"/>
    <xf numFmtId="9" fontId="0" fillId="16" borderId="281" xfId="2" applyFont="1" applyFill="1" applyBorder="1" applyAlignment="1" applyProtection="1">
      <alignment horizontal="left"/>
      <protection locked="0"/>
    </xf>
    <xf numFmtId="9" fontId="10" fillId="13" borderId="72" xfId="2" applyFont="1" applyFill="1" applyBorder="1" applyAlignment="1">
      <alignment horizontal="right"/>
    </xf>
    <xf numFmtId="176" fontId="0" fillId="29" borderId="0" xfId="7" applyNumberFormat="1" applyFont="1" applyFill="1" applyBorder="1" applyAlignment="1" applyProtection="1">
      <alignment horizontal="left"/>
    </xf>
    <xf numFmtId="3" fontId="0" fillId="16" borderId="281" xfId="0" applyNumberFormat="1" applyFill="1" applyBorder="1" applyAlignment="1" applyProtection="1">
      <alignment horizontal="left"/>
      <protection locked="0"/>
    </xf>
    <xf numFmtId="37" fontId="10" fillId="0" borderId="0" xfId="0" applyFont="1" applyAlignment="1">
      <alignment horizontal="left" wrapText="1"/>
    </xf>
    <xf numFmtId="0" fontId="10" fillId="0" borderId="0" xfId="0" applyNumberFormat="1" applyFont="1" applyAlignment="1">
      <alignment horizontal="left" wrapText="1"/>
    </xf>
    <xf numFmtId="176" fontId="10" fillId="29" borderId="0" xfId="7" applyNumberFormat="1" applyFont="1" applyFill="1" applyBorder="1" applyAlignment="1" applyProtection="1">
      <alignment horizontal="left" wrapText="1"/>
    </xf>
    <xf numFmtId="9" fontId="0" fillId="29" borderId="0" xfId="2" applyFont="1" applyFill="1" applyBorder="1" applyAlignment="1" applyProtection="1">
      <alignment horizontal="left"/>
      <protection locked="0"/>
    </xf>
    <xf numFmtId="37" fontId="0" fillId="29" borderId="0" xfId="0" applyFill="1" applyAlignment="1" applyProtection="1">
      <alignment horizontal="left"/>
      <protection locked="0"/>
    </xf>
    <xf numFmtId="3" fontId="0" fillId="29" borderId="0" xfId="0" applyNumberFormat="1" applyFill="1" applyAlignment="1" applyProtection="1">
      <alignment horizontal="left"/>
      <protection locked="0"/>
    </xf>
    <xf numFmtId="37" fontId="15" fillId="0" borderId="103" xfId="0" applyFont="1" applyBorder="1" applyAlignment="1">
      <alignment horizontal="center"/>
    </xf>
    <xf numFmtId="37" fontId="0" fillId="0" borderId="63" xfId="0" applyBorder="1" applyAlignment="1">
      <alignment horizontal="center"/>
    </xf>
    <xf numFmtId="165" fontId="0" fillId="16" borderId="105" xfId="0" applyNumberFormat="1" applyFill="1" applyBorder="1" applyAlignment="1" applyProtection="1">
      <alignment horizontal="center"/>
      <protection locked="0"/>
    </xf>
    <xf numFmtId="165" fontId="0" fillId="16" borderId="112" xfId="0" applyNumberFormat="1" applyFill="1" applyBorder="1" applyAlignment="1" applyProtection="1">
      <alignment horizontal="center"/>
      <protection locked="0"/>
    </xf>
    <xf numFmtId="175" fontId="41" fillId="9" borderId="66" xfId="0" applyNumberFormat="1" applyFont="1" applyFill="1" applyBorder="1" applyAlignment="1">
      <alignment horizontal="center"/>
    </xf>
    <xf numFmtId="37" fontId="0" fillId="0" borderId="111" xfId="0" applyBorder="1" applyAlignment="1" applyProtection="1">
      <alignment horizontal="center"/>
      <protection locked="0"/>
    </xf>
    <xf numFmtId="165" fontId="0" fillId="2" borderId="70" xfId="0" applyNumberFormat="1" applyFill="1" applyBorder="1" applyAlignment="1">
      <alignment horizontal="center"/>
    </xf>
    <xf numFmtId="37" fontId="75" fillId="16" borderId="111" xfId="0" applyFont="1" applyFill="1" applyBorder="1" applyAlignment="1" applyProtection="1">
      <alignment horizontal="center"/>
      <protection locked="0"/>
    </xf>
    <xf numFmtId="176" fontId="0" fillId="11" borderId="281" xfId="7" applyNumberFormat="1" applyFont="1" applyFill="1" applyBorder="1"/>
    <xf numFmtId="3" fontId="0" fillId="13" borderId="281" xfId="0" applyNumberFormat="1" applyFill="1" applyBorder="1" applyAlignment="1">
      <alignment horizontal="left"/>
    </xf>
    <xf numFmtId="9" fontId="0" fillId="13" borderId="281" xfId="2" applyFont="1" applyFill="1" applyBorder="1" applyAlignment="1" applyProtection="1">
      <alignment horizontal="left"/>
    </xf>
    <xf numFmtId="37" fontId="10" fillId="0" borderId="269" xfId="0" applyFont="1" applyBorder="1"/>
    <xf numFmtId="37" fontId="0" fillId="0" borderId="269" xfId="0" applyBorder="1"/>
    <xf numFmtId="37" fontId="15" fillId="0" borderId="167" xfId="0" applyFont="1" applyBorder="1" applyAlignment="1">
      <alignment horizontal="centerContinuous"/>
    </xf>
    <xf numFmtId="37" fontId="15" fillId="0" borderId="168" xfId="0" applyFont="1" applyBorder="1" applyAlignment="1">
      <alignment horizontal="centerContinuous" vertical="top"/>
    </xf>
    <xf numFmtId="37" fontId="15" fillId="0" borderId="168" xfId="0" applyFont="1" applyBorder="1" applyAlignment="1">
      <alignment horizontal="center" wrapText="1"/>
    </xf>
    <xf numFmtId="37" fontId="15" fillId="0" borderId="169" xfId="0" applyFont="1" applyBorder="1" applyAlignment="1">
      <alignment horizontal="center" wrapText="1"/>
    </xf>
    <xf numFmtId="37" fontId="15" fillId="0" borderId="0" xfId="0" applyFont="1" applyAlignment="1">
      <alignment horizontal="center" wrapText="1"/>
    </xf>
    <xf numFmtId="37" fontId="0" fillId="13" borderId="167" xfId="0" applyFill="1" applyBorder="1" applyAlignment="1">
      <alignment horizontal="left" indent="1"/>
    </xf>
    <xf numFmtId="37" fontId="0" fillId="13" borderId="168" xfId="0" applyFill="1" applyBorder="1"/>
    <xf numFmtId="168" fontId="0" fillId="13" borderId="169" xfId="0" applyNumberFormat="1" applyFill="1" applyBorder="1"/>
    <xf numFmtId="39" fontId="0" fillId="13" borderId="169" xfId="0" applyNumberFormat="1" applyFill="1" applyBorder="1"/>
    <xf numFmtId="168" fontId="0" fillId="13" borderId="170" xfId="0" applyNumberFormat="1" applyFill="1" applyBorder="1"/>
    <xf numFmtId="168" fontId="0" fillId="29" borderId="0" xfId="0" applyNumberFormat="1" applyFill="1"/>
    <xf numFmtId="37" fontId="30" fillId="13" borderId="172" xfId="0" applyFont="1" applyFill="1" applyBorder="1" applyAlignment="1">
      <alignment horizontal="left" indent="1"/>
    </xf>
    <xf numFmtId="37" fontId="44" fillId="13" borderId="63" xfId="0" applyFont="1" applyFill="1" applyBorder="1"/>
    <xf numFmtId="37" fontId="6" fillId="0" borderId="0" xfId="0" applyFont="1"/>
    <xf numFmtId="10" fontId="10" fillId="0" borderId="0" xfId="2" applyNumberFormat="1" applyFont="1" applyFill="1" applyBorder="1" applyAlignment="1" applyProtection="1">
      <alignment horizontal="right"/>
    </xf>
    <xf numFmtId="168" fontId="10" fillId="13" borderId="174" xfId="0" applyNumberFormat="1" applyFont="1" applyFill="1" applyBorder="1"/>
    <xf numFmtId="39" fontId="10" fillId="0" borderId="0" xfId="0" applyNumberFormat="1" applyFont="1"/>
    <xf numFmtId="168" fontId="10" fillId="13" borderId="175" xfId="0" applyNumberFormat="1" applyFont="1" applyFill="1" applyBorder="1"/>
    <xf numFmtId="168" fontId="10" fillId="29" borderId="0" xfId="0" applyNumberFormat="1" applyFont="1" applyFill="1"/>
    <xf numFmtId="10" fontId="0" fillId="0" borderId="0" xfId="2" applyNumberFormat="1" applyFont="1" applyFill="1" applyBorder="1" applyAlignment="1" applyProtection="1">
      <alignment horizontal="right"/>
    </xf>
    <xf numFmtId="168" fontId="10" fillId="13" borderId="4" xfId="0" applyNumberFormat="1" applyFont="1" applyFill="1" applyBorder="1"/>
    <xf numFmtId="37" fontId="0" fillId="29" borderId="0" xfId="0" applyFill="1"/>
    <xf numFmtId="37" fontId="10" fillId="0" borderId="63" xfId="0" applyFont="1" applyBorder="1" applyAlignment="1">
      <alignment vertical="top"/>
    </xf>
    <xf numFmtId="37" fontId="0" fillId="0" borderId="0" xfId="0" applyAlignment="1">
      <alignment vertical="top"/>
    </xf>
    <xf numFmtId="37" fontId="0" fillId="0" borderId="70" xfId="0" applyBorder="1" applyAlignment="1">
      <alignment horizontal="center"/>
    </xf>
    <xf numFmtId="37" fontId="15" fillId="0" borderId="176" xfId="0" applyFont="1" applyBorder="1" applyAlignment="1">
      <alignment horizontal="centerContinuous" vertical="top"/>
    </xf>
    <xf numFmtId="37" fontId="15" fillId="29" borderId="0" xfId="0" applyFont="1" applyFill="1" applyAlignment="1">
      <alignment horizontal="center" wrapText="1"/>
    </xf>
    <xf numFmtId="37" fontId="0" fillId="13" borderId="176" xfId="0" applyFill="1" applyBorder="1"/>
    <xf numFmtId="177" fontId="0" fillId="13" borderId="170" xfId="0" quotePrefix="1" applyNumberFormat="1" applyFill="1" applyBorder="1"/>
    <xf numFmtId="177" fontId="0" fillId="29" borderId="0" xfId="0" quotePrefix="1" applyNumberFormat="1" applyFill="1"/>
    <xf numFmtId="37" fontId="0" fillId="2" borderId="167" xfId="0" applyFill="1" applyBorder="1"/>
    <xf numFmtId="168" fontId="10" fillId="13" borderId="169" xfId="0" applyNumberFormat="1" applyFont="1" applyFill="1" applyBorder="1"/>
    <xf numFmtId="168" fontId="10" fillId="13" borderId="169" xfId="0" applyNumberFormat="1" applyFont="1" applyFill="1" applyBorder="1" applyAlignment="1">
      <alignment horizontal="left"/>
    </xf>
    <xf numFmtId="168" fontId="10" fillId="29" borderId="0" xfId="0" applyNumberFormat="1" applyFont="1" applyFill="1" applyAlignment="1">
      <alignment horizontal="left"/>
    </xf>
    <xf numFmtId="37" fontId="15" fillId="0" borderId="176" xfId="0" applyFont="1" applyBorder="1" applyAlignment="1">
      <alignment horizontal="centerContinuous"/>
    </xf>
    <xf numFmtId="37" fontId="54" fillId="0" borderId="169" xfId="0" applyFont="1" applyBorder="1" applyAlignment="1">
      <alignment horizontal="center" wrapText="1"/>
    </xf>
    <xf numFmtId="37" fontId="15" fillId="0" borderId="169" xfId="0" applyFont="1" applyBorder="1" applyAlignment="1">
      <alignment horizontal="center"/>
    </xf>
    <xf numFmtId="37" fontId="0" fillId="15" borderId="167" xfId="0" applyFill="1" applyBorder="1" applyAlignment="1">
      <alignment horizontal="left" indent="1"/>
    </xf>
    <xf numFmtId="37" fontId="0" fillId="15" borderId="176" xfId="0" applyFill="1" applyBorder="1"/>
    <xf numFmtId="37" fontId="0" fillId="13" borderId="167" xfId="0" applyFill="1" applyBorder="1"/>
    <xf numFmtId="10" fontId="0" fillId="13" borderId="169" xfId="0" applyNumberFormat="1" applyFill="1" applyBorder="1" applyAlignment="1">
      <alignment horizontal="right"/>
    </xf>
    <xf numFmtId="37" fontId="0" fillId="13" borderId="169" xfId="0" applyFill="1" applyBorder="1"/>
    <xf numFmtId="169" fontId="0" fillId="13" borderId="169" xfId="0" applyNumberFormat="1" applyFill="1" applyBorder="1"/>
    <xf numFmtId="37" fontId="0" fillId="9" borderId="169" xfId="0" applyFill="1" applyBorder="1"/>
    <xf numFmtId="37" fontId="0" fillId="15" borderId="177" xfId="0" applyFill="1" applyBorder="1" applyAlignment="1">
      <alignment horizontal="left" indent="1"/>
    </xf>
    <xf numFmtId="37" fontId="0" fillId="15" borderId="168" xfId="0" applyFill="1" applyBorder="1"/>
    <xf numFmtId="37" fontId="0" fillId="13" borderId="178" xfId="0" applyFill="1" applyBorder="1" applyAlignment="1">
      <alignment horizontal="left" indent="1"/>
    </xf>
    <xf numFmtId="37" fontId="0" fillId="15" borderId="179" xfId="0" applyFill="1" applyBorder="1" applyAlignment="1">
      <alignment horizontal="left" indent="1"/>
    </xf>
    <xf numFmtId="37" fontId="0" fillId="5" borderId="169" xfId="0" applyFill="1" applyBorder="1" applyAlignment="1">
      <alignment horizontal="right"/>
    </xf>
    <xf numFmtId="37" fontId="0" fillId="15" borderId="180" xfId="0" applyFill="1" applyBorder="1"/>
    <xf numFmtId="37" fontId="0" fillId="15" borderId="181" xfId="0" applyFill="1" applyBorder="1"/>
    <xf numFmtId="37" fontId="0" fillId="13" borderId="0" xfId="0" applyFill="1"/>
    <xf numFmtId="37" fontId="0" fillId="15" borderId="238" xfId="0" applyFill="1" applyBorder="1"/>
    <xf numFmtId="37" fontId="0" fillId="13" borderId="227" xfId="0" applyFill="1" applyBorder="1"/>
    <xf numFmtId="37" fontId="0" fillId="5" borderId="239" xfId="0" applyFill="1" applyBorder="1" applyAlignment="1">
      <alignment horizontal="right"/>
    </xf>
    <xf numFmtId="37" fontId="0" fillId="5" borderId="156" xfId="0" applyFill="1" applyBorder="1" applyAlignment="1">
      <alignment horizontal="right"/>
    </xf>
    <xf numFmtId="37" fontId="15" fillId="0" borderId="138" xfId="0" applyFont="1" applyBorder="1" applyAlignment="1">
      <alignment horizontal="left" indent="1"/>
    </xf>
    <xf numFmtId="37" fontId="15" fillId="0" borderId="127" xfId="0" applyFont="1" applyBorder="1" applyAlignment="1">
      <alignment horizontal="centerContinuous"/>
    </xf>
    <xf numFmtId="37" fontId="15" fillId="0" borderId="129" xfId="0" applyFont="1" applyBorder="1" applyAlignment="1">
      <alignment horizontal="centerContinuous"/>
    </xf>
    <xf numFmtId="37" fontId="15" fillId="0" borderId="129" xfId="0" applyFont="1" applyBorder="1" applyAlignment="1">
      <alignment horizontal="centerContinuous" wrapText="1"/>
    </xf>
    <xf numFmtId="37" fontId="15" fillId="0" borderId="150" xfId="0" applyFont="1" applyBorder="1" applyAlignment="1">
      <alignment horizontal="center" wrapText="1"/>
    </xf>
    <xf numFmtId="37" fontId="0" fillId="13" borderId="138" xfId="0" applyFill="1" applyBorder="1" applyAlignment="1">
      <alignment horizontal="left" indent="2"/>
    </xf>
    <xf numFmtId="37" fontId="0" fillId="13" borderId="129" xfId="0" applyFill="1" applyBorder="1"/>
    <xf numFmtId="37" fontId="0" fillId="13" borderId="83" xfId="0" applyFill="1" applyBorder="1" applyAlignment="1">
      <alignment horizontal="left"/>
    </xf>
    <xf numFmtId="37" fontId="0" fillId="13" borderId="160" xfId="0" applyFill="1" applyBorder="1"/>
    <xf numFmtId="168" fontId="0" fillId="13" borderId="150" xfId="0" applyNumberFormat="1" applyFill="1" applyBorder="1"/>
    <xf numFmtId="37" fontId="35" fillId="13" borderId="147" xfId="0" applyFont="1" applyFill="1" applyBorder="1"/>
    <xf numFmtId="37" fontId="35" fillId="13" borderId="129" xfId="0" applyFont="1" applyFill="1" applyBorder="1"/>
    <xf numFmtId="37" fontId="0" fillId="13" borderId="127" xfId="0" applyFill="1" applyBorder="1"/>
    <xf numFmtId="37" fontId="0" fillId="13" borderId="147" xfId="0" applyFill="1" applyBorder="1"/>
    <xf numFmtId="37" fontId="0" fillId="13" borderId="236" xfId="0" applyFill="1" applyBorder="1"/>
    <xf numFmtId="37" fontId="0" fillId="13" borderId="234" xfId="0" applyFill="1" applyBorder="1"/>
    <xf numFmtId="168" fontId="10" fillId="13" borderId="155" xfId="0" applyNumberFormat="1" applyFont="1" applyFill="1" applyBorder="1"/>
    <xf numFmtId="37" fontId="10" fillId="0" borderId="0" xfId="0" applyFont="1" applyAlignment="1">
      <alignment horizontal="left" vertical="top" indent="1"/>
    </xf>
    <xf numFmtId="37" fontId="15" fillId="0" borderId="83" xfId="0" applyFont="1" applyBorder="1" applyAlignment="1">
      <alignment horizontal="left" indent="1"/>
    </xf>
    <xf numFmtId="37" fontId="10" fillId="0" borderId="127" xfId="0" applyFont="1" applyBorder="1" applyAlignment="1">
      <alignment horizontal="centerContinuous"/>
    </xf>
    <xf numFmtId="37" fontId="15" fillId="0" borderId="150" xfId="0" applyFont="1" applyBorder="1" applyAlignment="1">
      <alignment horizontal="center"/>
    </xf>
    <xf numFmtId="37" fontId="10" fillId="13" borderId="83" xfId="0" applyFont="1" applyFill="1" applyBorder="1" applyAlignment="1">
      <alignment horizontal="left" indent="1"/>
    </xf>
    <xf numFmtId="168" fontId="10" fillId="13" borderId="66" xfId="0" applyNumberFormat="1" applyFont="1" applyFill="1" applyBorder="1"/>
    <xf numFmtId="37" fontId="0" fillId="29" borderId="0" xfId="0" applyFill="1" applyAlignment="1">
      <alignment horizontal="left"/>
    </xf>
    <xf numFmtId="37" fontId="10" fillId="13" borderId="13" xfId="0" applyFont="1" applyFill="1" applyBorder="1"/>
    <xf numFmtId="182" fontId="10" fillId="13" borderId="197" xfId="0" applyNumberFormat="1" applyFont="1" applyFill="1" applyBorder="1" applyAlignment="1">
      <alignment horizontal="center"/>
    </xf>
    <xf numFmtId="168" fontId="10" fillId="15" borderId="72" xfId="0" applyNumberFormat="1" applyFont="1" applyFill="1" applyBorder="1"/>
    <xf numFmtId="37" fontId="0" fillId="15" borderId="72" xfId="0" applyFill="1" applyBorder="1"/>
    <xf numFmtId="37" fontId="0" fillId="13" borderId="108" xfId="0" applyFill="1" applyBorder="1" applyAlignment="1">
      <alignment horizontal="center" vertical="center"/>
    </xf>
    <xf numFmtId="165" fontId="0" fillId="13" borderId="112" xfId="0" applyNumberFormat="1" applyFill="1" applyBorder="1" applyAlignment="1">
      <alignment horizontal="center"/>
    </xf>
    <xf numFmtId="166" fontId="0" fillId="13" borderId="114" xfId="0" applyNumberFormat="1" applyFill="1" applyBorder="1" applyAlignment="1">
      <alignment horizontal="right"/>
    </xf>
    <xf numFmtId="167" fontId="0" fillId="13" borderId="114" xfId="0" applyNumberFormat="1" applyFill="1" applyBorder="1" applyAlignment="1">
      <alignment horizontal="center"/>
    </xf>
    <xf numFmtId="3" fontId="0" fillId="13" borderId="114" xfId="1" applyNumberFormat="1" applyFont="1" applyFill="1" applyBorder="1" applyProtection="1"/>
    <xf numFmtId="37" fontId="0" fillId="13" borderId="112" xfId="0" applyFill="1" applyBorder="1"/>
    <xf numFmtId="168" fontId="10" fillId="15" borderId="114" xfId="0" applyNumberFormat="1" applyFont="1" applyFill="1" applyBorder="1"/>
    <xf numFmtId="37" fontId="15" fillId="0" borderId="113" xfId="0" applyFont="1" applyBorder="1" applyAlignment="1">
      <alignment horizontal="centerContinuous"/>
    </xf>
    <xf numFmtId="37" fontId="0" fillId="0" borderId="289" xfId="0" applyBorder="1"/>
    <xf numFmtId="37" fontId="10" fillId="13" borderId="6" xfId="0" applyFont="1" applyFill="1" applyBorder="1" applyAlignment="1" applyProtection="1">
      <alignment horizontal="right" indent="1"/>
      <protection locked="0"/>
    </xf>
    <xf numFmtId="176" fontId="10" fillId="13" borderId="8" xfId="7" applyNumberFormat="1" applyFont="1" applyFill="1" applyBorder="1" applyAlignment="1" applyProtection="1">
      <alignment horizontal="right"/>
    </xf>
    <xf numFmtId="166" fontId="10" fillId="13" borderId="292" xfId="2" applyNumberFormat="1" applyFont="1" applyFill="1" applyBorder="1" applyAlignment="1" applyProtection="1">
      <alignment horizontal="center" vertical="center"/>
    </xf>
    <xf numFmtId="176" fontId="6" fillId="16" borderId="281" xfId="7" applyNumberFormat="1" applyFont="1" applyFill="1" applyBorder="1" applyAlignment="1" applyProtection="1">
      <alignment horizontal="right"/>
      <protection locked="0"/>
    </xf>
    <xf numFmtId="37" fontId="0" fillId="0" borderId="294" xfId="0" applyBorder="1" applyProtection="1">
      <protection locked="0"/>
    </xf>
    <xf numFmtId="37" fontId="0" fillId="0" borderId="287" xfId="0" applyBorder="1" applyAlignment="1" applyProtection="1">
      <alignment horizontal="right" vertical="center" indent="1"/>
      <protection locked="0"/>
    </xf>
    <xf numFmtId="37" fontId="0" fillId="0" borderId="294" xfId="0" applyBorder="1" applyAlignment="1" applyProtection="1">
      <alignment horizontal="right" indent="1"/>
      <protection locked="0"/>
    </xf>
    <xf numFmtId="183" fontId="0" fillId="0" borderId="294" xfId="0" applyNumberFormat="1" applyBorder="1" applyAlignment="1" applyProtection="1">
      <alignment horizontal="right" indent="1"/>
      <protection locked="0"/>
    </xf>
    <xf numFmtId="37" fontId="6" fillId="0" borderId="294" xfId="0" applyFont="1" applyBorder="1" applyAlignment="1" applyProtection="1">
      <alignment horizontal="right" indent="1"/>
      <protection locked="0"/>
    </xf>
    <xf numFmtId="183" fontId="0" fillId="0" borderId="50" xfId="0" applyNumberFormat="1" applyBorder="1" applyAlignment="1" applyProtection="1">
      <alignment horizontal="right" indent="1"/>
      <protection locked="0"/>
    </xf>
    <xf numFmtId="37" fontId="10" fillId="5" borderId="72" xfId="0" applyFont="1" applyFill="1" applyBorder="1"/>
    <xf numFmtId="10" fontId="0" fillId="13" borderId="114" xfId="0" applyNumberFormat="1" applyFill="1" applyBorder="1" applyAlignment="1">
      <alignment horizontal="right"/>
    </xf>
    <xf numFmtId="37" fontId="0" fillId="9" borderId="72" xfId="0" applyFill="1" applyBorder="1"/>
    <xf numFmtId="10" fontId="0" fillId="13" borderId="69" xfId="0" applyNumberFormat="1" applyFill="1" applyBorder="1" applyAlignment="1">
      <alignment horizontal="right"/>
    </xf>
    <xf numFmtId="3" fontId="35" fillId="8" borderId="114" xfId="0" applyNumberFormat="1" applyFont="1" applyFill="1" applyBorder="1"/>
    <xf numFmtId="3" fontId="35" fillId="5" borderId="114" xfId="0" applyNumberFormat="1" applyFont="1" applyFill="1" applyBorder="1"/>
    <xf numFmtId="3" fontId="10" fillId="13" borderId="122" xfId="0" applyNumberFormat="1" applyFont="1" applyFill="1" applyBorder="1"/>
    <xf numFmtId="3" fontId="10" fillId="13" borderId="114" xfId="0" applyNumberFormat="1" applyFont="1" applyFill="1" applyBorder="1" applyAlignment="1">
      <alignment horizontal="right"/>
    </xf>
    <xf numFmtId="3" fontId="0" fillId="15" borderId="114" xfId="0" applyNumberFormat="1" applyFill="1" applyBorder="1"/>
    <xf numFmtId="3" fontId="10" fillId="15" borderId="114" xfId="0" applyNumberFormat="1" applyFont="1" applyFill="1" applyBorder="1"/>
    <xf numFmtId="37" fontId="0" fillId="5" borderId="281" xfId="0" applyFill="1" applyBorder="1"/>
    <xf numFmtId="3" fontId="0" fillId="15" borderId="114" xfId="0" applyNumberFormat="1" applyFill="1" applyBorder="1" applyAlignment="1">
      <alignment horizontal="right"/>
    </xf>
    <xf numFmtId="3" fontId="0" fillId="15" borderId="239" xfId="0" applyNumberFormat="1" applyFill="1" applyBorder="1" applyAlignment="1">
      <alignment horizontal="right"/>
    </xf>
    <xf numFmtId="3" fontId="10" fillId="13" borderId="114" xfId="0" applyNumberFormat="1" applyFont="1" applyFill="1" applyBorder="1"/>
    <xf numFmtId="3" fontId="35" fillId="2" borderId="130" xfId="0" applyNumberFormat="1" applyFont="1" applyFill="1" applyBorder="1" applyAlignment="1">
      <alignment horizontal="right"/>
    </xf>
    <xf numFmtId="3" fontId="35" fillId="2" borderId="131" xfId="0" applyNumberFormat="1" applyFont="1" applyFill="1" applyBorder="1" applyAlignment="1">
      <alignment horizontal="right"/>
    </xf>
    <xf numFmtId="3" fontId="0" fillId="8" borderId="128" xfId="0" applyNumberFormat="1" applyFill="1" applyBorder="1" applyAlignment="1">
      <alignment horizontal="right"/>
    </xf>
    <xf numFmtId="3" fontId="35" fillId="5" borderId="114" xfId="0" applyNumberFormat="1" applyFont="1" applyFill="1" applyBorder="1" applyAlignment="1">
      <alignment horizontal="right"/>
    </xf>
    <xf numFmtId="3" fontId="35" fillId="5" borderId="132" xfId="0" applyNumberFormat="1" applyFont="1" applyFill="1" applyBorder="1" applyAlignment="1">
      <alignment horizontal="right"/>
    </xf>
    <xf numFmtId="3" fontId="10" fillId="13" borderId="2" xfId="0" applyNumberFormat="1" applyFont="1" applyFill="1" applyBorder="1" applyAlignment="1">
      <alignment horizontal="right"/>
    </xf>
    <xf numFmtId="3" fontId="55" fillId="13" borderId="3" xfId="0" applyNumberFormat="1" applyFont="1" applyFill="1" applyBorder="1" applyAlignment="1">
      <alignment horizontal="right"/>
    </xf>
    <xf numFmtId="3" fontId="35" fillId="2" borderId="130" xfId="0" applyNumberFormat="1" applyFont="1" applyFill="1" applyBorder="1"/>
    <xf numFmtId="3" fontId="10" fillId="15" borderId="128" xfId="0" applyNumberFormat="1" applyFont="1" applyFill="1" applyBorder="1"/>
    <xf numFmtId="3" fontId="0" fillId="15" borderId="128" xfId="0" applyNumberFormat="1" applyFill="1" applyBorder="1"/>
    <xf numFmtId="3" fontId="35" fillId="2" borderId="136" xfId="0" applyNumberFormat="1" applyFont="1" applyFill="1" applyBorder="1" applyAlignment="1">
      <alignment horizontal="right"/>
    </xf>
    <xf numFmtId="3" fontId="35" fillId="2" borderId="138" xfId="0" applyNumberFormat="1" applyFont="1" applyFill="1" applyBorder="1" applyAlignment="1">
      <alignment horizontal="right"/>
    </xf>
    <xf numFmtId="9" fontId="0" fillId="16" borderId="72" xfId="2" applyFont="1" applyFill="1" applyBorder="1" applyAlignment="1" applyProtection="1">
      <alignment horizontal="center"/>
      <protection locked="0"/>
    </xf>
    <xf numFmtId="1" fontId="81" fillId="13" borderId="197" xfId="0" applyNumberFormat="1" applyFont="1" applyFill="1" applyBorder="1" applyAlignment="1">
      <alignment horizontal="left"/>
    </xf>
    <xf numFmtId="1" fontId="97" fillId="13" borderId="197" xfId="0" applyNumberFormat="1" applyFont="1" applyFill="1" applyBorder="1" applyAlignment="1">
      <alignment horizontal="left"/>
    </xf>
    <xf numFmtId="37" fontId="102" fillId="13" borderId="197" xfId="0" applyFont="1" applyFill="1" applyBorder="1" applyAlignment="1">
      <alignment horizontal="left"/>
    </xf>
    <xf numFmtId="37" fontId="102" fillId="13" borderId="197" xfId="0" applyFont="1" applyFill="1" applyBorder="1" applyAlignment="1">
      <alignment horizontal="left" indent="1"/>
    </xf>
    <xf numFmtId="4" fontId="98" fillId="15" borderId="197" xfId="0" applyNumberFormat="1" applyFont="1" applyFill="1" applyBorder="1" applyAlignment="1">
      <alignment horizontal="left"/>
    </xf>
    <xf numFmtId="4" fontId="98" fillId="13" borderId="13" xfId="0" applyNumberFormat="1" applyFont="1" applyFill="1" applyBorder="1" applyAlignment="1">
      <alignment horizontal="center"/>
    </xf>
    <xf numFmtId="37" fontId="97" fillId="0" borderId="0" xfId="0" applyFont="1" applyAlignment="1" applyProtection="1">
      <alignment horizontal="left"/>
      <protection hidden="1"/>
    </xf>
    <xf numFmtId="37" fontId="97" fillId="0" borderId="0" xfId="0" applyFont="1" applyAlignment="1" applyProtection="1">
      <alignment horizontal="left" wrapText="1"/>
      <protection hidden="1"/>
    </xf>
    <xf numFmtId="37" fontId="97" fillId="29" borderId="0" xfId="0" applyFont="1" applyFill="1" applyAlignment="1" applyProtection="1">
      <alignment horizontal="left"/>
      <protection hidden="1"/>
    </xf>
    <xf numFmtId="37" fontId="98" fillId="0" borderId="0" xfId="0" applyFont="1" applyAlignment="1" applyProtection="1">
      <alignment horizontal="left"/>
      <protection hidden="1"/>
    </xf>
    <xf numFmtId="37" fontId="0" fillId="12" borderId="72" xfId="0" applyFill="1" applyBorder="1" applyAlignment="1">
      <alignment horizontal="left" indent="1"/>
    </xf>
    <xf numFmtId="37" fontId="0" fillId="0" borderId="288" xfId="0" applyBorder="1" applyProtection="1">
      <protection locked="0"/>
    </xf>
    <xf numFmtId="37" fontId="0" fillId="0" borderId="290" xfId="0" applyBorder="1" applyProtection="1">
      <protection locked="0"/>
    </xf>
    <xf numFmtId="37" fontId="0" fillId="16" borderId="23" xfId="0" applyFill="1" applyBorder="1" applyProtection="1">
      <protection locked="0"/>
    </xf>
    <xf numFmtId="37" fontId="0" fillId="14" borderId="72" xfId="0" applyFill="1" applyBorder="1"/>
    <xf numFmtId="168" fontId="10" fillId="13" borderId="72" xfId="0" applyNumberFormat="1" applyFont="1" applyFill="1" applyBorder="1"/>
    <xf numFmtId="10" fontId="10" fillId="13" borderId="62" xfId="0" applyNumberFormat="1" applyFont="1" applyFill="1" applyBorder="1" applyAlignment="1">
      <alignment horizontal="center"/>
    </xf>
    <xf numFmtId="168" fontId="10" fillId="13" borderId="281" xfId="0" applyNumberFormat="1" applyFont="1" applyFill="1" applyBorder="1"/>
    <xf numFmtId="168" fontId="10" fillId="13" borderId="72" xfId="0" applyNumberFormat="1" applyFont="1" applyFill="1" applyBorder="1" applyAlignment="1">
      <alignment horizontal="right"/>
    </xf>
    <xf numFmtId="37" fontId="0" fillId="15" borderId="159" xfId="0" applyFill="1" applyBorder="1"/>
    <xf numFmtId="37" fontId="0" fillId="15" borderId="161" xfId="0" applyFill="1" applyBorder="1"/>
    <xf numFmtId="168" fontId="0" fillId="15" borderId="162" xfId="0" applyNumberFormat="1" applyFill="1" applyBorder="1" applyAlignment="1">
      <alignment horizontal="right"/>
    </xf>
    <xf numFmtId="168" fontId="0" fillId="15" borderId="163" xfId="0" applyNumberFormat="1" applyFill="1" applyBorder="1" applyAlignment="1">
      <alignment horizontal="right"/>
    </xf>
    <xf numFmtId="168" fontId="10" fillId="15" borderId="72" xfId="0" applyNumberFormat="1" applyFont="1" applyFill="1" applyBorder="1" applyAlignment="1">
      <alignment horizontal="right"/>
    </xf>
    <xf numFmtId="168" fontId="0" fillId="15" borderId="155" xfId="0" applyNumberFormat="1" applyFill="1" applyBorder="1"/>
    <xf numFmtId="168" fontId="0" fillId="15" borderId="137" xfId="0" applyNumberFormat="1" applyFill="1" applyBorder="1" applyAlignment="1">
      <alignment horizontal="right"/>
    </xf>
    <xf numFmtId="168" fontId="0" fillId="13" borderId="66" xfId="0" applyNumberFormat="1" applyFill="1" applyBorder="1" applyAlignment="1">
      <alignment horizontal="center"/>
    </xf>
    <xf numFmtId="169" fontId="0" fillId="13" borderId="66" xfId="0" applyNumberFormat="1" applyFill="1" applyBorder="1" applyAlignment="1">
      <alignment horizontal="center"/>
    </xf>
    <xf numFmtId="168" fontId="10" fillId="13" borderId="105" xfId="0" applyNumberFormat="1" applyFont="1" applyFill="1" applyBorder="1" applyAlignment="1">
      <alignment horizontal="left"/>
    </xf>
    <xf numFmtId="168" fontId="0" fillId="13" borderId="96" xfId="0" applyNumberFormat="1" applyFill="1" applyBorder="1" applyAlignment="1">
      <alignment horizontal="left"/>
    </xf>
    <xf numFmtId="37" fontId="10" fillId="13" borderId="105" xfId="0" applyFont="1" applyFill="1" applyBorder="1" applyAlignment="1">
      <alignment horizontal="center"/>
    </xf>
    <xf numFmtId="10" fontId="0" fillId="13" borderId="281" xfId="2" applyNumberFormat="1" applyFont="1" applyFill="1" applyBorder="1" applyProtection="1"/>
    <xf numFmtId="168" fontId="0" fillId="13" borderId="96" xfId="0" applyNumberFormat="1" applyFill="1" applyBorder="1"/>
    <xf numFmtId="169" fontId="0" fillId="13" borderId="96" xfId="0" applyNumberFormat="1" applyFill="1" applyBorder="1"/>
    <xf numFmtId="168" fontId="10" fillId="13" borderId="96" xfId="0" applyNumberFormat="1" applyFont="1" applyFill="1" applyBorder="1"/>
    <xf numFmtId="37" fontId="0" fillId="16" borderId="281" xfId="0" applyFill="1" applyBorder="1" applyProtection="1">
      <protection locked="0"/>
    </xf>
    <xf numFmtId="37" fontId="0" fillId="16" borderId="287" xfId="0" applyFill="1" applyBorder="1" applyProtection="1">
      <protection locked="0"/>
    </xf>
    <xf numFmtId="168" fontId="10" fillId="13" borderId="106" xfId="0" applyNumberFormat="1" applyFont="1" applyFill="1" applyBorder="1"/>
    <xf numFmtId="37" fontId="5" fillId="9" borderId="77" xfId="0" applyFont="1" applyFill="1" applyBorder="1" applyAlignment="1">
      <alignment horizontal="center" wrapText="1"/>
    </xf>
    <xf numFmtId="37" fontId="0" fillId="9" borderId="35" xfId="0" applyFill="1" applyBorder="1"/>
    <xf numFmtId="37" fontId="0" fillId="9" borderId="92" xfId="0" applyFill="1" applyBorder="1"/>
    <xf numFmtId="37" fontId="5" fillId="0" borderId="95" xfId="0" applyFont="1" applyBorder="1" applyAlignment="1">
      <alignment horizontal="center" wrapText="1"/>
    </xf>
    <xf numFmtId="37" fontId="0" fillId="9" borderId="43" xfId="0" applyFill="1" applyBorder="1"/>
    <xf numFmtId="37" fontId="0" fillId="9" borderId="0" xfId="0" applyFill="1"/>
    <xf numFmtId="37" fontId="0" fillId="9" borderId="53" xfId="0" applyFill="1" applyBorder="1"/>
    <xf numFmtId="37" fontId="51" fillId="9" borderId="43" xfId="0" applyFont="1" applyFill="1" applyBorder="1" applyAlignment="1">
      <alignment horizontal="left" indent="1"/>
    </xf>
    <xf numFmtId="37" fontId="0" fillId="9" borderId="76" xfId="0" applyFill="1" applyBorder="1"/>
    <xf numFmtId="37" fontId="0" fillId="9" borderId="63" xfId="0" applyFill="1" applyBorder="1"/>
    <xf numFmtId="37" fontId="0" fillId="9" borderId="65" xfId="0" applyFill="1" applyBorder="1"/>
    <xf numFmtId="168" fontId="10" fillId="13" borderId="95" xfId="0" applyNumberFormat="1" applyFont="1" applyFill="1" applyBorder="1"/>
    <xf numFmtId="169" fontId="0" fillId="13" borderId="96" xfId="0" applyNumberFormat="1" applyFill="1" applyBorder="1" applyAlignment="1">
      <alignment horizontal="right"/>
    </xf>
    <xf numFmtId="37" fontId="37" fillId="0" borderId="0" xfId="0" applyFont="1"/>
    <xf numFmtId="169" fontId="0" fillId="13" borderId="107" xfId="0" applyNumberFormat="1" applyFill="1" applyBorder="1" applyAlignment="1">
      <alignment horizontal="right"/>
    </xf>
    <xf numFmtId="168" fontId="10" fillId="13" borderId="67" xfId="0" applyNumberFormat="1" applyFont="1" applyFill="1" applyBorder="1"/>
    <xf numFmtId="168" fontId="10" fillId="13" borderId="108" xfId="0" applyNumberFormat="1" applyFont="1" applyFill="1" applyBorder="1"/>
    <xf numFmtId="37" fontId="0" fillId="0" borderId="183" xfId="0" applyBorder="1" applyAlignment="1">
      <alignment horizontal="left" indent="1"/>
    </xf>
    <xf numFmtId="37" fontId="51" fillId="0" borderId="234" xfId="0" applyFont="1" applyBorder="1" applyAlignment="1">
      <alignment horizontal="right" indent="1"/>
    </xf>
    <xf numFmtId="168" fontId="10" fillId="13" borderId="276" xfId="0" applyNumberFormat="1" applyFont="1" applyFill="1" applyBorder="1"/>
    <xf numFmtId="168" fontId="10" fillId="13" borderId="228" xfId="0" applyNumberFormat="1" applyFont="1" applyFill="1" applyBorder="1"/>
    <xf numFmtId="168" fontId="10" fillId="13" borderId="270" xfId="0" applyNumberFormat="1" applyFont="1" applyFill="1" applyBorder="1"/>
    <xf numFmtId="168" fontId="10" fillId="13" borderId="266" xfId="0" applyNumberFormat="1" applyFont="1" applyFill="1" applyBorder="1"/>
    <xf numFmtId="43" fontId="10" fillId="13" borderId="278" xfId="0" applyNumberFormat="1" applyFont="1" applyFill="1" applyBorder="1"/>
    <xf numFmtId="43" fontId="10" fillId="13" borderId="279" xfId="0" applyNumberFormat="1" applyFont="1" applyFill="1" applyBorder="1"/>
    <xf numFmtId="37" fontId="10" fillId="13" borderId="183" xfId="0" applyFont="1" applyFill="1" applyBorder="1" applyAlignment="1">
      <alignment horizontal="center"/>
    </xf>
    <xf numFmtId="37" fontId="10" fillId="13" borderId="184" xfId="0" applyFont="1" applyFill="1" applyBorder="1"/>
    <xf numFmtId="37" fontId="34" fillId="13" borderId="183" xfId="0" applyFont="1" applyFill="1" applyBorder="1" applyAlignment="1">
      <alignment horizontal="center"/>
    </xf>
    <xf numFmtId="168" fontId="10" fillId="13" borderId="277" xfId="0" applyNumberFormat="1" applyFont="1" applyFill="1" applyBorder="1"/>
    <xf numFmtId="168" fontId="10" fillId="13" borderId="71" xfId="0" applyNumberFormat="1" applyFont="1" applyFill="1" applyBorder="1"/>
    <xf numFmtId="43" fontId="10" fillId="13" borderId="280" xfId="0" applyNumberFormat="1" applyFont="1" applyFill="1" applyBorder="1"/>
    <xf numFmtId="43" fontId="10" fillId="13" borderId="266" xfId="0" applyNumberFormat="1" applyFont="1" applyFill="1" applyBorder="1"/>
    <xf numFmtId="43" fontId="10" fillId="13" borderId="150" xfId="0" applyNumberFormat="1" applyFont="1" applyFill="1" applyBorder="1"/>
    <xf numFmtId="37" fontId="10" fillId="12" borderId="6" xfId="0" applyFont="1" applyFill="1" applyBorder="1" applyAlignment="1">
      <alignment horizontal="center"/>
    </xf>
    <xf numFmtId="175" fontId="10" fillId="12" borderId="265" xfId="2" applyNumberFormat="1" applyFont="1" applyFill="1" applyBorder="1" applyAlignment="1" applyProtection="1">
      <alignment horizontal="center" vertical="center"/>
    </xf>
    <xf numFmtId="175" fontId="0" fillId="0" borderId="235" xfId="0" applyNumberFormat="1" applyBorder="1" applyAlignment="1">
      <alignment horizontal="center" vertical="center"/>
    </xf>
    <xf numFmtId="175" fontId="10" fillId="12" borderId="235" xfId="2" applyNumberFormat="1" applyFont="1" applyFill="1" applyBorder="1" applyAlignment="1" applyProtection="1">
      <alignment horizontal="center" vertical="center"/>
    </xf>
    <xf numFmtId="175" fontId="0" fillId="0" borderId="235" xfId="0" applyNumberFormat="1" applyBorder="1" applyAlignment="1">
      <alignment horizontal="left" indent="1"/>
    </xf>
    <xf numFmtId="37" fontId="0" fillId="13" borderId="15" xfId="0" applyFill="1" applyBorder="1"/>
    <xf numFmtId="37" fontId="0" fillId="13" borderId="18" xfId="0" applyFill="1" applyBorder="1"/>
    <xf numFmtId="37" fontId="0" fillId="13" borderId="27" xfId="0" applyFill="1" applyBorder="1"/>
    <xf numFmtId="37" fontId="0" fillId="9" borderId="19" xfId="0" applyFill="1" applyBorder="1" applyAlignment="1">
      <alignment horizontal="right"/>
    </xf>
    <xf numFmtId="37" fontId="0" fillId="13" borderId="197" xfId="0" applyFill="1" applyBorder="1" applyAlignment="1">
      <alignment horizontal="center"/>
    </xf>
    <xf numFmtId="39" fontId="29" fillId="13" borderId="13" xfId="0" applyNumberFormat="1" applyFont="1" applyFill="1" applyBorder="1" applyAlignment="1">
      <alignment horizontal="center" wrapText="1"/>
    </xf>
    <xf numFmtId="37" fontId="30" fillId="13" borderId="259" xfId="0" applyFont="1" applyFill="1" applyBorder="1" applyAlignment="1">
      <alignment horizontal="center" wrapText="1"/>
    </xf>
    <xf numFmtId="37" fontId="30" fillId="0" borderId="0" xfId="0" applyFont="1"/>
    <xf numFmtId="39" fontId="29" fillId="13" borderId="13" xfId="0" applyNumberFormat="1" applyFont="1" applyFill="1" applyBorder="1" applyAlignment="1">
      <alignment horizontal="center"/>
    </xf>
    <xf numFmtId="37" fontId="67" fillId="11" borderId="25" xfId="0" applyFont="1" applyFill="1" applyBorder="1" applyAlignment="1">
      <alignment vertical="center"/>
    </xf>
    <xf numFmtId="5" fontId="67" fillId="13" borderId="197" xfId="0" applyNumberFormat="1" applyFont="1" applyFill="1" applyBorder="1" applyAlignment="1">
      <alignment horizontal="center" vertical="center"/>
    </xf>
    <xf numFmtId="37" fontId="67" fillId="13" borderId="197" xfId="0" applyFont="1" applyFill="1" applyBorder="1" applyAlignment="1">
      <alignment horizontal="center" vertical="center"/>
    </xf>
    <xf numFmtId="39" fontId="128" fillId="13" borderId="13" xfId="0" quotePrefix="1" applyNumberFormat="1" applyFont="1" applyFill="1" applyBorder="1" applyAlignment="1">
      <alignment horizontal="center"/>
    </xf>
    <xf numFmtId="37" fontId="67" fillId="13" borderId="197" xfId="0" applyFont="1" applyFill="1" applyBorder="1" applyAlignment="1">
      <alignment horizontal="left" vertical="center" indent="2"/>
    </xf>
    <xf numFmtId="37" fontId="67" fillId="13" borderId="235" xfId="0" applyFont="1" applyFill="1" applyBorder="1" applyAlignment="1">
      <alignment horizontal="left" vertical="center" indent="2"/>
    </xf>
    <xf numFmtId="37" fontId="0" fillId="13" borderId="234" xfId="0" applyFill="1" applyBorder="1" applyAlignment="1">
      <alignment horizontal="left" vertical="center" indent="2"/>
    </xf>
    <xf numFmtId="37" fontId="0" fillId="13" borderId="236" xfId="0" applyFill="1" applyBorder="1" applyAlignment="1">
      <alignment horizontal="left" vertical="center" indent="2"/>
    </xf>
    <xf numFmtId="37" fontId="134" fillId="16" borderId="281" xfId="0" applyFont="1" applyFill="1" applyBorder="1" applyAlignment="1" applyProtection="1">
      <alignment horizontal="left"/>
      <protection locked="0"/>
    </xf>
    <xf numFmtId="3" fontId="82" fillId="16" borderId="281" xfId="0" applyNumberFormat="1" applyFont="1" applyFill="1" applyBorder="1" applyAlignment="1" applyProtection="1">
      <alignment horizontal="right"/>
      <protection locked="0"/>
    </xf>
    <xf numFmtId="37" fontId="31" fillId="0" borderId="0" xfId="8" applyFont="1" applyAlignment="1">
      <alignment horizontal="right"/>
    </xf>
    <xf numFmtId="37" fontId="55" fillId="24" borderId="197" xfId="0" applyFont="1" applyFill="1" applyBorder="1"/>
    <xf numFmtId="37" fontId="55" fillId="26" borderId="197" xfId="0" applyFont="1" applyFill="1" applyBorder="1"/>
    <xf numFmtId="37" fontId="55" fillId="27" borderId="197" xfId="0" applyFont="1" applyFill="1" applyBorder="1"/>
    <xf numFmtId="37" fontId="0" fillId="25" borderId="197" xfId="0" applyFill="1" applyBorder="1"/>
    <xf numFmtId="0" fontId="0" fillId="0" borderId="197" xfId="0" applyNumberFormat="1" applyBorder="1"/>
    <xf numFmtId="0" fontId="0" fillId="0" borderId="197" xfId="0" applyNumberFormat="1" applyBorder="1" applyAlignment="1">
      <alignment wrapText="1"/>
    </xf>
    <xf numFmtId="49" fontId="0" fillId="0" borderId="197" xfId="0" applyNumberFormat="1" applyBorder="1"/>
    <xf numFmtId="0" fontId="0" fillId="11" borderId="197" xfId="0" applyNumberFormat="1" applyFill="1" applyBorder="1"/>
    <xf numFmtId="37" fontId="0" fillId="0" borderId="197" xfId="0" applyBorder="1"/>
    <xf numFmtId="0" fontId="55" fillId="26" borderId="197" xfId="0" applyNumberFormat="1" applyFont="1" applyFill="1" applyBorder="1"/>
    <xf numFmtId="0" fontId="55" fillId="27" borderId="197" xfId="0" applyNumberFormat="1" applyFont="1" applyFill="1" applyBorder="1"/>
    <xf numFmtId="0" fontId="0" fillId="25" borderId="197" xfId="0" applyNumberFormat="1" applyFill="1" applyBorder="1"/>
    <xf numFmtId="37" fontId="0" fillId="0" borderId="197" xfId="0" applyBorder="1" applyAlignment="1">
      <alignment wrapText="1"/>
    </xf>
    <xf numFmtId="0" fontId="0" fillId="29" borderId="197" xfId="0" applyNumberFormat="1" applyFill="1" applyBorder="1"/>
    <xf numFmtId="14" fontId="0" fillId="0" borderId="197" xfId="0" applyNumberFormat="1" applyBorder="1"/>
    <xf numFmtId="14" fontId="0" fillId="11" borderId="197" xfId="0" applyNumberFormat="1" applyFill="1" applyBorder="1"/>
    <xf numFmtId="178" fontId="0" fillId="0" borderId="197" xfId="0" applyNumberFormat="1" applyBorder="1"/>
    <xf numFmtId="37" fontId="0" fillId="11" borderId="197" xfId="0" applyFill="1" applyBorder="1"/>
    <xf numFmtId="49" fontId="0" fillId="11" borderId="197" xfId="0" applyNumberFormat="1" applyFill="1" applyBorder="1"/>
    <xf numFmtId="178" fontId="0" fillId="11" borderId="197" xfId="0" applyNumberFormat="1" applyFill="1" applyBorder="1"/>
    <xf numFmtId="186" fontId="0" fillId="0" borderId="197" xfId="0" applyNumberFormat="1" applyBorder="1"/>
    <xf numFmtId="0" fontId="55" fillId="24" borderId="197" xfId="0" applyNumberFormat="1" applyFont="1" applyFill="1" applyBorder="1"/>
    <xf numFmtId="0" fontId="10" fillId="27" borderId="197" xfId="0" applyNumberFormat="1" applyFont="1" applyFill="1" applyBorder="1"/>
    <xf numFmtId="1" fontId="0" fillId="0" borderId="197" xfId="0" applyNumberFormat="1" applyBorder="1"/>
    <xf numFmtId="10" fontId="0" fillId="0" borderId="197" xfId="0" applyNumberFormat="1" applyBorder="1"/>
    <xf numFmtId="49" fontId="0" fillId="0" borderId="72" xfId="0" applyNumberFormat="1" applyBorder="1"/>
    <xf numFmtId="1" fontId="0" fillId="11" borderId="197" xfId="0" applyNumberFormat="1" applyFill="1" applyBorder="1"/>
    <xf numFmtId="37" fontId="0" fillId="0" borderId="197" xfId="0" applyBorder="1" applyAlignment="1">
      <alignment horizontal="left"/>
    </xf>
    <xf numFmtId="0" fontId="0" fillId="0" borderId="197" xfId="0" applyNumberFormat="1" applyBorder="1" applyAlignment="1">
      <alignment horizontal="left"/>
    </xf>
    <xf numFmtId="49" fontId="0" fillId="0" borderId="197" xfId="0" applyNumberFormat="1" applyBorder="1" applyAlignment="1">
      <alignment horizontal="left"/>
    </xf>
    <xf numFmtId="10" fontId="0" fillId="11" borderId="197" xfId="0" applyNumberFormat="1" applyFill="1" applyBorder="1"/>
    <xf numFmtId="0" fontId="0" fillId="11" borderId="197" xfId="0" applyNumberFormat="1" applyFill="1" applyBorder="1" applyAlignment="1">
      <alignment horizontal="left"/>
    </xf>
    <xf numFmtId="49" fontId="0" fillId="29" borderId="197" xfId="0" applyNumberFormat="1" applyFill="1" applyBorder="1"/>
    <xf numFmtId="1" fontId="0" fillId="29" borderId="197" xfId="0" applyNumberFormat="1" applyFill="1" applyBorder="1"/>
    <xf numFmtId="10" fontId="0" fillId="0" borderId="0" xfId="2" applyNumberFormat="1" applyFont="1" applyBorder="1"/>
    <xf numFmtId="37" fontId="0" fillId="29" borderId="197" xfId="0" applyFill="1" applyBorder="1"/>
    <xf numFmtId="37" fontId="0" fillId="29" borderId="281" xfId="0" applyFill="1" applyBorder="1"/>
    <xf numFmtId="37" fontId="0" fillId="11" borderId="281" xfId="0" applyFill="1" applyBorder="1"/>
    <xf numFmtId="37" fontId="0" fillId="0" borderId="281" xfId="0" applyBorder="1"/>
    <xf numFmtId="0" fontId="0" fillId="29" borderId="281" xfId="0" applyNumberFormat="1" applyFill="1" applyBorder="1"/>
    <xf numFmtId="1" fontId="0" fillId="29" borderId="281" xfId="0" applyNumberFormat="1" applyFill="1" applyBorder="1"/>
    <xf numFmtId="0" fontId="0" fillId="11" borderId="281" xfId="0" applyNumberFormat="1" applyFill="1" applyBorder="1"/>
    <xf numFmtId="1" fontId="0" fillId="11" borderId="281" xfId="0" applyNumberFormat="1" applyFill="1" applyBorder="1"/>
    <xf numFmtId="38" fontId="0" fillId="0" borderId="0" xfId="0" applyNumberFormat="1"/>
    <xf numFmtId="14" fontId="0" fillId="0" borderId="0" xfId="0" applyNumberFormat="1"/>
    <xf numFmtId="49" fontId="0" fillId="0" borderId="0" xfId="0" applyNumberFormat="1" applyAlignment="1">
      <alignment horizontal="right"/>
    </xf>
    <xf numFmtId="9" fontId="0" fillId="0" borderId="0" xfId="0" applyNumberFormat="1" applyAlignment="1">
      <alignment horizontal="left"/>
    </xf>
    <xf numFmtId="183" fontId="0" fillId="0" borderId="0" xfId="0" applyNumberFormat="1" applyAlignment="1">
      <alignment horizontal="left"/>
    </xf>
    <xf numFmtId="37" fontId="5" fillId="0" borderId="0" xfId="0" applyFont="1"/>
    <xf numFmtId="49" fontId="0" fillId="0" borderId="281" xfId="0" applyNumberFormat="1" applyBorder="1"/>
    <xf numFmtId="1" fontId="25" fillId="29" borderId="197" xfId="0" applyNumberFormat="1" applyFont="1" applyFill="1" applyBorder="1"/>
    <xf numFmtId="37" fontId="0" fillId="16" borderId="281" xfId="0" applyFill="1" applyBorder="1" applyAlignment="1" applyProtection="1">
      <alignment horizontal="left" wrapText="1"/>
      <protection locked="0"/>
    </xf>
    <xf numFmtId="49" fontId="0" fillId="35" borderId="197" xfId="0" applyNumberFormat="1" applyFill="1" applyBorder="1"/>
    <xf numFmtId="37" fontId="51" fillId="0" borderId="103" xfId="0" applyFont="1" applyBorder="1"/>
    <xf numFmtId="37" fontId="51" fillId="0" borderId="111" xfId="0" applyFont="1" applyBorder="1" applyProtection="1">
      <protection locked="0"/>
    </xf>
    <xf numFmtId="37" fontId="0" fillId="29" borderId="13" xfId="0" applyFill="1" applyBorder="1"/>
    <xf numFmtId="37" fontId="138" fillId="0" borderId="0" xfId="0" applyFont="1" applyAlignment="1" applyProtection="1">
      <alignment horizontal="center"/>
      <protection locked="0"/>
    </xf>
    <xf numFmtId="37" fontId="28" fillId="0" borderId="0" xfId="0" applyFont="1" applyAlignment="1" applyProtection="1">
      <alignment horizontal="center" vertical="center" wrapText="1"/>
      <protection locked="0"/>
    </xf>
    <xf numFmtId="37" fontId="139" fillId="0" borderId="0" xfId="0" applyFont="1" applyAlignment="1" applyProtection="1">
      <alignment horizontal="right" vertical="center"/>
      <protection locked="0"/>
    </xf>
    <xf numFmtId="39" fontId="55" fillId="13" borderId="13" xfId="4" quotePrefix="1" applyNumberFormat="1" applyFont="1" applyFill="1" applyBorder="1" applyAlignment="1">
      <alignment horizontal="center"/>
    </xf>
    <xf numFmtId="37" fontId="139" fillId="0" borderId="0" xfId="0" applyFont="1" applyAlignment="1" applyProtection="1">
      <alignment horizontal="center" vertical="center" wrapText="1"/>
      <protection locked="0"/>
    </xf>
    <xf numFmtId="9" fontId="10" fillId="16" borderId="62" xfId="0" applyNumberFormat="1" applyFont="1" applyFill="1" applyBorder="1" applyAlignment="1" applyProtection="1">
      <alignment horizontal="center"/>
      <protection locked="0"/>
    </xf>
    <xf numFmtId="37" fontId="30" fillId="16" borderId="13" xfId="0" applyFont="1" applyFill="1" applyBorder="1" applyAlignment="1" applyProtection="1">
      <alignment horizontal="center" wrapText="1"/>
      <protection locked="0"/>
    </xf>
    <xf numFmtId="37" fontId="67" fillId="0" borderId="234" xfId="0" applyFont="1" applyBorder="1" applyAlignment="1" applyProtection="1">
      <alignment vertical="center"/>
      <protection locked="0"/>
    </xf>
    <xf numFmtId="37" fontId="10" fillId="16" borderId="72" xfId="7" applyNumberFormat="1" applyFont="1" applyFill="1" applyBorder="1" applyAlignment="1" applyProtection="1">
      <alignment horizontal="center" vertical="center"/>
      <protection locked="0"/>
    </xf>
    <xf numFmtId="37" fontId="0" fillId="0" borderId="288" xfId="0" applyBorder="1" applyAlignment="1" applyProtection="1">
      <alignment horizontal="left" indent="1"/>
      <protection locked="0"/>
    </xf>
    <xf numFmtId="37" fontId="75" fillId="0" borderId="288" xfId="0" applyFont="1" applyBorder="1" applyProtection="1">
      <protection locked="0"/>
    </xf>
    <xf numFmtId="37" fontId="0" fillId="16" borderId="295" xfId="0" applyFill="1" applyBorder="1" applyAlignment="1" applyProtection="1">
      <alignment horizontal="center"/>
      <protection locked="0"/>
    </xf>
    <xf numFmtId="37" fontId="15" fillId="9" borderId="295" xfId="0" applyFont="1" applyFill="1" applyBorder="1" applyAlignment="1" applyProtection="1">
      <alignment horizontal="center"/>
      <protection locked="0"/>
    </xf>
    <xf numFmtId="37" fontId="0" fillId="0" borderId="296" xfId="0" applyBorder="1" applyAlignment="1" applyProtection="1">
      <alignment horizontal="left" indent="1"/>
      <protection locked="0"/>
    </xf>
    <xf numFmtId="37" fontId="0" fillId="0" borderId="296" xfId="0" applyBorder="1" applyProtection="1">
      <protection locked="0"/>
    </xf>
    <xf numFmtId="179" fontId="0" fillId="16" borderId="281" xfId="0" applyNumberFormat="1" applyFill="1" applyBorder="1" applyAlignment="1" applyProtection="1">
      <alignment horizontal="center"/>
      <protection locked="0"/>
    </xf>
    <xf numFmtId="37" fontId="0" fillId="0" borderId="297" xfId="0" applyBorder="1" applyAlignment="1" applyProtection="1">
      <alignment horizontal="left" indent="1"/>
      <protection locked="0"/>
    </xf>
    <xf numFmtId="37" fontId="0" fillId="0" borderId="287" xfId="0" applyBorder="1" applyAlignment="1" applyProtection="1">
      <alignment horizontal="left" indent="1"/>
      <protection locked="0"/>
    </xf>
    <xf numFmtId="179" fontId="0" fillId="16" borderId="281" xfId="0" applyNumberFormat="1" applyFill="1" applyBorder="1" applyAlignment="1" applyProtection="1">
      <alignment horizontal="left"/>
      <protection locked="0"/>
    </xf>
    <xf numFmtId="14" fontId="0" fillId="0" borderId="0" xfId="0" applyNumberFormat="1" applyAlignment="1" applyProtection="1">
      <alignment horizontal="center"/>
      <protection locked="0"/>
    </xf>
    <xf numFmtId="10" fontId="0" fillId="16" borderId="63" xfId="0" applyNumberFormat="1" applyFill="1" applyBorder="1" applyProtection="1">
      <protection locked="0"/>
    </xf>
    <xf numFmtId="37" fontId="0" fillId="16" borderId="70" xfId="0" applyFill="1" applyBorder="1" applyProtection="1">
      <protection locked="0"/>
    </xf>
    <xf numFmtId="37" fontId="0" fillId="16" borderId="63" xfId="0" applyFill="1" applyBorder="1" applyProtection="1">
      <protection locked="0"/>
    </xf>
    <xf numFmtId="49" fontId="0" fillId="16" borderId="63" xfId="0" applyNumberFormat="1" applyFill="1" applyBorder="1" applyProtection="1">
      <protection locked="0"/>
    </xf>
    <xf numFmtId="178" fontId="0" fillId="16" borderId="79" xfId="0" applyNumberFormat="1" applyFill="1" applyBorder="1" applyAlignment="1" applyProtection="1">
      <alignment horizontal="left"/>
      <protection locked="0"/>
    </xf>
    <xf numFmtId="37" fontId="45" fillId="16" borderId="70" xfId="8" applyFill="1" applyBorder="1" applyProtection="1">
      <protection locked="0"/>
    </xf>
    <xf numFmtId="0" fontId="0" fillId="16" borderId="94" xfId="0" applyNumberFormat="1" applyFill="1" applyBorder="1" applyProtection="1">
      <protection locked="0"/>
    </xf>
    <xf numFmtId="0" fontId="0" fillId="16" borderId="99" xfId="0" applyNumberFormat="1" applyFill="1" applyBorder="1" applyAlignment="1" applyProtection="1">
      <alignment horizontal="left"/>
      <protection locked="0"/>
    </xf>
    <xf numFmtId="0" fontId="0" fillId="16" borderId="84" xfId="0" applyNumberFormat="1" applyFill="1" applyBorder="1" applyAlignment="1" applyProtection="1">
      <alignment horizontal="left"/>
      <protection locked="0"/>
    </xf>
    <xf numFmtId="37" fontId="0" fillId="16" borderId="70" xfId="0" applyFill="1" applyBorder="1" applyAlignment="1" applyProtection="1">
      <alignment vertical="center"/>
      <protection locked="0"/>
    </xf>
    <xf numFmtId="178" fontId="0" fillId="0" borderId="0" xfId="0" applyNumberFormat="1" applyAlignment="1" applyProtection="1">
      <alignment horizontal="left"/>
      <protection locked="0"/>
    </xf>
    <xf numFmtId="37" fontId="0" fillId="16" borderId="80" xfId="0" applyFill="1" applyBorder="1" applyProtection="1">
      <protection locked="0"/>
    </xf>
    <xf numFmtId="178" fontId="0" fillId="16" borderId="94" xfId="0" applyNumberFormat="1" applyFill="1" applyBorder="1" applyAlignment="1" applyProtection="1">
      <alignment horizontal="left"/>
      <protection locked="0"/>
    </xf>
    <xf numFmtId="37" fontId="0" fillId="0" borderId="0" xfId="0" applyAlignment="1" applyProtection="1">
      <alignment horizontal="left" vertical="top" wrapText="1" indent="1"/>
      <protection locked="0"/>
    </xf>
    <xf numFmtId="37" fontId="5" fillId="16" borderId="17" xfId="0" quotePrefix="1" applyFont="1" applyFill="1" applyBorder="1" applyAlignment="1" applyProtection="1">
      <alignment horizontal="left" vertical="center" wrapText="1"/>
      <protection locked="0"/>
    </xf>
    <xf numFmtId="37" fontId="5" fillId="16" borderId="18" xfId="0" quotePrefix="1" applyFont="1" applyFill="1" applyBorder="1" applyAlignment="1" applyProtection="1">
      <alignment horizontal="left" vertical="center" wrapText="1"/>
      <protection locked="0"/>
    </xf>
    <xf numFmtId="172" fontId="0" fillId="13" borderId="17" xfId="1" applyNumberFormat="1" applyFont="1" applyFill="1" applyBorder="1" applyAlignment="1" applyProtection="1">
      <alignment horizontal="left"/>
    </xf>
    <xf numFmtId="172" fontId="0" fillId="13" borderId="18" xfId="1" applyNumberFormat="1" applyFont="1" applyFill="1" applyBorder="1" applyAlignment="1" applyProtection="1">
      <alignment horizontal="left"/>
    </xf>
    <xf numFmtId="172" fontId="0" fillId="16" borderId="17" xfId="0" applyNumberFormat="1" applyFill="1" applyBorder="1" applyAlignment="1" applyProtection="1">
      <alignment horizontal="left"/>
      <protection locked="0"/>
    </xf>
    <xf numFmtId="172" fontId="0" fillId="16" borderId="18" xfId="0" applyNumberFormat="1" applyFill="1" applyBorder="1" applyAlignment="1" applyProtection="1">
      <alignment horizontal="left"/>
      <protection locked="0"/>
    </xf>
    <xf numFmtId="172" fontId="10" fillId="13" borderId="18" xfId="0" applyNumberFormat="1" applyFont="1" applyFill="1" applyBorder="1" applyAlignment="1">
      <alignment horizontal="center"/>
    </xf>
    <xf numFmtId="37" fontId="5" fillId="13" borderId="17" xfId="0" quotePrefix="1" applyFont="1" applyFill="1" applyBorder="1" applyAlignment="1">
      <alignment horizontal="left" vertical="center" wrapText="1"/>
    </xf>
    <xf numFmtId="172" fontId="0" fillId="13" borderId="17" xfId="7" applyNumberFormat="1" applyFont="1" applyFill="1" applyBorder="1" applyAlignment="1" applyProtection="1">
      <alignment horizontal="left"/>
    </xf>
    <xf numFmtId="172" fontId="0" fillId="13" borderId="18" xfId="7" applyNumberFormat="1" applyFont="1" applyFill="1" applyBorder="1" applyAlignment="1" applyProtection="1">
      <alignment horizontal="left"/>
    </xf>
    <xf numFmtId="172" fontId="0" fillId="16" borderId="17" xfId="7" applyNumberFormat="1" applyFont="1" applyFill="1" applyBorder="1" applyAlignment="1" applyProtection="1">
      <alignment horizontal="left"/>
      <protection locked="0"/>
    </xf>
    <xf numFmtId="172" fontId="10" fillId="13" borderId="18" xfId="7" applyNumberFormat="1" applyFont="1" applyFill="1" applyBorder="1" applyAlignment="1" applyProtection="1">
      <alignment horizontal="center"/>
    </xf>
    <xf numFmtId="172" fontId="10" fillId="13" borderId="18" xfId="1" applyNumberFormat="1" applyFont="1" applyFill="1" applyBorder="1" applyAlignment="1" applyProtection="1">
      <alignment horizontal="center"/>
    </xf>
    <xf numFmtId="10" fontId="10" fillId="13" borderId="22" xfId="0" applyNumberFormat="1" applyFont="1" applyFill="1" applyBorder="1" applyAlignment="1">
      <alignment horizontal="center"/>
    </xf>
    <xf numFmtId="172" fontId="0" fillId="16" borderId="17" xfId="1" applyNumberFormat="1" applyFont="1" applyFill="1" applyBorder="1" applyAlignment="1" applyProtection="1">
      <alignment horizontal="left"/>
      <protection locked="0"/>
    </xf>
    <xf numFmtId="172" fontId="0" fillId="16" borderId="18" xfId="1" applyNumberFormat="1" applyFont="1" applyFill="1" applyBorder="1" applyAlignment="1" applyProtection="1">
      <alignment horizontal="left"/>
      <protection locked="0"/>
    </xf>
    <xf numFmtId="172" fontId="0" fillId="16" borderId="18" xfId="7" applyNumberFormat="1" applyFont="1" applyFill="1" applyBorder="1" applyAlignment="1" applyProtection="1">
      <alignment horizontal="left"/>
      <protection locked="0"/>
    </xf>
    <xf numFmtId="37" fontId="5" fillId="13" borderId="17" xfId="0" applyFont="1" applyFill="1" applyBorder="1" applyAlignment="1">
      <alignment horizontal="left" vertical="center" wrapText="1"/>
    </xf>
    <xf numFmtId="37" fontId="5" fillId="13" borderId="18" xfId="0" applyFont="1" applyFill="1" applyBorder="1" applyAlignment="1">
      <alignment horizontal="left" vertical="center" wrapText="1"/>
    </xf>
    <xf numFmtId="172" fontId="37" fillId="16" borderId="17" xfId="0" applyNumberFormat="1" applyFont="1" applyFill="1" applyBorder="1" applyAlignment="1" applyProtection="1">
      <alignment horizontal="left"/>
      <protection locked="0"/>
    </xf>
    <xf numFmtId="10" fontId="0" fillId="13" borderId="22" xfId="0" applyNumberFormat="1" applyFill="1" applyBorder="1" applyAlignment="1">
      <alignment horizontal="center"/>
    </xf>
    <xf numFmtId="10" fontId="0" fillId="13" borderId="21" xfId="0" applyNumberFormat="1" applyFill="1" applyBorder="1" applyAlignment="1">
      <alignment horizontal="left"/>
    </xf>
    <xf numFmtId="14" fontId="0" fillId="0" borderId="63" xfId="0" applyNumberFormat="1" applyBorder="1" applyProtection="1">
      <protection locked="0"/>
    </xf>
    <xf numFmtId="37" fontId="28" fillId="0" borderId="0" xfId="0" applyFont="1" applyAlignment="1" applyProtection="1">
      <alignment vertical="center"/>
      <protection locked="0"/>
    </xf>
    <xf numFmtId="37" fontId="0" fillId="0" borderId="192" xfId="0" applyBorder="1" applyProtection="1">
      <protection locked="0"/>
    </xf>
    <xf numFmtId="14" fontId="0" fillId="16" borderId="17" xfId="0" applyNumberFormat="1" applyFill="1" applyBorder="1" applyAlignment="1" applyProtection="1">
      <alignment horizontal="left"/>
      <protection locked="0"/>
    </xf>
    <xf numFmtId="14" fontId="0" fillId="16" borderId="18" xfId="0" applyNumberFormat="1" applyFill="1" applyBorder="1" applyAlignment="1" applyProtection="1">
      <alignment horizontal="left"/>
      <protection locked="0"/>
    </xf>
    <xf numFmtId="172" fontId="0" fillId="0" borderId="0" xfId="0" applyNumberFormat="1" applyProtection="1">
      <protection locked="0"/>
    </xf>
    <xf numFmtId="10" fontId="0" fillId="13" borderId="22" xfId="0" applyNumberFormat="1" applyFill="1" applyBorder="1" applyAlignment="1">
      <alignment horizontal="left"/>
    </xf>
    <xf numFmtId="10" fontId="0" fillId="0" borderId="0" xfId="0" applyNumberFormat="1"/>
    <xf numFmtId="10" fontId="0" fillId="0" borderId="0" xfId="0" applyNumberFormat="1" applyProtection="1">
      <protection locked="0"/>
    </xf>
    <xf numFmtId="10" fontId="0" fillId="0" borderId="53" xfId="0" applyNumberFormat="1" applyBorder="1" applyAlignment="1" applyProtection="1">
      <alignment horizontal="center"/>
      <protection locked="0"/>
    </xf>
    <xf numFmtId="10" fontId="0" fillId="0" borderId="0" xfId="0" applyNumberFormat="1" applyAlignment="1" applyProtection="1">
      <alignment horizontal="center"/>
      <protection locked="0"/>
    </xf>
    <xf numFmtId="37" fontId="0" fillId="0" borderId="47" xfId="0" applyBorder="1" applyAlignment="1" applyProtection="1">
      <alignment horizontal="left" wrapText="1"/>
      <protection locked="0"/>
    </xf>
    <xf numFmtId="37" fontId="0" fillId="0" borderId="11" xfId="0" applyBorder="1" applyAlignment="1" applyProtection="1">
      <alignment horizontal="left" indent="1"/>
      <protection locked="0"/>
    </xf>
    <xf numFmtId="37" fontId="0" fillId="0" borderId="11" xfId="0" applyBorder="1" applyAlignment="1" applyProtection="1">
      <alignment horizontal="left" wrapText="1"/>
      <protection locked="0"/>
    </xf>
    <xf numFmtId="183" fontId="0" fillId="13" borderId="26" xfId="0" applyNumberFormat="1" applyFill="1" applyBorder="1"/>
    <xf numFmtId="37" fontId="0" fillId="0" borderId="199" xfId="0" applyBorder="1" applyAlignment="1" applyProtection="1">
      <alignment horizontal="left" wrapText="1"/>
      <protection locked="0"/>
    </xf>
    <xf numFmtId="183" fontId="0" fillId="13" borderId="200" xfId="0" applyNumberFormat="1" applyFill="1" applyBorder="1"/>
    <xf numFmtId="37" fontId="0" fillId="0" borderId="12" xfId="0" applyBorder="1" applyProtection="1">
      <protection locked="0"/>
    </xf>
    <xf numFmtId="183" fontId="0" fillId="13" borderId="24" xfId="0" applyNumberFormat="1" applyFill="1" applyBorder="1"/>
    <xf numFmtId="37" fontId="0" fillId="0" borderId="51" xfId="0" applyBorder="1" applyAlignment="1" applyProtection="1">
      <alignment horizontal="center"/>
      <protection locked="0"/>
    </xf>
    <xf numFmtId="37" fontId="0" fillId="0" borderId="202" xfId="0" applyBorder="1" applyProtection="1">
      <protection locked="0"/>
    </xf>
    <xf numFmtId="37" fontId="0" fillId="0" borderId="53" xfId="0" applyBorder="1" applyAlignment="1" applyProtection="1">
      <alignment horizontal="left" wrapText="1"/>
      <protection locked="0"/>
    </xf>
    <xf numFmtId="37" fontId="0" fillId="0" borderId="199" xfId="0" applyBorder="1" applyAlignment="1" applyProtection="1">
      <alignment horizontal="left" indent="1"/>
      <protection locked="0"/>
    </xf>
    <xf numFmtId="183" fontId="0" fillId="13" borderId="200" xfId="0" quotePrefix="1" applyNumberFormat="1" applyFill="1" applyBorder="1"/>
    <xf numFmtId="37" fontId="0" fillId="0" borderId="12" xfId="0" applyBorder="1" applyAlignment="1" applyProtection="1">
      <alignment horizontal="left" indent="1"/>
      <protection locked="0"/>
    </xf>
    <xf numFmtId="37" fontId="0" fillId="0" borderId="43" xfId="0" applyBorder="1" applyProtection="1">
      <protection locked="0"/>
    </xf>
    <xf numFmtId="37" fontId="0" fillId="0" borderId="53" xfId="0" applyBorder="1" applyAlignment="1" applyProtection="1">
      <alignment horizontal="center"/>
      <protection locked="0"/>
    </xf>
    <xf numFmtId="37" fontId="0" fillId="0" borderId="65" xfId="0" applyBorder="1" applyAlignment="1" applyProtection="1">
      <alignment horizontal="center"/>
      <protection locked="0"/>
    </xf>
    <xf numFmtId="14" fontId="0" fillId="13" borderId="17" xfId="0" applyNumberFormat="1" applyFill="1" applyBorder="1" applyAlignment="1">
      <alignment horizontal="left"/>
    </xf>
    <xf numFmtId="14" fontId="0" fillId="13" borderId="18" xfId="0" applyNumberFormat="1" applyFill="1" applyBorder="1" applyAlignment="1">
      <alignment horizontal="left"/>
    </xf>
    <xf numFmtId="14" fontId="0" fillId="0" borderId="0" xfId="0" applyNumberFormat="1" applyAlignment="1">
      <alignment horizontal="center"/>
    </xf>
    <xf numFmtId="37" fontId="0" fillId="0" borderId="11" xfId="0" applyBorder="1" applyProtection="1">
      <protection locked="0"/>
    </xf>
    <xf numFmtId="37" fontId="0" fillId="0" borderId="199" xfId="0" applyBorder="1" applyProtection="1">
      <protection locked="0"/>
    </xf>
    <xf numFmtId="37" fontId="0" fillId="0" borderId="49" xfId="0" applyBorder="1" applyProtection="1">
      <protection locked="0"/>
    </xf>
    <xf numFmtId="37" fontId="0" fillId="0" borderId="202" xfId="0" applyBorder="1" applyAlignment="1" applyProtection="1">
      <alignment horizontal="center"/>
      <protection locked="0"/>
    </xf>
    <xf numFmtId="37" fontId="0" fillId="22" borderId="0" xfId="0" applyFill="1" applyProtection="1">
      <protection locked="0"/>
    </xf>
    <xf numFmtId="37" fontId="97" fillId="16" borderId="197" xfId="0" quotePrefix="1" applyFont="1" applyFill="1" applyBorder="1" applyAlignment="1" applyProtection="1">
      <alignment horizontal="left"/>
      <protection locked="0"/>
    </xf>
    <xf numFmtId="37" fontId="81" fillId="16" borderId="197" xfId="0" quotePrefix="1" applyFont="1" applyFill="1" applyBorder="1" applyAlignment="1" applyProtection="1">
      <alignment horizontal="left"/>
      <protection locked="0"/>
    </xf>
    <xf numFmtId="4" fontId="81" fillId="16" borderId="197" xfId="0" applyNumberFormat="1" applyFont="1" applyFill="1" applyBorder="1" applyAlignment="1" applyProtection="1">
      <alignment horizontal="left"/>
      <protection locked="0"/>
    </xf>
    <xf numFmtId="37" fontId="81" fillId="16" borderId="197" xfId="0" applyFont="1" applyFill="1" applyBorder="1" applyAlignment="1" applyProtection="1">
      <alignment horizontal="left"/>
      <protection locked="0"/>
    </xf>
    <xf numFmtId="187" fontId="81" fillId="16" borderId="197" xfId="0" applyNumberFormat="1" applyFont="1" applyFill="1" applyBorder="1" applyAlignment="1" applyProtection="1">
      <alignment horizontal="left"/>
      <protection locked="0"/>
    </xf>
    <xf numFmtId="3" fontId="81" fillId="16" borderId="197" xfId="0" applyNumberFormat="1" applyFont="1" applyFill="1" applyBorder="1" applyAlignment="1" applyProtection="1">
      <alignment horizontal="left"/>
      <protection locked="0"/>
    </xf>
    <xf numFmtId="4" fontId="99" fillId="16" borderId="197" xfId="0" applyNumberFormat="1" applyFont="1" applyFill="1" applyBorder="1" applyAlignment="1" applyProtection="1">
      <alignment horizontal="left"/>
      <protection locked="0"/>
    </xf>
    <xf numFmtId="10" fontId="99" fillId="16" borderId="197" xfId="0" applyNumberFormat="1" applyFont="1" applyFill="1" applyBorder="1" applyAlignment="1" applyProtection="1">
      <alignment horizontal="left"/>
      <protection locked="0"/>
    </xf>
    <xf numFmtId="5" fontId="10" fillId="18" borderId="72" xfId="0" applyNumberFormat="1" applyFont="1" applyFill="1" applyBorder="1" applyAlignment="1" applyProtection="1">
      <alignment horizontal="left"/>
      <protection locked="0"/>
    </xf>
    <xf numFmtId="5" fontId="10" fillId="15" borderId="72" xfId="0" applyNumberFormat="1" applyFont="1" applyFill="1" applyBorder="1" applyAlignment="1">
      <alignment horizontal="left"/>
    </xf>
    <xf numFmtId="44" fontId="0" fillId="16" borderId="66" xfId="0" applyNumberFormat="1" applyFill="1" applyBorder="1" applyAlignment="1" applyProtection="1">
      <alignment horizontal="center"/>
      <protection locked="0"/>
    </xf>
    <xf numFmtId="44" fontId="0" fillId="16" borderId="105" xfId="7" applyNumberFormat="1" applyFont="1" applyFill="1" applyBorder="1" applyAlignment="1" applyProtection="1">
      <alignment horizontal="left"/>
      <protection locked="0"/>
    </xf>
    <xf numFmtId="44" fontId="0" fillId="16" borderId="105" xfId="0" applyNumberFormat="1" applyFill="1" applyBorder="1" applyAlignment="1" applyProtection="1">
      <alignment horizontal="center"/>
      <protection locked="0"/>
    </xf>
    <xf numFmtId="37" fontId="44" fillId="16" borderId="270" xfId="0" applyFont="1" applyFill="1" applyBorder="1" applyProtection="1">
      <protection locked="0"/>
    </xf>
    <xf numFmtId="37" fontId="44" fillId="16" borderId="239" xfId="0" applyFont="1" applyFill="1" applyBorder="1" applyProtection="1">
      <protection locked="0"/>
    </xf>
    <xf numFmtId="37" fontId="44" fillId="16" borderId="271" xfId="0" applyFont="1" applyFill="1" applyBorder="1" applyProtection="1">
      <protection locked="0"/>
    </xf>
    <xf numFmtId="37" fontId="44" fillId="16" borderId="266" xfId="0" applyFont="1" applyFill="1" applyBorder="1" applyProtection="1">
      <protection locked="0"/>
    </xf>
    <xf numFmtId="37" fontId="44" fillId="16" borderId="137" xfId="0" applyFont="1" applyFill="1" applyBorder="1" applyProtection="1">
      <protection locked="0"/>
    </xf>
    <xf numFmtId="175" fontId="44" fillId="16" borderId="235" xfId="2" applyNumberFormat="1" applyFont="1" applyFill="1" applyBorder="1" applyAlignment="1" applyProtection="1">
      <alignment horizontal="center" vertical="center"/>
      <protection locked="0"/>
    </xf>
    <xf numFmtId="37" fontId="44" fillId="16" borderId="268" xfId="0" applyFont="1" applyFill="1" applyBorder="1" applyProtection="1">
      <protection locked="0"/>
    </xf>
    <xf numFmtId="37" fontId="44" fillId="16" borderId="274" xfId="0" applyFont="1" applyFill="1" applyBorder="1" applyProtection="1">
      <protection locked="0"/>
    </xf>
    <xf numFmtId="37" fontId="44" fillId="16" borderId="267" xfId="0" applyFont="1" applyFill="1" applyBorder="1" applyProtection="1">
      <protection locked="0"/>
    </xf>
    <xf numFmtId="37" fontId="44" fillId="16" borderId="185" xfId="0" applyFont="1" applyFill="1" applyBorder="1" applyProtection="1">
      <protection locked="0"/>
    </xf>
    <xf numFmtId="37" fontId="44" fillId="16" borderId="273" xfId="0" applyFont="1" applyFill="1" applyBorder="1"/>
    <xf numFmtId="37" fontId="44" fillId="16" borderId="72" xfId="0" applyFont="1" applyFill="1" applyBorder="1"/>
    <xf numFmtId="14" fontId="0" fillId="13" borderId="17" xfId="0" applyNumberFormat="1" applyFill="1" applyBorder="1" applyAlignment="1">
      <alignment horizontal="left" vertical="center" wrapText="1"/>
    </xf>
    <xf numFmtId="14" fontId="0" fillId="13" borderId="17" xfId="0" quotePrefix="1" applyNumberFormat="1" applyFill="1" applyBorder="1" applyAlignment="1">
      <alignment horizontal="left" vertical="center" wrapText="1"/>
    </xf>
    <xf numFmtId="37" fontId="15" fillId="0" borderId="287" xfId="0" applyFont="1" applyBorder="1" applyAlignment="1" applyProtection="1">
      <alignment horizontal="center"/>
      <protection locked="0"/>
    </xf>
    <xf numFmtId="168" fontId="0" fillId="18" borderId="298" xfId="0" quotePrefix="1" applyNumberFormat="1" applyFill="1" applyBorder="1" applyAlignment="1" applyProtection="1">
      <alignment horizontal="right"/>
      <protection locked="0"/>
    </xf>
    <xf numFmtId="37" fontId="19" fillId="16" borderId="37" xfId="0" applyFont="1" applyFill="1" applyBorder="1" applyAlignment="1" applyProtection="1">
      <alignment horizontal="left"/>
      <protection locked="0"/>
    </xf>
    <xf numFmtId="37" fontId="0" fillId="16" borderId="46" xfId="0" applyFill="1" applyBorder="1" applyProtection="1">
      <protection locked="0"/>
    </xf>
    <xf numFmtId="37" fontId="0" fillId="16" borderId="38" xfId="0" applyFill="1" applyBorder="1" applyProtection="1">
      <protection locked="0"/>
    </xf>
    <xf numFmtId="37" fontId="19" fillId="16" borderId="40" xfId="0" applyFont="1" applyFill="1" applyBorder="1" applyAlignment="1" applyProtection="1">
      <alignment horizontal="left"/>
      <protection locked="0"/>
    </xf>
    <xf numFmtId="49" fontId="0" fillId="16" borderId="10" xfId="0" quotePrefix="1" applyNumberFormat="1" applyFill="1" applyBorder="1"/>
    <xf numFmtId="37" fontId="54" fillId="16" borderId="10" xfId="0" applyFont="1" applyFill="1" applyBorder="1" applyAlignment="1">
      <alignment horizontal="center" wrapText="1"/>
    </xf>
    <xf numFmtId="37" fontId="0" fillId="16" borderId="10" xfId="0" applyFill="1" applyBorder="1"/>
    <xf numFmtId="37" fontId="0" fillId="16" borderId="24" xfId="0" applyFill="1" applyBorder="1"/>
    <xf numFmtId="168" fontId="10" fillId="33" borderId="270" xfId="0" applyNumberFormat="1" applyFont="1" applyFill="1" applyBorder="1" applyProtection="1">
      <protection locked="0"/>
    </xf>
    <xf numFmtId="179" fontId="0" fillId="16" borderId="143" xfId="0" applyNumberFormat="1" applyFill="1" applyBorder="1" applyProtection="1">
      <protection locked="0"/>
    </xf>
    <xf numFmtId="37" fontId="55" fillId="10" borderId="237" xfId="0" applyFont="1" applyFill="1" applyBorder="1" applyAlignment="1" applyProtection="1">
      <alignment horizontal="center" vertical="center"/>
      <protection locked="0"/>
    </xf>
    <xf numFmtId="37" fontId="55" fillId="10" borderId="62" xfId="0" applyFont="1" applyFill="1" applyBorder="1" applyAlignment="1" applyProtection="1">
      <alignment horizontal="center" vertical="center"/>
      <protection locked="0"/>
    </xf>
    <xf numFmtId="37" fontId="67" fillId="0" borderId="0" xfId="0" applyFont="1" applyAlignment="1" applyProtection="1">
      <alignment horizontal="left" vertical="center" indent="1"/>
      <protection locked="0"/>
    </xf>
    <xf numFmtId="37" fontId="55" fillId="10" borderId="237" xfId="0" applyFont="1" applyFill="1" applyBorder="1" applyAlignment="1" applyProtection="1">
      <alignment horizontal="center" vertical="center" wrapText="1"/>
      <protection locked="0"/>
    </xf>
    <xf numFmtId="37" fontId="55" fillId="10" borderId="62" xfId="0" applyFont="1" applyFill="1" applyBorder="1" applyAlignment="1" applyProtection="1">
      <alignment horizontal="center" vertical="center" wrapText="1"/>
      <protection locked="0"/>
    </xf>
    <xf numFmtId="37" fontId="67" fillId="0" borderId="235" xfId="0" applyFont="1" applyBorder="1" applyAlignment="1" applyProtection="1">
      <alignment horizontal="left" vertical="center" wrapText="1" indent="2"/>
      <protection locked="0"/>
    </xf>
    <xf numFmtId="37" fontId="67" fillId="0" borderId="234" xfId="0" applyFont="1" applyBorder="1" applyAlignment="1" applyProtection="1">
      <alignment horizontal="left" vertical="center" wrapText="1" indent="2"/>
      <protection locked="0"/>
    </xf>
    <xf numFmtId="37" fontId="55" fillId="0" borderId="197" xfId="0" applyFont="1" applyBorder="1" applyAlignment="1" applyProtection="1">
      <alignment horizontal="left" vertical="center" indent="2"/>
      <protection locked="0"/>
    </xf>
    <xf numFmtId="37" fontId="67" fillId="0" borderId="197" xfId="0" applyFont="1" applyBorder="1" applyAlignment="1" applyProtection="1">
      <alignment horizontal="left" vertical="center" indent="2"/>
      <protection locked="0"/>
    </xf>
    <xf numFmtId="37" fontId="129" fillId="0" borderId="237" xfId="0" applyFont="1" applyBorder="1" applyAlignment="1" applyProtection="1">
      <alignment horizontal="left" vertical="center" wrapText="1" indent="1"/>
      <protection locked="0"/>
    </xf>
    <xf numFmtId="37" fontId="129" fillId="0" borderId="62" xfId="0" applyFont="1" applyBorder="1" applyAlignment="1" applyProtection="1">
      <alignment horizontal="left" vertical="center" wrapText="1" indent="1"/>
      <protection locked="0"/>
    </xf>
    <xf numFmtId="37" fontId="67" fillId="0" borderId="207" xfId="0" applyFont="1" applyBorder="1" applyAlignment="1" applyProtection="1">
      <alignment horizontal="left" vertical="center" wrapText="1" indent="1"/>
      <protection locked="0"/>
    </xf>
    <xf numFmtId="37" fontId="67" fillId="0" borderId="208" xfId="0" applyFont="1" applyBorder="1" applyAlignment="1">
      <alignment horizontal="left" wrapText="1" indent="1"/>
    </xf>
    <xf numFmtId="37" fontId="67" fillId="0" borderId="202" xfId="0" applyFont="1" applyBorder="1" applyAlignment="1">
      <alignment horizontal="left" wrapText="1" indent="1"/>
    </xf>
    <xf numFmtId="37" fontId="67" fillId="0" borderId="43" xfId="0" applyFont="1" applyBorder="1" applyAlignment="1">
      <alignment horizontal="left" wrapText="1" indent="1"/>
    </xf>
    <xf numFmtId="37" fontId="67" fillId="0" borderId="0" xfId="0" applyFont="1" applyAlignment="1">
      <alignment horizontal="left" wrapText="1" indent="1"/>
    </xf>
    <xf numFmtId="37" fontId="67" fillId="0" borderId="53" xfId="0" applyFont="1" applyBorder="1" applyAlignment="1">
      <alignment horizontal="left" wrapText="1" indent="1"/>
    </xf>
    <xf numFmtId="37" fontId="67" fillId="0" borderId="186" xfId="0" applyFont="1" applyBorder="1" applyAlignment="1">
      <alignment horizontal="left" wrapText="1" indent="1"/>
    </xf>
    <xf numFmtId="37" fontId="67" fillId="0" borderId="63" xfId="0" applyFont="1" applyBorder="1" applyAlignment="1">
      <alignment horizontal="left" wrapText="1" indent="1"/>
    </xf>
    <xf numFmtId="37" fontId="67" fillId="0" borderId="65" xfId="0" applyFont="1" applyBorder="1" applyAlignment="1">
      <alignment horizontal="left" wrapText="1" indent="1"/>
    </xf>
    <xf numFmtId="49" fontId="0" fillId="23" borderId="83" xfId="0" applyNumberFormat="1" applyFill="1" applyBorder="1" applyAlignment="1" applyProtection="1">
      <alignment horizontal="right" indent="1"/>
      <protection locked="0"/>
    </xf>
    <xf numFmtId="37" fontId="0" fillId="0" borderId="85" xfId="0" applyBorder="1" applyAlignment="1" applyProtection="1">
      <alignment horizontal="right" indent="1"/>
      <protection locked="0"/>
    </xf>
    <xf numFmtId="37" fontId="0" fillId="16" borderId="83" xfId="0" applyFill="1" applyBorder="1" applyAlignment="1" applyProtection="1">
      <alignment horizontal="right" indent="1"/>
      <protection locked="0"/>
    </xf>
    <xf numFmtId="37" fontId="0" fillId="16" borderId="77" xfId="0" applyFill="1" applyBorder="1" applyAlignment="1" applyProtection="1">
      <alignment horizontal="left" vertical="center" wrapText="1" indent="1"/>
      <protection locked="0"/>
    </xf>
    <xf numFmtId="37" fontId="0" fillId="16" borderId="35" xfId="0" applyFill="1" applyBorder="1" applyAlignment="1" applyProtection="1">
      <alignment horizontal="left" vertical="center" wrapText="1" indent="1"/>
      <protection locked="0"/>
    </xf>
    <xf numFmtId="37" fontId="0" fillId="0" borderId="35" xfId="0" applyBorder="1" applyAlignment="1" applyProtection="1">
      <alignment horizontal="left" vertical="center" wrapText="1" indent="1"/>
      <protection locked="0"/>
    </xf>
    <xf numFmtId="37" fontId="0" fillId="0" borderId="92" xfId="0" applyBorder="1" applyAlignment="1" applyProtection="1">
      <alignment horizontal="left" vertical="center" wrapText="1" indent="1"/>
      <protection locked="0"/>
    </xf>
    <xf numFmtId="37" fontId="0" fillId="0" borderId="43" xfId="0" applyBorder="1" applyAlignment="1" applyProtection="1">
      <alignment horizontal="left" vertical="center" wrapText="1" indent="1"/>
      <protection locked="0"/>
    </xf>
    <xf numFmtId="37" fontId="0" fillId="0" borderId="0" xfId="0" applyAlignment="1" applyProtection="1">
      <alignment horizontal="left" vertical="center" wrapText="1" indent="1"/>
      <protection locked="0"/>
    </xf>
    <xf numFmtId="37" fontId="0" fillId="0" borderId="53" xfId="0" applyBorder="1" applyAlignment="1" applyProtection="1">
      <alignment horizontal="left" vertical="center" wrapText="1" indent="1"/>
      <protection locked="0"/>
    </xf>
    <xf numFmtId="37" fontId="0" fillId="0" borderId="76" xfId="0" applyBorder="1" applyAlignment="1" applyProtection="1">
      <alignment horizontal="left" vertical="center" wrapText="1" indent="1"/>
      <protection locked="0"/>
    </xf>
    <xf numFmtId="37" fontId="0" fillId="0" borderId="63" xfId="0" applyBorder="1" applyAlignment="1" applyProtection="1">
      <alignment horizontal="left" vertical="center" wrapText="1" indent="1"/>
      <protection locked="0"/>
    </xf>
    <xf numFmtId="37" fontId="0" fillId="0" borderId="65" xfId="0" applyBorder="1" applyAlignment="1" applyProtection="1">
      <alignment horizontal="left" vertical="center" wrapText="1" indent="1"/>
      <protection locked="0"/>
    </xf>
    <xf numFmtId="37" fontId="0" fillId="0" borderId="0" xfId="0" applyAlignment="1" applyProtection="1">
      <alignment horizontal="left" wrapText="1" indent="1"/>
      <protection locked="0"/>
    </xf>
    <xf numFmtId="37" fontId="31" fillId="0" borderId="63" xfId="0" applyFont="1" applyBorder="1" applyAlignment="1" applyProtection="1">
      <alignment horizontal="center" vertical="center"/>
      <protection locked="0"/>
    </xf>
    <xf numFmtId="37" fontId="10" fillId="0" borderId="0" xfId="0" applyFont="1" applyAlignment="1" applyProtection="1">
      <alignment horizontal="left" vertical="center" wrapText="1" indent="1"/>
      <protection locked="0"/>
    </xf>
    <xf numFmtId="37" fontId="35" fillId="0" borderId="0" xfId="0" quotePrefix="1" applyFont="1" applyAlignment="1" applyProtection="1">
      <alignment horizontal="center" vertical="center" wrapText="1"/>
      <protection locked="0"/>
    </xf>
    <xf numFmtId="37" fontId="0" fillId="0" borderId="0" xfId="0"/>
    <xf numFmtId="37" fontId="6" fillId="16" borderId="156" xfId="0" applyFont="1" applyFill="1" applyBorder="1" applyAlignment="1" applyProtection="1">
      <alignment horizontal="center" vertical="center" wrapText="1"/>
      <protection locked="0"/>
    </xf>
    <xf numFmtId="37" fontId="6" fillId="16" borderId="210" xfId="0" applyFont="1" applyFill="1" applyBorder="1" applyAlignment="1" applyProtection="1">
      <alignment horizontal="center" vertical="center" wrapText="1"/>
      <protection locked="0"/>
    </xf>
    <xf numFmtId="37" fontId="0" fillId="16" borderId="74" xfId="0" applyFill="1" applyBorder="1" applyAlignment="1" applyProtection="1">
      <alignment horizontal="center" vertical="center"/>
      <protection locked="0"/>
    </xf>
    <xf numFmtId="37" fontId="0" fillId="16" borderId="62" xfId="0" applyFill="1" applyBorder="1" applyAlignment="1" applyProtection="1">
      <alignment horizontal="center" vertical="center"/>
      <protection locked="0"/>
    </xf>
    <xf numFmtId="37" fontId="0" fillId="16" borderId="83" xfId="0" applyFill="1" applyBorder="1" applyAlignment="1" applyProtection="1">
      <alignment horizontal="center" vertical="center" wrapText="1"/>
      <protection locked="0"/>
    </xf>
    <xf numFmtId="37" fontId="6" fillId="16" borderId="84" xfId="0" applyFont="1" applyFill="1" applyBorder="1" applyAlignment="1" applyProtection="1">
      <alignment vertical="center" wrapText="1"/>
      <protection locked="0"/>
    </xf>
    <xf numFmtId="37" fontId="6" fillId="16" borderId="85" xfId="0" applyFont="1" applyFill="1" applyBorder="1" applyAlignment="1" applyProtection="1">
      <alignment vertical="center" wrapText="1"/>
      <protection locked="0"/>
    </xf>
    <xf numFmtId="37" fontId="0" fillId="16" borderId="243" xfId="0" applyFill="1" applyBorder="1" applyAlignment="1" applyProtection="1">
      <alignment vertical="top"/>
      <protection locked="0"/>
    </xf>
    <xf numFmtId="37" fontId="0" fillId="16" borderId="217" xfId="0" applyFill="1" applyBorder="1" applyAlignment="1" applyProtection="1">
      <alignment vertical="top"/>
      <protection locked="0"/>
    </xf>
    <xf numFmtId="37" fontId="0" fillId="16" borderId="242" xfId="0" applyFill="1" applyBorder="1" applyAlignment="1" applyProtection="1">
      <alignment vertical="top"/>
      <protection locked="0"/>
    </xf>
    <xf numFmtId="37" fontId="0" fillId="16" borderId="294" xfId="0" applyFill="1" applyBorder="1" applyAlignment="1" applyProtection="1">
      <alignment vertical="top"/>
      <protection locked="0"/>
    </xf>
    <xf numFmtId="37" fontId="0" fillId="16" borderId="0" xfId="0" applyFill="1" applyAlignment="1" applyProtection="1">
      <alignment vertical="top"/>
      <protection locked="0"/>
    </xf>
    <xf numFmtId="37" fontId="0" fillId="16" borderId="53" xfId="0" applyFill="1" applyBorder="1" applyAlignment="1" applyProtection="1">
      <alignment vertical="top"/>
      <protection locked="0"/>
    </xf>
    <xf numFmtId="37" fontId="0" fillId="16" borderId="186" xfId="0" applyFill="1" applyBorder="1" applyAlignment="1" applyProtection="1">
      <alignment vertical="top"/>
      <protection locked="0"/>
    </xf>
    <xf numFmtId="37" fontId="0" fillId="16" borderId="290" xfId="0" applyFill="1" applyBorder="1" applyAlignment="1" applyProtection="1">
      <alignment vertical="top"/>
      <protection locked="0"/>
    </xf>
    <xf numFmtId="37" fontId="0" fillId="16" borderId="216" xfId="0" applyFill="1" applyBorder="1" applyAlignment="1" applyProtection="1">
      <alignment vertical="top"/>
      <protection locked="0"/>
    </xf>
    <xf numFmtId="37" fontId="14" fillId="0" borderId="35" xfId="0" applyFont="1" applyBorder="1" applyAlignment="1" applyProtection="1">
      <alignment horizontal="center" vertical="center" wrapText="1"/>
      <protection locked="0"/>
    </xf>
    <xf numFmtId="37" fontId="0" fillId="0" borderId="35" xfId="0" applyBorder="1" applyAlignment="1" applyProtection="1">
      <alignment horizontal="center" vertical="center" wrapText="1"/>
      <protection locked="0"/>
    </xf>
    <xf numFmtId="37" fontId="0" fillId="0" borderId="80" xfId="0" applyBorder="1" applyAlignment="1" applyProtection="1">
      <alignment horizontal="center" vertical="center" wrapText="1"/>
      <protection locked="0"/>
    </xf>
    <xf numFmtId="37" fontId="0" fillId="0" borderId="0" xfId="0" applyAlignment="1">
      <alignment horizontal="left" indent="1"/>
    </xf>
    <xf numFmtId="37" fontId="0" fillId="0" borderId="0" xfId="0" applyAlignment="1">
      <alignment horizontal="right" vertical="center" wrapText="1" indent="1"/>
    </xf>
    <xf numFmtId="37" fontId="0" fillId="0" borderId="0" xfId="0" applyAlignment="1">
      <alignment horizontal="right" vertical="center" indent="1"/>
    </xf>
    <xf numFmtId="37" fontId="10" fillId="0" borderId="0" xfId="0" applyFont="1" applyAlignment="1" applyProtection="1">
      <alignment horizontal="right" wrapText="1"/>
      <protection locked="0"/>
    </xf>
    <xf numFmtId="37" fontId="10" fillId="0" borderId="53" xfId="0" applyFont="1" applyBorder="1" applyAlignment="1" applyProtection="1">
      <alignment horizontal="right" wrapText="1"/>
      <protection locked="0"/>
    </xf>
    <xf numFmtId="37" fontId="0" fillId="16" borderId="36" xfId="0" quotePrefix="1" applyFill="1" applyBorder="1" applyAlignment="1" applyProtection="1">
      <alignment horizontal="center" vertical="center" wrapText="1"/>
      <protection locked="0"/>
    </xf>
    <xf numFmtId="37" fontId="0" fillId="16" borderId="1" xfId="0" applyFill="1" applyBorder="1" applyAlignment="1" applyProtection="1">
      <alignment horizontal="center" vertical="center" wrapText="1"/>
      <protection locked="0"/>
    </xf>
    <xf numFmtId="37" fontId="0" fillId="0" borderId="62" xfId="0" applyBorder="1" applyAlignment="1" applyProtection="1">
      <alignment vertical="center"/>
      <protection locked="0"/>
    </xf>
    <xf numFmtId="37" fontId="0" fillId="16" borderId="92" xfId="0" applyFill="1" applyBorder="1" applyAlignment="1" applyProtection="1">
      <alignment horizontal="left" vertical="center" wrapText="1" indent="1"/>
      <protection locked="0"/>
    </xf>
    <xf numFmtId="37" fontId="0" fillId="16" borderId="43" xfId="0" applyFill="1" applyBorder="1" applyAlignment="1" applyProtection="1">
      <alignment horizontal="left" vertical="center" wrapText="1" indent="1"/>
      <protection locked="0"/>
    </xf>
    <xf numFmtId="37" fontId="0" fillId="16" borderId="0" xfId="0" applyFill="1" applyAlignment="1" applyProtection="1">
      <alignment horizontal="left" vertical="center" wrapText="1" indent="1"/>
      <protection locked="0"/>
    </xf>
    <xf numFmtId="37" fontId="0" fillId="16" borderId="53" xfId="0" applyFill="1" applyBorder="1" applyAlignment="1" applyProtection="1">
      <alignment horizontal="left" vertical="center" wrapText="1" indent="1"/>
      <protection locked="0"/>
    </xf>
    <xf numFmtId="37" fontId="0" fillId="0" borderId="43" xfId="0" applyBorder="1" applyAlignment="1" applyProtection="1">
      <alignment horizontal="left" vertical="center" indent="1"/>
      <protection locked="0"/>
    </xf>
    <xf numFmtId="37" fontId="0" fillId="0" borderId="0" xfId="0" applyAlignment="1" applyProtection="1">
      <alignment horizontal="left" vertical="center" indent="1"/>
      <protection locked="0"/>
    </xf>
    <xf numFmtId="37" fontId="0" fillId="0" borderId="53" xfId="0" applyBorder="1" applyAlignment="1" applyProtection="1">
      <alignment horizontal="left" vertical="center" indent="1"/>
      <protection locked="0"/>
    </xf>
    <xf numFmtId="37" fontId="0" fillId="0" borderId="76" xfId="0" applyBorder="1" applyAlignment="1" applyProtection="1">
      <alignment horizontal="left" vertical="center" indent="1"/>
      <protection locked="0"/>
    </xf>
    <xf numFmtId="37" fontId="0" fillId="0" borderId="63" xfId="0" applyBorder="1" applyAlignment="1" applyProtection="1">
      <alignment horizontal="left" vertical="center" indent="1"/>
      <protection locked="0"/>
    </xf>
    <xf numFmtId="37" fontId="0" fillId="0" borderId="65" xfId="0" applyBorder="1" applyAlignment="1" applyProtection="1">
      <alignment horizontal="left" vertical="center" indent="1"/>
      <protection locked="0"/>
    </xf>
    <xf numFmtId="37" fontId="5" fillId="0" borderId="90" xfId="0" applyFont="1" applyBorder="1" applyAlignment="1">
      <alignment horizontal="center" wrapText="1"/>
    </xf>
    <xf numFmtId="37" fontId="5" fillId="0" borderId="66" xfId="0" applyFont="1" applyBorder="1" applyAlignment="1">
      <alignment horizontal="center" wrapText="1"/>
    </xf>
    <xf numFmtId="37" fontId="5" fillId="0" borderId="5" xfId="0" applyFont="1" applyBorder="1" applyAlignment="1">
      <alignment horizontal="center" wrapText="1"/>
    </xf>
    <xf numFmtId="37" fontId="0" fillId="16" borderId="77" xfId="0" applyFill="1" applyBorder="1" applyAlignment="1" applyProtection="1">
      <alignment horizontal="left" vertical="top" wrapText="1" indent="1"/>
      <protection locked="0"/>
    </xf>
    <xf numFmtId="37" fontId="0" fillId="16" borderId="35" xfId="0" applyFill="1" applyBorder="1" applyAlignment="1" applyProtection="1">
      <alignment horizontal="left" vertical="top" wrapText="1" indent="1"/>
      <protection locked="0"/>
    </xf>
    <xf numFmtId="37" fontId="0" fillId="16" borderId="92" xfId="0" applyFill="1" applyBorder="1" applyAlignment="1" applyProtection="1">
      <alignment horizontal="left" vertical="top" wrapText="1" indent="1"/>
      <protection locked="0"/>
    </xf>
    <xf numFmtId="37" fontId="0" fillId="16" borderId="43" xfId="0" applyFill="1" applyBorder="1" applyAlignment="1" applyProtection="1">
      <alignment horizontal="left" vertical="top" indent="1"/>
      <protection locked="0"/>
    </xf>
    <xf numFmtId="37" fontId="0" fillId="16" borderId="0" xfId="0" applyFill="1" applyAlignment="1" applyProtection="1">
      <alignment horizontal="left" vertical="top" indent="1"/>
      <protection locked="0"/>
    </xf>
    <xf numFmtId="37" fontId="0" fillId="16" borderId="53" xfId="0" applyFill="1" applyBorder="1" applyAlignment="1" applyProtection="1">
      <alignment horizontal="left" vertical="top" indent="1"/>
      <protection locked="0"/>
    </xf>
    <xf numFmtId="37" fontId="0" fillId="16" borderId="76" xfId="0" applyFill="1" applyBorder="1" applyAlignment="1" applyProtection="1">
      <alignment horizontal="left" vertical="top" indent="1"/>
      <protection locked="0"/>
    </xf>
    <xf numFmtId="37" fontId="0" fillId="16" borderId="63" xfId="0" applyFill="1" applyBorder="1" applyAlignment="1" applyProtection="1">
      <alignment horizontal="left" vertical="top" indent="1"/>
      <protection locked="0"/>
    </xf>
    <xf numFmtId="37" fontId="0" fillId="16" borderId="65" xfId="0" applyFill="1" applyBorder="1" applyAlignment="1" applyProtection="1">
      <alignment horizontal="left" vertical="top" indent="1"/>
      <protection locked="0"/>
    </xf>
    <xf numFmtId="37" fontId="10" fillId="0" borderId="203" xfId="0" applyFont="1" applyBorder="1" applyAlignment="1" applyProtection="1">
      <alignment horizontal="left" vertical="center" wrapText="1" indent="1"/>
      <protection locked="0"/>
    </xf>
    <xf numFmtId="37" fontId="0" fillId="0" borderId="195" xfId="0" applyBorder="1" applyAlignment="1" applyProtection="1">
      <alignment horizontal="left" vertical="center" indent="1"/>
      <protection locked="0"/>
    </xf>
    <xf numFmtId="37" fontId="0" fillId="0" borderId="196" xfId="0" applyBorder="1" applyAlignment="1" applyProtection="1">
      <alignment horizontal="left" vertical="center" indent="1"/>
      <protection locked="0"/>
    </xf>
    <xf numFmtId="37" fontId="10" fillId="0" borderId="194" xfId="0" applyFont="1" applyBorder="1" applyAlignment="1" applyProtection="1">
      <alignment horizontal="left" wrapText="1" indent="1"/>
      <protection locked="0"/>
    </xf>
    <xf numFmtId="37" fontId="10" fillId="0" borderId="195" xfId="0" applyFont="1" applyBorder="1" applyAlignment="1" applyProtection="1">
      <alignment horizontal="left" wrapText="1" indent="1"/>
      <protection locked="0"/>
    </xf>
    <xf numFmtId="37" fontId="10" fillId="0" borderId="196" xfId="0" applyFont="1" applyBorder="1" applyAlignment="1" applyProtection="1">
      <alignment horizontal="left" wrapText="1" indent="1"/>
      <protection locked="0"/>
    </xf>
    <xf numFmtId="37" fontId="0" fillId="0" borderId="195" xfId="0" applyBorder="1" applyAlignment="1" applyProtection="1">
      <alignment horizontal="left" indent="1"/>
      <protection locked="0"/>
    </xf>
    <xf numFmtId="37" fontId="0" fillId="0" borderId="196" xfId="0" applyBorder="1" applyAlignment="1" applyProtection="1">
      <alignment horizontal="left" indent="1"/>
      <protection locked="0"/>
    </xf>
    <xf numFmtId="37" fontId="10" fillId="0" borderId="293" xfId="0" applyFont="1" applyBorder="1" applyAlignment="1" applyProtection="1">
      <alignment horizontal="center" vertical="center" wrapText="1"/>
      <protection locked="0"/>
    </xf>
    <xf numFmtId="37" fontId="0" fillId="0" borderId="291" xfId="0" applyBorder="1" applyAlignment="1">
      <alignment horizontal="center" vertical="center" wrapText="1"/>
    </xf>
    <xf numFmtId="9" fontId="34" fillId="21" borderId="113" xfId="2" applyFont="1" applyFill="1" applyBorder="1" applyAlignment="1" applyProtection="1">
      <alignment horizontal="right" indent="1"/>
    </xf>
    <xf numFmtId="9" fontId="34" fillId="21" borderId="111" xfId="2" applyFont="1" applyFill="1" applyBorder="1" applyAlignment="1" applyProtection="1">
      <alignment horizontal="right" indent="1"/>
    </xf>
    <xf numFmtId="9" fontId="34" fillId="21" borderId="112" xfId="2" applyFont="1" applyFill="1" applyBorder="1" applyAlignment="1" applyProtection="1">
      <alignment horizontal="right" indent="1"/>
    </xf>
    <xf numFmtId="37" fontId="10" fillId="0" borderId="287" xfId="0" applyFont="1" applyBorder="1" applyAlignment="1" applyProtection="1">
      <alignment horizontal="center"/>
      <protection locked="0"/>
    </xf>
    <xf numFmtId="37" fontId="40" fillId="0" borderId="292" xfId="0" applyFont="1" applyBorder="1" applyAlignment="1" applyProtection="1">
      <alignment horizontal="center"/>
      <protection locked="0"/>
    </xf>
    <xf numFmtId="165" fontId="0" fillId="9" borderId="113" xfId="0" applyNumberFormat="1" applyFill="1" applyBorder="1" applyProtection="1">
      <protection locked="0"/>
    </xf>
    <xf numFmtId="165" fontId="0" fillId="9" borderId="111" xfId="0" applyNumberFormat="1" applyFill="1" applyBorder="1" applyProtection="1">
      <protection locked="0"/>
    </xf>
    <xf numFmtId="37" fontId="10" fillId="0" borderId="293" xfId="0" applyFont="1" applyBorder="1" applyAlignment="1" applyProtection="1">
      <alignment horizontal="center" vertical="center"/>
      <protection locked="0"/>
    </xf>
    <xf numFmtId="37" fontId="24" fillId="0" borderId="53" xfId="0" applyFont="1" applyBorder="1" applyAlignment="1" applyProtection="1">
      <alignment horizontal="center" vertical="center"/>
      <protection locked="0"/>
    </xf>
    <xf numFmtId="37" fontId="10" fillId="28" borderId="213" xfId="0" applyFont="1" applyFill="1" applyBorder="1" applyAlignment="1">
      <alignment horizontal="center"/>
    </xf>
    <xf numFmtId="37" fontId="0" fillId="28" borderId="26" xfId="0" applyFill="1" applyBorder="1" applyAlignment="1">
      <alignment horizontal="center"/>
    </xf>
    <xf numFmtId="37" fontId="25" fillId="0" borderId="6" xfId="0" applyFont="1" applyBorder="1" applyAlignment="1">
      <alignment horizontal="center"/>
    </xf>
    <xf numFmtId="37" fontId="25" fillId="0" borderId="8" xfId="0" applyFont="1" applyBorder="1" applyAlignment="1">
      <alignment horizontal="center"/>
    </xf>
    <xf numFmtId="37" fontId="85" fillId="16" borderId="197" xfId="0" applyFont="1" applyFill="1" applyBorder="1" applyAlignment="1" applyProtection="1">
      <alignment horizontal="left"/>
      <protection locked="0"/>
    </xf>
    <xf numFmtId="37" fontId="100" fillId="16" borderId="197" xfId="0" applyFont="1" applyFill="1" applyBorder="1" applyAlignment="1" applyProtection="1">
      <alignment horizontal="left"/>
      <protection locked="0"/>
    </xf>
    <xf numFmtId="37" fontId="98" fillId="13" borderId="197" xfId="0" applyFont="1" applyFill="1" applyBorder="1" applyAlignment="1">
      <alignment horizontal="left"/>
    </xf>
    <xf numFmtId="37" fontId="98" fillId="0" borderId="235" xfId="0" applyFont="1" applyBorder="1" applyAlignment="1">
      <alignment horizontal="left"/>
    </xf>
    <xf numFmtId="37" fontId="98" fillId="0" borderId="234" xfId="0" applyFont="1" applyBorder="1" applyAlignment="1">
      <alignment horizontal="left"/>
    </xf>
    <xf numFmtId="37" fontId="98" fillId="0" borderId="236" xfId="0" applyFont="1" applyBorder="1" applyAlignment="1">
      <alignment horizontal="left"/>
    </xf>
    <xf numFmtId="37" fontId="97" fillId="16" borderId="197" xfId="0" applyFont="1" applyFill="1" applyBorder="1" applyAlignment="1" applyProtection="1">
      <alignment horizontal="left"/>
      <protection locked="0"/>
    </xf>
    <xf numFmtId="37" fontId="98" fillId="0" borderId="197" xfId="0" applyFont="1" applyBorder="1" applyAlignment="1">
      <alignment horizontal="left"/>
    </xf>
    <xf numFmtId="37" fontId="100" fillId="16" borderId="287" xfId="0" applyFont="1" applyFill="1" applyBorder="1" applyAlignment="1" applyProtection="1">
      <alignment horizontal="left"/>
      <protection locked="0"/>
    </xf>
    <xf numFmtId="37" fontId="100" fillId="16" borderId="296" xfId="0" applyFont="1" applyFill="1" applyBorder="1" applyAlignment="1" applyProtection="1">
      <alignment horizontal="left"/>
      <protection locked="0"/>
    </xf>
    <xf numFmtId="37" fontId="100" fillId="16" borderId="292" xfId="0" applyFont="1" applyFill="1" applyBorder="1" applyAlignment="1" applyProtection="1">
      <alignment horizontal="left"/>
      <protection locked="0"/>
    </xf>
    <xf numFmtId="37" fontId="97" fillId="13" borderId="197" xfId="0" applyFont="1" applyFill="1" applyBorder="1" applyAlignment="1">
      <alignment horizontal="left"/>
    </xf>
    <xf numFmtId="37" fontId="85" fillId="16" borderId="237" xfId="0" applyFont="1" applyFill="1" applyBorder="1" applyAlignment="1" applyProtection="1">
      <alignment horizontal="left"/>
      <protection locked="0"/>
    </xf>
    <xf numFmtId="37" fontId="98" fillId="13" borderId="235" xfId="0" applyFont="1" applyFill="1" applyBorder="1" applyAlignment="1">
      <alignment horizontal="left"/>
    </xf>
    <xf numFmtId="37" fontId="98" fillId="13" borderId="234" xfId="0" applyFont="1" applyFill="1" applyBorder="1" applyAlignment="1">
      <alignment horizontal="left"/>
    </xf>
    <xf numFmtId="37" fontId="98" fillId="13" borderId="236" xfId="0" applyFont="1" applyFill="1" applyBorder="1" applyAlignment="1">
      <alignment horizontal="left"/>
    </xf>
    <xf numFmtId="37" fontId="100" fillId="0" borderId="197" xfId="0" applyFont="1" applyBorder="1" applyAlignment="1">
      <alignment horizontal="left"/>
    </xf>
    <xf numFmtId="37" fontId="12" fillId="13" borderId="252" xfId="4" applyFont="1" applyFill="1" applyBorder="1" applyAlignment="1">
      <alignment horizontal="left" vertical="center" wrapText="1"/>
    </xf>
    <xf numFmtId="14" fontId="10" fillId="16" borderId="145" xfId="0" applyNumberFormat="1" applyFont="1" applyFill="1" applyBorder="1" applyAlignment="1" applyProtection="1">
      <alignment horizontal="center"/>
      <protection locked="0"/>
    </xf>
    <xf numFmtId="37" fontId="0" fillId="16" borderId="146" xfId="0" applyFill="1" applyBorder="1" applyProtection="1">
      <protection locked="0"/>
    </xf>
    <xf numFmtId="189" fontId="7" fillId="13" borderId="153" xfId="1" applyNumberFormat="1" applyFont="1" applyFill="1" applyBorder="1" applyAlignment="1" applyProtection="1"/>
    <xf numFmtId="189" fontId="7" fillId="13" borderId="76" xfId="1" applyNumberFormat="1" applyFont="1" applyFill="1" applyBorder="1" applyAlignment="1" applyProtection="1"/>
    <xf numFmtId="37" fontId="17" fillId="13" borderId="154" xfId="0" applyFont="1" applyFill="1" applyBorder="1" applyAlignment="1">
      <alignment horizontal="center" wrapText="1"/>
    </xf>
    <xf numFmtId="37" fontId="0" fillId="0" borderId="65" xfId="0" applyBorder="1" applyAlignment="1">
      <alignment horizontal="center" wrapText="1"/>
    </xf>
    <xf numFmtId="9" fontId="0" fillId="16" borderId="152" xfId="2" applyFont="1" applyFill="1" applyBorder="1" applyAlignment="1" applyProtection="1">
      <alignment horizontal="right" vertical="center"/>
      <protection locked="0"/>
    </xf>
    <xf numFmtId="9" fontId="0" fillId="16" borderId="64" xfId="2" applyFont="1" applyFill="1" applyBorder="1" applyAlignment="1" applyProtection="1">
      <alignment horizontal="right" vertical="center"/>
      <protection locked="0"/>
    </xf>
    <xf numFmtId="178" fontId="0" fillId="12" borderId="183" xfId="0" applyNumberFormat="1" applyFill="1" applyBorder="1" applyAlignment="1">
      <alignment horizontal="left" indent="1"/>
    </xf>
    <xf numFmtId="37" fontId="0" fillId="12" borderId="215" xfId="0" applyFill="1" applyBorder="1" applyAlignment="1">
      <alignment horizontal="left" indent="1"/>
    </xf>
    <xf numFmtId="37" fontId="5" fillId="0" borderId="0" xfId="0" applyFont="1" applyAlignment="1" applyProtection="1">
      <alignment horizontal="left" vertical="top" wrapText="1"/>
      <protection locked="0"/>
    </xf>
    <xf numFmtId="37" fontId="0" fillId="16" borderId="83" xfId="0" applyFill="1" applyBorder="1" applyAlignment="1" applyProtection="1">
      <alignment horizontal="left" indent="1"/>
      <protection locked="0"/>
    </xf>
    <xf numFmtId="37" fontId="0" fillId="16" borderId="160" xfId="0" applyFill="1" applyBorder="1" applyAlignment="1" applyProtection="1">
      <alignment horizontal="left" indent="1"/>
      <protection locked="0"/>
    </xf>
    <xf numFmtId="37" fontId="0" fillId="16" borderId="146" xfId="0" applyFill="1" applyBorder="1" applyAlignment="1" applyProtection="1">
      <alignment horizontal="left" indent="1"/>
      <protection locked="0"/>
    </xf>
    <xf numFmtId="37" fontId="9" fillId="0" borderId="0" xfId="0" applyFont="1" applyAlignment="1" applyProtection="1">
      <alignment horizontal="left" indent="1"/>
      <protection locked="0"/>
    </xf>
    <xf numFmtId="37" fontId="131" fillId="0" borderId="0" xfId="0" applyFont="1" applyAlignment="1" applyProtection="1">
      <alignment horizontal="left" indent="1"/>
      <protection locked="0"/>
    </xf>
    <xf numFmtId="37" fontId="78" fillId="0" borderId="0" xfId="0" applyFont="1" applyAlignment="1">
      <alignment wrapText="1"/>
    </xf>
    <xf numFmtId="37" fontId="34" fillId="0" borderId="0" xfId="0" applyFont="1" applyAlignment="1">
      <alignment wrapText="1"/>
    </xf>
    <xf numFmtId="9" fontId="0" fillId="0" borderId="0" xfId="0" applyNumberFormat="1" applyAlignment="1" applyProtection="1">
      <alignment horizontal="left" vertical="center" wrapText="1" indent="1"/>
      <protection locked="0"/>
    </xf>
    <xf numFmtId="9" fontId="10" fillId="0" borderId="0" xfId="0" applyNumberFormat="1" applyFont="1" applyAlignment="1" applyProtection="1">
      <alignment horizontal="left" vertical="center" wrapText="1" indent="1"/>
      <protection locked="0"/>
    </xf>
    <xf numFmtId="37" fontId="30" fillId="16" borderId="44" xfId="0" quotePrefix="1" applyFont="1" applyFill="1" applyBorder="1" applyAlignment="1" applyProtection="1">
      <alignment horizontal="center"/>
      <protection locked="0"/>
    </xf>
    <xf numFmtId="37" fontId="30" fillId="16" borderId="45" xfId="0" applyFont="1" applyFill="1" applyBorder="1" applyAlignment="1" applyProtection="1">
      <alignment horizontal="center"/>
      <protection locked="0"/>
    </xf>
    <xf numFmtId="37" fontId="10" fillId="11" borderId="204" xfId="0" applyFont="1" applyFill="1" applyBorder="1" applyAlignment="1" applyProtection="1">
      <alignment horizontal="center" wrapText="1"/>
      <protection locked="0"/>
    </xf>
    <xf numFmtId="37" fontId="10" fillId="11" borderId="54" xfId="0" applyFont="1" applyFill="1" applyBorder="1" applyAlignment="1" applyProtection="1">
      <alignment horizontal="center" wrapText="1"/>
      <protection locked="0"/>
    </xf>
    <xf numFmtId="37" fontId="30" fillId="16" borderId="45" xfId="0" quotePrefix="1" applyFont="1" applyFill="1" applyBorder="1" applyAlignment="1" applyProtection="1">
      <alignment horizontal="center"/>
      <protection locked="0"/>
    </xf>
    <xf numFmtId="37" fontId="30" fillId="17" borderId="213" xfId="0" applyFont="1" applyFill="1" applyBorder="1" applyAlignment="1">
      <alignment horizontal="center" vertical="center" wrapText="1"/>
    </xf>
    <xf numFmtId="37" fontId="0" fillId="0" borderId="26" xfId="0" applyBorder="1" applyAlignment="1">
      <alignment horizontal="center" vertical="center" wrapText="1"/>
    </xf>
    <xf numFmtId="37" fontId="0" fillId="17" borderId="254" xfId="0" quotePrefix="1" applyFill="1" applyBorder="1" applyAlignment="1">
      <alignment horizontal="center" vertical="center" wrapText="1"/>
    </xf>
    <xf numFmtId="37" fontId="0" fillId="0" borderId="260" xfId="0" applyBorder="1"/>
    <xf numFmtId="37" fontId="0" fillId="0" borderId="9" xfId="0" applyBorder="1"/>
    <xf numFmtId="37" fontId="0" fillId="0" borderId="29" xfId="0" applyBorder="1"/>
    <xf numFmtId="37" fontId="0" fillId="0" borderId="40" xfId="0" applyBorder="1"/>
    <xf numFmtId="37" fontId="0" fillId="0" borderId="24" xfId="0" applyBorder="1"/>
    <xf numFmtId="37" fontId="39" fillId="0" borderId="33" xfId="0" applyFont="1" applyBorder="1" applyAlignment="1" applyProtection="1">
      <alignment horizontal="left" wrapText="1"/>
      <protection locked="0"/>
    </xf>
    <xf numFmtId="37" fontId="39" fillId="0" borderId="0" xfId="0" applyFont="1" applyAlignment="1" applyProtection="1">
      <alignment horizontal="left" wrapText="1"/>
      <protection locked="0"/>
    </xf>
    <xf numFmtId="37" fontId="38" fillId="11" borderId="0" xfId="0" applyFont="1" applyFill="1" applyAlignment="1" applyProtection="1">
      <alignment horizontal="right" indent="1"/>
      <protection locked="0"/>
    </xf>
    <xf numFmtId="37" fontId="36" fillId="0" borderId="0" xfId="0" applyFont="1" applyAlignment="1" applyProtection="1">
      <alignment horizontal="left" vertical="center" wrapText="1" indent="1"/>
      <protection locked="0"/>
    </xf>
    <xf numFmtId="37" fontId="88" fillId="0" borderId="0" xfId="0" applyFont="1" applyAlignment="1">
      <alignment horizontal="left"/>
    </xf>
    <xf numFmtId="37" fontId="130" fillId="25" borderId="226" xfId="0" applyFont="1" applyFill="1" applyBorder="1" applyAlignment="1">
      <alignment horizontal="left" indent="1"/>
    </xf>
    <xf numFmtId="37" fontId="130" fillId="25" borderId="12" xfId="0" applyFont="1" applyFill="1" applyBorder="1" applyAlignment="1">
      <alignment horizontal="left" indent="1"/>
    </xf>
  </cellXfs>
  <cellStyles count="14">
    <cellStyle name="Comma" xfId="7" builtinId="3"/>
    <cellStyle name="Comma 17" xfId="10" xr:uid="{BD7110B3-27C1-4E1A-9631-D6062A50777A}"/>
    <cellStyle name="Comma_proformagolf-guilford0502postclosing" xfId="11" xr:uid="{09B337EF-E47F-4505-8F15-B042BE731819}"/>
    <cellStyle name="Currency" xfId="1" builtinId="4"/>
    <cellStyle name="Currency 2" xfId="5" xr:uid="{00000000-0005-0000-0000-000002000000}"/>
    <cellStyle name="Hyperlink" xfId="8" builtinId="8"/>
    <cellStyle name="Normal" xfId="0" builtinId="0"/>
    <cellStyle name="Normal 2" xfId="4" xr:uid="{00000000-0005-0000-0000-000005000000}"/>
    <cellStyle name="Normal 3" xfId="3" xr:uid="{00000000-0005-0000-0000-000006000000}"/>
    <cellStyle name="Normal 3 2" xfId="9" xr:uid="{4FDA1401-814C-41BD-A045-D1EA18709FC0}"/>
    <cellStyle name="Normal 3 3 2" xfId="12" xr:uid="{0ABAD029-2701-456B-B17C-3CBC5A37D6A1}"/>
    <cellStyle name="Normal 3_RHF Surplus Cash Model_040713" xfId="13" xr:uid="{B8F2EDC0-7314-46A3-B9C3-BA91C6653966}"/>
    <cellStyle name="Percent" xfId="2" builtinId="5"/>
    <cellStyle name="Percent 2" xfId="6" xr:uid="{00000000-0005-0000-0000-000008000000}"/>
  </cellStyles>
  <dxfs count="5">
    <dxf>
      <font>
        <condense val="0"/>
        <extend val="0"/>
        <color auto="1"/>
      </font>
      <fill>
        <patternFill>
          <bgColor indexed="9"/>
        </patternFill>
      </fill>
    </dxf>
    <dxf>
      <font>
        <condense val="0"/>
        <extend val="0"/>
        <color auto="1"/>
      </font>
      <fill>
        <patternFill>
          <bgColor indexed="9"/>
        </patternFill>
      </fill>
      <border>
        <right style="dotted">
          <color indexed="64"/>
        </right>
      </border>
    </dxf>
    <dxf>
      <fill>
        <patternFill>
          <bgColor theme="3" tint="0.79998168889431442"/>
        </patternFill>
      </fill>
    </dxf>
    <dxf>
      <fill>
        <patternFill>
          <bgColor theme="6" tint="0.79998168889431442"/>
        </patternFill>
      </fill>
    </dxf>
    <dxf>
      <fill>
        <patternFill>
          <bgColor theme="6" tint="0.5999633777886288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0000FF"/>
      <color rgb="FF00FF00"/>
      <color rgb="FF9900FF"/>
      <color rgb="FFFFFF99"/>
      <color rgb="FF9933FF"/>
      <color rgb="FFFF33CC"/>
      <color rgb="FF000099"/>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36512</xdr:colOff>
      <xdr:row>1</xdr:row>
      <xdr:rowOff>73923</xdr:rowOff>
    </xdr:from>
    <xdr:to>
      <xdr:col>3</xdr:col>
      <xdr:colOff>228600</xdr:colOff>
      <xdr:row>2</xdr:row>
      <xdr:rowOff>161693</xdr:rowOff>
    </xdr:to>
    <xdr:pic>
      <xdr:nvPicPr>
        <xdr:cNvPr id="5" name="Picture 4" descr="DoL_secondary_rgb_300ppi">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187" y="245373"/>
          <a:ext cx="1354138" cy="287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4</xdr:row>
      <xdr:rowOff>15241</xdr:rowOff>
    </xdr:from>
    <xdr:to>
      <xdr:col>11</xdr:col>
      <xdr:colOff>323493</xdr:colOff>
      <xdr:row>29</xdr:row>
      <xdr:rowOff>95251</xdr:rowOff>
    </xdr:to>
    <xdr:pic>
      <xdr:nvPicPr>
        <xdr:cNvPr id="19" name="Picture 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
        <a:stretch>
          <a:fillRect/>
        </a:stretch>
      </xdr:blipFill>
      <xdr:spPr>
        <a:xfrm>
          <a:off x="581026" y="186691"/>
          <a:ext cx="6129932" cy="4356734"/>
        </a:xfrm>
        <a:prstGeom prst="rect">
          <a:avLst/>
        </a:prstGeom>
      </xdr:spPr>
    </xdr:pic>
    <xdr:clientData/>
  </xdr:twoCellAnchor>
  <xdr:twoCellAnchor editAs="oneCell">
    <xdr:from>
      <xdr:col>0</xdr:col>
      <xdr:colOff>432434</xdr:colOff>
      <xdr:row>27</xdr:row>
      <xdr:rowOff>153420</xdr:rowOff>
    </xdr:from>
    <xdr:to>
      <xdr:col>11</xdr:col>
      <xdr:colOff>78560</xdr:colOff>
      <xdr:row>52</xdr:row>
      <xdr:rowOff>135255</xdr:rowOff>
    </xdr:to>
    <xdr:pic>
      <xdr:nvPicPr>
        <xdr:cNvPr id="3" name="Picture 2">
          <a:extLst>
            <a:ext uri="{FF2B5EF4-FFF2-40B4-BE49-F238E27FC236}">
              <a16:creationId xmlns:a16="http://schemas.microsoft.com/office/drawing/2014/main" id="{6F0A0290-AE7A-483D-BD20-8BF57EDC9FB8}"/>
            </a:ext>
          </a:extLst>
        </xdr:cNvPr>
        <xdr:cNvPicPr>
          <a:picLocks noChangeAspect="1"/>
        </xdr:cNvPicPr>
      </xdr:nvPicPr>
      <xdr:blipFill>
        <a:blip xmlns:r="http://schemas.openxmlformats.org/officeDocument/2006/relationships" r:embed="rId2"/>
        <a:stretch>
          <a:fillRect/>
        </a:stretch>
      </xdr:blipFill>
      <xdr:spPr>
        <a:xfrm>
          <a:off x="432434" y="4268220"/>
          <a:ext cx="5892348" cy="4361430"/>
        </a:xfrm>
        <a:prstGeom prst="rect">
          <a:avLst/>
        </a:prstGeom>
      </xdr:spPr>
    </xdr:pic>
    <xdr:clientData/>
  </xdr:twoCellAnchor>
  <xdr:twoCellAnchor editAs="oneCell">
    <xdr:from>
      <xdr:col>11</xdr:col>
      <xdr:colOff>536031</xdr:colOff>
      <xdr:row>4</xdr:row>
      <xdr:rowOff>82550</xdr:rowOff>
    </xdr:from>
    <xdr:to>
      <xdr:col>22</xdr:col>
      <xdr:colOff>270878</xdr:colOff>
      <xdr:row>29</xdr:row>
      <xdr:rowOff>153035</xdr:rowOff>
    </xdr:to>
    <xdr:pic>
      <xdr:nvPicPr>
        <xdr:cNvPr id="4" name="Picture 3">
          <a:extLst>
            <a:ext uri="{FF2B5EF4-FFF2-40B4-BE49-F238E27FC236}">
              <a16:creationId xmlns:a16="http://schemas.microsoft.com/office/drawing/2014/main" id="{0E6E7F7B-BC1A-4AF2-A084-D928C62AFB02}"/>
            </a:ext>
          </a:extLst>
        </xdr:cNvPr>
        <xdr:cNvPicPr>
          <a:picLocks noChangeAspect="1"/>
        </xdr:cNvPicPr>
      </xdr:nvPicPr>
      <xdr:blipFill>
        <a:blip xmlns:r="http://schemas.openxmlformats.org/officeDocument/2006/relationships" r:embed="rId1"/>
        <a:stretch>
          <a:fillRect/>
        </a:stretch>
      </xdr:blipFill>
      <xdr:spPr>
        <a:xfrm>
          <a:off x="6965406" y="824139"/>
          <a:ext cx="6545222" cy="4322717"/>
        </a:xfrm>
        <a:prstGeom prst="rect">
          <a:avLst/>
        </a:prstGeom>
      </xdr:spPr>
    </xdr:pic>
    <xdr:clientData/>
  </xdr:twoCellAnchor>
  <xdr:twoCellAnchor editAs="oneCell">
    <xdr:from>
      <xdr:col>12</xdr:col>
      <xdr:colOff>236855</xdr:colOff>
      <xdr:row>26</xdr:row>
      <xdr:rowOff>132080</xdr:rowOff>
    </xdr:from>
    <xdr:to>
      <xdr:col>22</xdr:col>
      <xdr:colOff>320858</xdr:colOff>
      <xdr:row>51</xdr:row>
      <xdr:rowOff>117725</xdr:rowOff>
    </xdr:to>
    <xdr:pic>
      <xdr:nvPicPr>
        <xdr:cNvPr id="6" name="Picture 5">
          <a:extLst>
            <a:ext uri="{FF2B5EF4-FFF2-40B4-BE49-F238E27FC236}">
              <a16:creationId xmlns:a16="http://schemas.microsoft.com/office/drawing/2014/main" id="{897A93CE-B94E-42BE-A664-61D04CB68231}"/>
            </a:ext>
          </a:extLst>
        </xdr:cNvPr>
        <xdr:cNvPicPr>
          <a:picLocks noChangeAspect="1"/>
        </xdr:cNvPicPr>
      </xdr:nvPicPr>
      <xdr:blipFill>
        <a:blip xmlns:r="http://schemas.openxmlformats.org/officeDocument/2006/relationships" r:embed="rId2"/>
        <a:stretch>
          <a:fillRect/>
        </a:stretch>
      </xdr:blipFill>
      <xdr:spPr>
        <a:xfrm>
          <a:off x="7666355" y="4148455"/>
          <a:ext cx="6263823" cy="4430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18</xdr:col>
      <xdr:colOff>621030</xdr:colOff>
      <xdr:row>152</xdr:row>
      <xdr:rowOff>11430</xdr:rowOff>
    </xdr:from>
    <xdr:ext cx="184731" cy="264560"/>
    <xdr:sp macro="" textlink="">
      <xdr:nvSpPr>
        <xdr:cNvPr id="2" name="TextBox 1">
          <a:extLst>
            <a:ext uri="{FF2B5EF4-FFF2-40B4-BE49-F238E27FC236}">
              <a16:creationId xmlns:a16="http://schemas.microsoft.com/office/drawing/2014/main" id="{0641B490-027A-088B-0D69-052DA1C1C0C4}"/>
            </a:ext>
          </a:extLst>
        </xdr:cNvPr>
        <xdr:cNvSpPr txBox="1"/>
      </xdr:nvSpPr>
      <xdr:spPr>
        <a:xfrm>
          <a:off x="14089380" y="233572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598170</xdr:colOff>
      <xdr:row>66</xdr:row>
      <xdr:rowOff>49530</xdr:rowOff>
    </xdr:from>
    <xdr:ext cx="184731" cy="264560"/>
    <xdr:sp macro="" textlink="">
      <xdr:nvSpPr>
        <xdr:cNvPr id="2" name="TextBox 1">
          <a:extLst>
            <a:ext uri="{FF2B5EF4-FFF2-40B4-BE49-F238E27FC236}">
              <a16:creationId xmlns:a16="http://schemas.microsoft.com/office/drawing/2014/main" id="{95458FEF-D5A7-1449-69CD-722337DF58B3}"/>
            </a:ext>
          </a:extLst>
        </xdr:cNvPr>
        <xdr:cNvSpPr txBox="1"/>
      </xdr:nvSpPr>
      <xdr:spPr>
        <a:xfrm>
          <a:off x="941070" y="103079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persons/person.xml><?xml version="1.0" encoding="utf-8"?>
<personList xmlns="http://schemas.microsoft.com/office/spreadsheetml/2018/threadedcomments" xmlns:x="http://schemas.openxmlformats.org/spreadsheetml/2006/main">
  <person displayName="Steele, Angela" id="{44050861-9499-4B8B-A4C9-6DA8348DB9D5}" userId="S::SteeleA@dhcd.state.md.us::9f04733c-27cc-49cd-b6b2-71fb2e15c16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a:noFill/>
        </a:ln>
        <a:effectLst/>
        <a:extLs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R180" dT="2026-02-24T17:13:10.58" personId="{44050861-9499-4B8B-A4C9-6DA8348DB9D5}" id="{5E39C9AC-77A7-45C7-8258-E8CA1E807A5F}">
    <text>Hard coded to balance</text>
  </threadedComment>
  <threadedComment ref="BA180" dT="2026-02-24T16:52:55.56" personId="{44050861-9499-4B8B-A4C9-6DA8348DB9D5}" id="{3230E2F9-37CC-4D78-A1BF-4C48AD3B153B}">
    <text>Hard coded to balance</text>
  </threadedComment>
  <threadedComment ref="AR191" dT="2026-02-24T17:09:34.43" personId="{44050861-9499-4B8B-A4C9-6DA8348DB9D5}" id="{BE9AC226-3BF5-415F-97AA-FF04ABE40C28}">
    <text>Hard coded to balance</text>
  </threadedComment>
  <threadedComment ref="BA192" dT="2026-02-24T16:56:14.12" personId="{44050861-9499-4B8B-A4C9-6DA8348DB9D5}" id="{467A1A4D-AD57-49BD-8701-AF902F14E5CB}">
    <text>Hard coded to balance</text>
  </threadedComment>
  <threadedComment ref="BA219" dT="2026-02-24T16:55:45.29" personId="{44050861-9499-4B8B-A4C9-6DA8348DB9D5}" id="{9CA5115A-F9D3-4BEB-84AA-ACE40356EE45}">
    <text>Hard coded to balance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73.bin"/><Relationship Id="rId13" Type="http://schemas.openxmlformats.org/officeDocument/2006/relationships/printerSettings" Target="../printerSettings/printerSettings78.bin"/><Relationship Id="rId3" Type="http://schemas.openxmlformats.org/officeDocument/2006/relationships/printerSettings" Target="../printerSettings/printerSettings68.bin"/><Relationship Id="rId7" Type="http://schemas.openxmlformats.org/officeDocument/2006/relationships/printerSettings" Target="../printerSettings/printerSettings72.bin"/><Relationship Id="rId12" Type="http://schemas.openxmlformats.org/officeDocument/2006/relationships/printerSettings" Target="../printerSettings/printerSettings77.bin"/><Relationship Id="rId2" Type="http://schemas.openxmlformats.org/officeDocument/2006/relationships/printerSettings" Target="../printerSettings/printerSettings67.bin"/><Relationship Id="rId16" Type="http://schemas.openxmlformats.org/officeDocument/2006/relationships/drawing" Target="../drawings/drawing3.xml"/><Relationship Id="rId1" Type="http://schemas.openxmlformats.org/officeDocument/2006/relationships/printerSettings" Target="../printerSettings/printerSettings66.bin"/><Relationship Id="rId6" Type="http://schemas.openxmlformats.org/officeDocument/2006/relationships/printerSettings" Target="../printerSettings/printerSettings71.bin"/><Relationship Id="rId11" Type="http://schemas.openxmlformats.org/officeDocument/2006/relationships/printerSettings" Target="../printerSettings/printerSettings76.bin"/><Relationship Id="rId5" Type="http://schemas.openxmlformats.org/officeDocument/2006/relationships/printerSettings" Target="../printerSettings/printerSettings70.bin"/><Relationship Id="rId15" Type="http://schemas.openxmlformats.org/officeDocument/2006/relationships/printerSettings" Target="../printerSettings/printerSettings80.bin"/><Relationship Id="rId10" Type="http://schemas.openxmlformats.org/officeDocument/2006/relationships/printerSettings" Target="../printerSettings/printerSettings75.bin"/><Relationship Id="rId4" Type="http://schemas.openxmlformats.org/officeDocument/2006/relationships/printerSettings" Target="../printerSettings/printerSettings69.bin"/><Relationship Id="rId9" Type="http://schemas.openxmlformats.org/officeDocument/2006/relationships/printerSettings" Target="../printerSettings/printerSettings74.bin"/><Relationship Id="rId14" Type="http://schemas.openxmlformats.org/officeDocument/2006/relationships/printerSettings" Target="../printerSettings/printerSettings79.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88.bin"/><Relationship Id="rId3" Type="http://schemas.openxmlformats.org/officeDocument/2006/relationships/printerSettings" Target="../printerSettings/printerSettings83.bin"/><Relationship Id="rId7" Type="http://schemas.openxmlformats.org/officeDocument/2006/relationships/printerSettings" Target="../printerSettings/printerSettings87.bin"/><Relationship Id="rId12" Type="http://schemas.openxmlformats.org/officeDocument/2006/relationships/printerSettings" Target="../printerSettings/printerSettings92.bin"/><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 Id="rId6" Type="http://schemas.openxmlformats.org/officeDocument/2006/relationships/printerSettings" Target="../printerSettings/printerSettings86.bin"/><Relationship Id="rId11" Type="http://schemas.openxmlformats.org/officeDocument/2006/relationships/printerSettings" Target="../printerSettings/printerSettings91.bin"/><Relationship Id="rId5" Type="http://schemas.openxmlformats.org/officeDocument/2006/relationships/printerSettings" Target="../printerSettings/printerSettings85.bin"/><Relationship Id="rId10" Type="http://schemas.openxmlformats.org/officeDocument/2006/relationships/printerSettings" Target="../printerSettings/printerSettings90.bin"/><Relationship Id="rId4" Type="http://schemas.openxmlformats.org/officeDocument/2006/relationships/printerSettings" Target="../printerSettings/printerSettings84.bin"/><Relationship Id="rId9" Type="http://schemas.openxmlformats.org/officeDocument/2006/relationships/printerSettings" Target="../printerSettings/printerSettings8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3.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01.bin"/><Relationship Id="rId13" Type="http://schemas.openxmlformats.org/officeDocument/2006/relationships/printerSettings" Target="../printerSettings/printerSettings106.bin"/><Relationship Id="rId3" Type="http://schemas.openxmlformats.org/officeDocument/2006/relationships/printerSettings" Target="../printerSettings/printerSettings96.bin"/><Relationship Id="rId7" Type="http://schemas.openxmlformats.org/officeDocument/2006/relationships/printerSettings" Target="../printerSettings/printerSettings100.bin"/><Relationship Id="rId12" Type="http://schemas.openxmlformats.org/officeDocument/2006/relationships/printerSettings" Target="../printerSettings/printerSettings105.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 Id="rId6" Type="http://schemas.openxmlformats.org/officeDocument/2006/relationships/printerSettings" Target="../printerSettings/printerSettings99.bin"/><Relationship Id="rId11" Type="http://schemas.openxmlformats.org/officeDocument/2006/relationships/printerSettings" Target="../printerSettings/printerSettings104.bin"/><Relationship Id="rId5" Type="http://schemas.openxmlformats.org/officeDocument/2006/relationships/printerSettings" Target="../printerSettings/printerSettings98.bin"/><Relationship Id="rId15" Type="http://schemas.openxmlformats.org/officeDocument/2006/relationships/printerSettings" Target="../printerSettings/printerSettings108.bin"/><Relationship Id="rId10" Type="http://schemas.openxmlformats.org/officeDocument/2006/relationships/printerSettings" Target="../printerSettings/printerSettings103.bin"/><Relationship Id="rId4" Type="http://schemas.openxmlformats.org/officeDocument/2006/relationships/printerSettings" Target="../printerSettings/printerSettings97.bin"/><Relationship Id="rId9" Type="http://schemas.openxmlformats.org/officeDocument/2006/relationships/printerSettings" Target="../printerSettings/printerSettings102.bin"/><Relationship Id="rId14" Type="http://schemas.openxmlformats.org/officeDocument/2006/relationships/printerSettings" Target="../printerSettings/printerSettings107.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3" Type="http://schemas.openxmlformats.org/officeDocument/2006/relationships/printerSettings" Target="../printerSettings/printerSettings111.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10" Type="http://schemas.openxmlformats.org/officeDocument/2006/relationships/printerSettings" Target="../printerSettings/printerSettings118.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31.bin"/><Relationship Id="rId13" Type="http://schemas.openxmlformats.org/officeDocument/2006/relationships/printerSettings" Target="../printerSettings/printerSettings136.bin"/><Relationship Id="rId3" Type="http://schemas.openxmlformats.org/officeDocument/2006/relationships/printerSettings" Target="../printerSettings/printerSettings126.bin"/><Relationship Id="rId7" Type="http://schemas.openxmlformats.org/officeDocument/2006/relationships/printerSettings" Target="../printerSettings/printerSettings130.bin"/><Relationship Id="rId12" Type="http://schemas.openxmlformats.org/officeDocument/2006/relationships/printerSettings" Target="../printerSettings/printerSettings135.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 Id="rId6" Type="http://schemas.openxmlformats.org/officeDocument/2006/relationships/printerSettings" Target="../printerSettings/printerSettings129.bin"/><Relationship Id="rId11" Type="http://schemas.openxmlformats.org/officeDocument/2006/relationships/printerSettings" Target="../printerSettings/printerSettings134.bin"/><Relationship Id="rId5" Type="http://schemas.openxmlformats.org/officeDocument/2006/relationships/printerSettings" Target="../printerSettings/printerSettings128.bin"/><Relationship Id="rId15" Type="http://schemas.openxmlformats.org/officeDocument/2006/relationships/printerSettings" Target="../printerSettings/printerSettings138.bin"/><Relationship Id="rId10" Type="http://schemas.openxmlformats.org/officeDocument/2006/relationships/printerSettings" Target="../printerSettings/printerSettings133.bin"/><Relationship Id="rId4" Type="http://schemas.openxmlformats.org/officeDocument/2006/relationships/printerSettings" Target="../printerSettings/printerSettings127.bin"/><Relationship Id="rId9" Type="http://schemas.openxmlformats.org/officeDocument/2006/relationships/printerSettings" Target="../printerSettings/printerSettings132.bin"/><Relationship Id="rId14" Type="http://schemas.openxmlformats.org/officeDocument/2006/relationships/printerSettings" Target="../printerSettings/printerSettings137.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46.bin"/><Relationship Id="rId13" Type="http://schemas.openxmlformats.org/officeDocument/2006/relationships/printerSettings" Target="../printerSettings/printerSettings151.bin"/><Relationship Id="rId3" Type="http://schemas.openxmlformats.org/officeDocument/2006/relationships/printerSettings" Target="../printerSettings/printerSettings141.bin"/><Relationship Id="rId7" Type="http://schemas.openxmlformats.org/officeDocument/2006/relationships/printerSettings" Target="../printerSettings/printerSettings145.bin"/><Relationship Id="rId12" Type="http://schemas.openxmlformats.org/officeDocument/2006/relationships/printerSettings" Target="../printerSettings/printerSettings150.bin"/><Relationship Id="rId2" Type="http://schemas.openxmlformats.org/officeDocument/2006/relationships/printerSettings" Target="../printerSettings/printerSettings140.bin"/><Relationship Id="rId16" Type="http://schemas.openxmlformats.org/officeDocument/2006/relationships/drawing" Target="../drawings/drawing4.xml"/><Relationship Id="rId1" Type="http://schemas.openxmlformats.org/officeDocument/2006/relationships/printerSettings" Target="../printerSettings/printerSettings139.bin"/><Relationship Id="rId6" Type="http://schemas.openxmlformats.org/officeDocument/2006/relationships/printerSettings" Target="../printerSettings/printerSettings144.bin"/><Relationship Id="rId11" Type="http://schemas.openxmlformats.org/officeDocument/2006/relationships/printerSettings" Target="../printerSettings/printerSettings149.bin"/><Relationship Id="rId5" Type="http://schemas.openxmlformats.org/officeDocument/2006/relationships/printerSettings" Target="../printerSettings/printerSettings143.bin"/><Relationship Id="rId15" Type="http://schemas.openxmlformats.org/officeDocument/2006/relationships/printerSettings" Target="../printerSettings/printerSettings153.bin"/><Relationship Id="rId10" Type="http://schemas.openxmlformats.org/officeDocument/2006/relationships/printerSettings" Target="../printerSettings/printerSettings148.bin"/><Relationship Id="rId4" Type="http://schemas.openxmlformats.org/officeDocument/2006/relationships/printerSettings" Target="../printerSettings/printerSettings142.bin"/><Relationship Id="rId9" Type="http://schemas.openxmlformats.org/officeDocument/2006/relationships/printerSettings" Target="../printerSettings/printerSettings147.bin"/><Relationship Id="rId14" Type="http://schemas.openxmlformats.org/officeDocument/2006/relationships/printerSettings" Target="../printerSettings/printerSettings15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0.bin"/><Relationship Id="rId13" Type="http://schemas.openxmlformats.org/officeDocument/2006/relationships/printerSettings" Target="../printerSettings/printerSettings15.bin"/><Relationship Id="rId3" Type="http://schemas.openxmlformats.org/officeDocument/2006/relationships/printerSettings" Target="../printerSettings/printerSettings5.bin"/><Relationship Id="rId7" Type="http://schemas.openxmlformats.org/officeDocument/2006/relationships/printerSettings" Target="../printerSettings/printerSettings9.bin"/><Relationship Id="rId12" Type="http://schemas.openxmlformats.org/officeDocument/2006/relationships/printerSettings" Target="../printerSettings/printerSettings14.bin"/><Relationship Id="rId2" Type="http://schemas.openxmlformats.org/officeDocument/2006/relationships/printerSettings" Target="../printerSettings/printerSettings4.bin"/><Relationship Id="rId16"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printerSettings" Target="../printerSettings/printerSettings8.bin"/><Relationship Id="rId11" Type="http://schemas.openxmlformats.org/officeDocument/2006/relationships/printerSettings" Target="../printerSettings/printerSettings13.bin"/><Relationship Id="rId5" Type="http://schemas.openxmlformats.org/officeDocument/2006/relationships/printerSettings" Target="../printerSettings/printerSettings7.bin"/><Relationship Id="rId15" Type="http://schemas.openxmlformats.org/officeDocument/2006/relationships/printerSettings" Target="../printerSettings/printerSettings17.bin"/><Relationship Id="rId10" Type="http://schemas.openxmlformats.org/officeDocument/2006/relationships/printerSettings" Target="../printerSettings/printerSettings12.bin"/><Relationship Id="rId4" Type="http://schemas.openxmlformats.org/officeDocument/2006/relationships/printerSettings" Target="../printerSettings/printerSettings6.bin"/><Relationship Id="rId9" Type="http://schemas.openxmlformats.org/officeDocument/2006/relationships/printerSettings" Target="../printerSettings/printerSettings11.bin"/><Relationship Id="rId1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27.bin"/><Relationship Id="rId13" Type="http://schemas.openxmlformats.org/officeDocument/2006/relationships/printerSettings" Target="../printerSettings/printerSettings32.bin"/><Relationship Id="rId3" Type="http://schemas.openxmlformats.org/officeDocument/2006/relationships/printerSettings" Target="../printerSettings/printerSettings22.bin"/><Relationship Id="rId7" Type="http://schemas.openxmlformats.org/officeDocument/2006/relationships/printerSettings" Target="../printerSettings/printerSettings26.bin"/><Relationship Id="rId12" Type="http://schemas.openxmlformats.org/officeDocument/2006/relationships/printerSettings" Target="../printerSettings/printerSettings31.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11" Type="http://schemas.openxmlformats.org/officeDocument/2006/relationships/printerSettings" Target="../printerSettings/printerSettings30.bin"/><Relationship Id="rId5" Type="http://schemas.openxmlformats.org/officeDocument/2006/relationships/printerSettings" Target="../printerSettings/printerSettings24.bin"/><Relationship Id="rId15" Type="http://schemas.openxmlformats.org/officeDocument/2006/relationships/printerSettings" Target="../printerSettings/printerSettings34.bin"/><Relationship Id="rId10" Type="http://schemas.openxmlformats.org/officeDocument/2006/relationships/printerSettings" Target="../printerSettings/printerSettings29.bin"/><Relationship Id="rId4" Type="http://schemas.openxmlformats.org/officeDocument/2006/relationships/printerSettings" Target="../printerSettings/printerSettings23.bin"/><Relationship Id="rId9" Type="http://schemas.openxmlformats.org/officeDocument/2006/relationships/printerSettings" Target="../printerSettings/printerSettings28.bin"/><Relationship Id="rId14" Type="http://schemas.openxmlformats.org/officeDocument/2006/relationships/printerSettings" Target="../printerSettings/printerSettings33.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3" Type="http://schemas.openxmlformats.org/officeDocument/2006/relationships/printerSettings" Target="../printerSettings/printerSettings37.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10" Type="http://schemas.openxmlformats.org/officeDocument/2006/relationships/printerSettings" Target="../printerSettings/printerSettings44.bin"/><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58.bin"/><Relationship Id="rId13" Type="http://schemas.openxmlformats.org/officeDocument/2006/relationships/printerSettings" Target="../printerSettings/printerSettings63.bin"/><Relationship Id="rId3" Type="http://schemas.openxmlformats.org/officeDocument/2006/relationships/printerSettings" Target="../printerSettings/printerSettings53.bin"/><Relationship Id="rId7" Type="http://schemas.openxmlformats.org/officeDocument/2006/relationships/printerSettings" Target="../printerSettings/printerSettings57.bin"/><Relationship Id="rId12" Type="http://schemas.openxmlformats.org/officeDocument/2006/relationships/printerSettings" Target="../printerSettings/printerSettings62.bin"/><Relationship Id="rId2" Type="http://schemas.openxmlformats.org/officeDocument/2006/relationships/printerSettings" Target="../printerSettings/printerSettings52.bin"/><Relationship Id="rId16" Type="http://schemas.openxmlformats.org/officeDocument/2006/relationships/printerSettings" Target="../printerSettings/printerSettings65.bin"/><Relationship Id="rId1" Type="http://schemas.openxmlformats.org/officeDocument/2006/relationships/printerSettings" Target="../printerSettings/printerSettings51.bin"/><Relationship Id="rId6" Type="http://schemas.openxmlformats.org/officeDocument/2006/relationships/printerSettings" Target="../printerSettings/printerSettings56.bin"/><Relationship Id="rId11" Type="http://schemas.openxmlformats.org/officeDocument/2006/relationships/printerSettings" Target="../printerSettings/printerSettings61.bin"/><Relationship Id="rId5" Type="http://schemas.openxmlformats.org/officeDocument/2006/relationships/printerSettings" Target="../printerSettings/printerSettings55.bin"/><Relationship Id="rId15" Type="http://schemas.openxmlformats.org/officeDocument/2006/relationships/hyperlink" Target="https://dhcd.maryland.gov/HousingDevelopment/Documents/mbp/Comparison-Financings.pdf" TargetMode="External"/><Relationship Id="rId10" Type="http://schemas.openxmlformats.org/officeDocument/2006/relationships/printerSettings" Target="../printerSettings/printerSettings60.bin"/><Relationship Id="rId4" Type="http://schemas.openxmlformats.org/officeDocument/2006/relationships/printerSettings" Target="../printerSettings/printerSettings54.bin"/><Relationship Id="rId9" Type="http://schemas.openxmlformats.org/officeDocument/2006/relationships/printerSettings" Target="../printerSettings/printerSettings59.bin"/><Relationship Id="rId14" Type="http://schemas.openxmlformats.org/officeDocument/2006/relationships/printerSettings" Target="../printerSettings/printerSettings6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7DF8-37C9-4D3A-8122-EFCDB5E6DF0E}">
  <sheetPr codeName="Sheet16">
    <tabColor rgb="FF00B050"/>
    <pageSetUpPr fitToPage="1"/>
  </sheetPr>
  <dimension ref="A1:AK1061"/>
  <sheetViews>
    <sheetView topLeftCell="B1032" zoomScale="130" zoomScaleNormal="130" workbookViewId="0">
      <selection activeCell="C1067" sqref="C1067"/>
    </sheetView>
  </sheetViews>
  <sheetFormatPr defaultColWidth="9" defaultRowHeight="13.2" x14ac:dyDescent="0.25"/>
  <cols>
    <col min="1" max="1" width="27.44140625" bestFit="1" customWidth="1"/>
    <col min="2" max="2" width="25.44140625" customWidth="1"/>
    <col min="3" max="3" width="41.44140625" customWidth="1"/>
    <col min="4" max="4" width="26.44140625" customWidth="1"/>
    <col min="5" max="5" width="10.44140625" customWidth="1"/>
    <col min="6" max="6" width="11.44140625" customWidth="1"/>
    <col min="7" max="7" width="8.44140625" customWidth="1"/>
    <col min="8" max="8" width="32.77734375" customWidth="1"/>
    <col min="9" max="10" width="18.77734375" customWidth="1"/>
    <col min="11" max="11" width="14.77734375" customWidth="1"/>
    <col min="12" max="12" width="18.77734375" customWidth="1"/>
    <col min="13" max="13" width="46.77734375" customWidth="1"/>
    <col min="14" max="24" width="18.77734375" customWidth="1"/>
    <col min="25" max="25" width="57.77734375" customWidth="1"/>
    <col min="26" max="34" width="18.77734375" customWidth="1"/>
    <col min="35" max="35" width="13.109375" customWidth="1"/>
    <col min="36" max="36" width="13.44140625" customWidth="1"/>
    <col min="37" max="37" width="13.77734375" customWidth="1"/>
  </cols>
  <sheetData>
    <row r="1" spans="1:27" ht="15.6" x14ac:dyDescent="0.3">
      <c r="A1" s="309" t="s">
        <v>1158</v>
      </c>
      <c r="B1" s="1650" t="s">
        <v>1159</v>
      </c>
      <c r="C1" t="s">
        <v>1160</v>
      </c>
      <c r="D1" s="1650" t="s">
        <v>1161</v>
      </c>
      <c r="E1" t="s">
        <v>1162</v>
      </c>
      <c r="F1" s="1650" t="s">
        <v>1163</v>
      </c>
      <c r="G1" t="s">
        <v>1164</v>
      </c>
      <c r="H1" s="1650" t="s">
        <v>1165</v>
      </c>
      <c r="I1" t="s">
        <v>1166</v>
      </c>
      <c r="J1" s="1650" t="s">
        <v>1167</v>
      </c>
      <c r="K1" t="s">
        <v>1168</v>
      </c>
      <c r="L1" s="1650" t="s">
        <v>1169</v>
      </c>
      <c r="M1" t="s">
        <v>1170</v>
      </c>
    </row>
    <row r="2" spans="1:27" x14ac:dyDescent="0.25">
      <c r="B2" s="1650" t="s">
        <v>1171</v>
      </c>
      <c r="C2" t="s">
        <v>1172</v>
      </c>
      <c r="D2" s="1650" t="s">
        <v>1173</v>
      </c>
      <c r="E2" t="s">
        <v>1174</v>
      </c>
      <c r="F2" s="1650" t="s">
        <v>1175</v>
      </c>
      <c r="G2" t="s">
        <v>1176</v>
      </c>
      <c r="H2" s="1650" t="s">
        <v>1177</v>
      </c>
      <c r="I2" t="s">
        <v>1178</v>
      </c>
      <c r="J2" s="1650" t="s">
        <v>1179</v>
      </c>
      <c r="K2" t="s">
        <v>1180</v>
      </c>
      <c r="L2" s="1650" t="s">
        <v>1181</v>
      </c>
      <c r="M2" t="s">
        <v>1182</v>
      </c>
    </row>
    <row r="3" spans="1:27" x14ac:dyDescent="0.25">
      <c r="B3" s="1650" t="s">
        <v>1183</v>
      </c>
      <c r="C3" t="s">
        <v>1184</v>
      </c>
      <c r="D3" s="1650" t="s">
        <v>1185</v>
      </c>
      <c r="E3" t="s">
        <v>1186</v>
      </c>
      <c r="F3" s="1650" t="s">
        <v>1187</v>
      </c>
      <c r="G3" t="s">
        <v>991</v>
      </c>
      <c r="H3" s="1650" t="s">
        <v>1188</v>
      </c>
      <c r="I3" t="s">
        <v>1189</v>
      </c>
      <c r="J3" s="1650" t="s">
        <v>1190</v>
      </c>
      <c r="K3" t="s">
        <v>2657</v>
      </c>
      <c r="L3" s="1650" t="s">
        <v>1192</v>
      </c>
      <c r="M3" t="s">
        <v>1193</v>
      </c>
    </row>
    <row r="6" spans="1:27" ht="13.8" x14ac:dyDescent="0.25">
      <c r="A6" s="1651" t="s">
        <v>1159</v>
      </c>
      <c r="B6" s="1651" t="s">
        <v>1160</v>
      </c>
      <c r="C6" s="1651"/>
      <c r="D6" s="1651"/>
      <c r="G6" s="1652" t="s">
        <v>1194</v>
      </c>
      <c r="H6" s="1652"/>
      <c r="I6" s="1652"/>
      <c r="L6" s="1653" t="s">
        <v>1195</v>
      </c>
      <c r="M6" s="1653"/>
      <c r="N6" s="1653"/>
      <c r="Q6" s="1653" t="s">
        <v>1196</v>
      </c>
      <c r="R6" s="1653"/>
      <c r="S6" s="1653"/>
      <c r="T6" s="1653"/>
      <c r="Y6" s="1652" t="s">
        <v>1197</v>
      </c>
      <c r="Z6" s="1652"/>
      <c r="AA6" s="1652"/>
    </row>
    <row r="7" spans="1:27" x14ac:dyDescent="0.25">
      <c r="A7" s="1654" t="s">
        <v>1198</v>
      </c>
      <c r="B7" s="1654" t="s">
        <v>1199</v>
      </c>
      <c r="C7" s="1654" t="s">
        <v>1200</v>
      </c>
      <c r="D7" s="1654" t="s">
        <v>1201</v>
      </c>
      <c r="G7" s="1654" t="s">
        <v>1202</v>
      </c>
      <c r="H7" s="1654" t="s">
        <v>1203</v>
      </c>
      <c r="I7" s="1654" t="s">
        <v>1201</v>
      </c>
      <c r="L7" s="1654" t="s">
        <v>1202</v>
      </c>
      <c r="M7" s="1654" t="s">
        <v>1203</v>
      </c>
      <c r="N7" s="1654" t="s">
        <v>1201</v>
      </c>
      <c r="Q7" s="1654" t="s">
        <v>1200</v>
      </c>
      <c r="R7" s="1654" t="s">
        <v>1202</v>
      </c>
      <c r="S7" s="1654" t="s">
        <v>1203</v>
      </c>
      <c r="T7" s="1654" t="s">
        <v>1201</v>
      </c>
      <c r="Y7" s="1654" t="s">
        <v>1202</v>
      </c>
      <c r="Z7" s="1654" t="s">
        <v>1203</v>
      </c>
      <c r="AA7" s="1654" t="s">
        <v>1201</v>
      </c>
    </row>
    <row r="8" spans="1:27" ht="26.4" x14ac:dyDescent="0.25">
      <c r="A8" s="1655" t="s">
        <v>1204</v>
      </c>
      <c r="B8" s="1655"/>
      <c r="C8" s="1655" t="s">
        <v>1205</v>
      </c>
      <c r="D8" s="1655" t="str">
        <f>IF(GENERAL!D9="","",GENERAL!D9)</f>
        <v/>
      </c>
      <c r="G8" s="1656" t="s">
        <v>1206</v>
      </c>
      <c r="H8" s="1655" t="s">
        <v>1207</v>
      </c>
      <c r="I8" s="1657" t="str">
        <f>IF(D8="","",D8)</f>
        <v/>
      </c>
      <c r="J8" s="311"/>
      <c r="K8" s="311"/>
      <c r="L8" s="1658"/>
      <c r="M8" s="1658"/>
      <c r="N8" s="1658"/>
      <c r="Q8" s="1659" t="s">
        <v>1208</v>
      </c>
      <c r="R8" s="1659" t="s">
        <v>1209</v>
      </c>
      <c r="S8" s="1659" t="s">
        <v>1210</v>
      </c>
      <c r="T8" s="1659" t="b">
        <f>IF(D14&lt;&gt;"QCT",FALSE,TRUE)</f>
        <v>0</v>
      </c>
      <c r="Y8" s="1659" t="s">
        <v>1211</v>
      </c>
      <c r="Z8" s="1655" t="s">
        <v>1212</v>
      </c>
      <c r="AA8" s="1659" t="str">
        <f>I21</f>
        <v/>
      </c>
    </row>
    <row r="9" spans="1:27" x14ac:dyDescent="0.25">
      <c r="A9" s="1655" t="s">
        <v>1204</v>
      </c>
      <c r="B9" s="1655" t="s">
        <v>1213</v>
      </c>
      <c r="C9" s="1655" t="s">
        <v>1214</v>
      </c>
      <c r="D9" s="1655"/>
      <c r="G9" s="1658"/>
      <c r="H9" s="1658"/>
      <c r="I9" s="1658"/>
      <c r="J9" s="311"/>
      <c r="K9" s="311"/>
      <c r="L9" s="1658"/>
      <c r="M9" s="1658"/>
      <c r="N9" s="1658"/>
      <c r="Q9" s="1659" t="s">
        <v>1208</v>
      </c>
      <c r="R9" s="1659" t="s">
        <v>1209</v>
      </c>
      <c r="S9" s="1659" t="s">
        <v>1215</v>
      </c>
      <c r="T9" s="1659" t="b">
        <f>IF(D14&lt;&gt;"DDA",FALSE,TRUE)</f>
        <v>0</v>
      </c>
      <c r="Y9" s="1659" t="s">
        <v>1211</v>
      </c>
      <c r="Z9" s="1655" t="s">
        <v>38</v>
      </c>
      <c r="AA9" s="1659" t="str">
        <f>I23</f>
        <v/>
      </c>
    </row>
    <row r="10" spans="1:27" x14ac:dyDescent="0.25">
      <c r="A10" s="1655" t="s">
        <v>1204</v>
      </c>
      <c r="B10" s="1655" t="s">
        <v>1213</v>
      </c>
      <c r="C10" s="1655" t="s">
        <v>1216</v>
      </c>
      <c r="D10" s="1655"/>
      <c r="G10" s="1658"/>
      <c r="H10" s="1658"/>
      <c r="I10" s="1658"/>
      <c r="J10" s="311"/>
      <c r="K10" s="311"/>
      <c r="L10" s="1658"/>
      <c r="M10" s="1658"/>
      <c r="N10" s="1658"/>
      <c r="Q10" s="1659" t="s">
        <v>1208</v>
      </c>
      <c r="R10" s="1659" t="s">
        <v>1209</v>
      </c>
      <c r="S10" s="1659" t="s">
        <v>1217</v>
      </c>
      <c r="T10" s="1659" t="b">
        <f>IF(D14&lt;&gt;"9%   Family   Project       in a COO",FALSE,TRUE)</f>
        <v>0</v>
      </c>
      <c r="Y10" s="1659" t="s">
        <v>1211</v>
      </c>
      <c r="Z10" s="1655" t="s">
        <v>1218</v>
      </c>
      <c r="AA10" s="1659" t="str">
        <f>I24</f>
        <v/>
      </c>
    </row>
    <row r="11" spans="1:27" x14ac:dyDescent="0.25">
      <c r="A11" s="1655" t="s">
        <v>1204</v>
      </c>
      <c r="B11" s="1655" t="s">
        <v>1213</v>
      </c>
      <c r="C11" s="1655" t="s">
        <v>1219</v>
      </c>
      <c r="D11" s="1655"/>
      <c r="G11" s="1658"/>
      <c r="H11" s="1658"/>
      <c r="I11" s="1658"/>
      <c r="J11" s="311"/>
      <c r="K11" s="311"/>
      <c r="L11" s="1658"/>
      <c r="M11" s="1658"/>
      <c r="N11" s="1658"/>
      <c r="Y11" s="1659" t="s">
        <v>1211</v>
      </c>
      <c r="Z11" s="1655" t="s">
        <v>1220</v>
      </c>
      <c r="AA11" s="1657" t="str">
        <f>I27</f>
        <v/>
      </c>
    </row>
    <row r="12" spans="1:27" x14ac:dyDescent="0.25">
      <c r="A12" s="1655" t="s">
        <v>1204</v>
      </c>
      <c r="B12" s="1655" t="s">
        <v>1213</v>
      </c>
      <c r="C12" s="1655" t="s">
        <v>1221</v>
      </c>
      <c r="D12" s="1655"/>
      <c r="G12" s="1658"/>
      <c r="H12" s="1658"/>
      <c r="I12" s="1658"/>
      <c r="J12" s="311"/>
      <c r="K12" s="311"/>
      <c r="L12" s="1658"/>
      <c r="M12" s="1658"/>
      <c r="N12" s="1658"/>
      <c r="Y12" s="1659" t="s">
        <v>1211</v>
      </c>
      <c r="Z12" s="1655" t="s">
        <v>1222</v>
      </c>
      <c r="AA12" s="1659" t="b">
        <f>I38</f>
        <v>0</v>
      </c>
    </row>
    <row r="13" spans="1:27" x14ac:dyDescent="0.25">
      <c r="A13" s="1655" t="s">
        <v>1204</v>
      </c>
      <c r="B13" s="1655"/>
      <c r="C13" s="1655" t="s">
        <v>1223</v>
      </c>
      <c r="D13" s="1655" t="str">
        <f>IF(GEN_CreditEnhancement="","",GEN_CreditEnhancement)</f>
        <v/>
      </c>
      <c r="G13" s="1658"/>
      <c r="H13" s="1658"/>
      <c r="I13" s="1658"/>
      <c r="J13" s="311"/>
      <c r="K13" s="311"/>
      <c r="L13" s="1655" t="s">
        <v>1209</v>
      </c>
      <c r="M13" s="1655" t="s">
        <v>1019</v>
      </c>
      <c r="N13" s="1655" t="str">
        <f>IF(D13="","",D13)</f>
        <v/>
      </c>
      <c r="Y13" s="1659" t="s">
        <v>1211</v>
      </c>
      <c r="Z13" s="1659" t="s">
        <v>234</v>
      </c>
      <c r="AA13" s="1659">
        <f>T73</f>
        <v>0</v>
      </c>
    </row>
    <row r="14" spans="1:27" x14ac:dyDescent="0.25">
      <c r="A14" s="1655" t="s">
        <v>1204</v>
      </c>
      <c r="B14" s="1655"/>
      <c r="C14" s="1655" t="s">
        <v>1208</v>
      </c>
      <c r="D14" s="1655" t="str">
        <f>IF(GENERAL!L14="","",GENERAL!L14)</f>
        <v/>
      </c>
      <c r="G14" s="1658"/>
      <c r="H14" s="1658"/>
      <c r="I14" s="1658"/>
      <c r="J14" s="311"/>
      <c r="K14" s="311"/>
      <c r="L14" s="1658"/>
      <c r="M14" s="1658"/>
      <c r="N14" s="1658"/>
      <c r="Y14" s="1659" t="s">
        <v>1211</v>
      </c>
      <c r="Z14" s="1659" t="s">
        <v>1224</v>
      </c>
      <c r="AA14" s="1659" t="b">
        <f>I344</f>
        <v>0</v>
      </c>
    </row>
    <row r="15" spans="1:27" x14ac:dyDescent="0.25">
      <c r="A15" s="1659" t="s">
        <v>1225</v>
      </c>
      <c r="B15" s="1659" t="s">
        <v>1226</v>
      </c>
      <c r="C15" s="1659" t="s">
        <v>1227</v>
      </c>
      <c r="D15" s="1659">
        <f>IF(TotalScore="","",TotalScore)</f>
        <v>0</v>
      </c>
      <c r="G15" s="1658"/>
      <c r="H15" s="1658"/>
      <c r="I15" s="1658"/>
      <c r="J15" s="311"/>
      <c r="K15" s="311"/>
      <c r="L15" s="1655" t="s">
        <v>1209</v>
      </c>
      <c r="M15" s="1655" t="s">
        <v>1228</v>
      </c>
      <c r="N15" s="1659">
        <f>IF(D15="","",D15)</f>
        <v>0</v>
      </c>
      <c r="Y15" s="1659" t="s">
        <v>1211</v>
      </c>
      <c r="Z15" s="1659" t="s">
        <v>1229</v>
      </c>
      <c r="AA15" s="1659" t="b">
        <f>I345</f>
        <v>0</v>
      </c>
    </row>
    <row r="16" spans="1:27" ht="26.4" x14ac:dyDescent="0.25">
      <c r="G16" s="1656" t="s">
        <v>1206</v>
      </c>
      <c r="H16" s="1655" t="s">
        <v>1230</v>
      </c>
      <c r="I16" s="1657" t="s">
        <v>1231</v>
      </c>
      <c r="J16" s="311"/>
      <c r="K16" s="311"/>
      <c r="L16" s="311"/>
      <c r="M16" s="311"/>
      <c r="N16" s="311"/>
      <c r="Y16" s="1659" t="s">
        <v>1211</v>
      </c>
      <c r="Z16" s="1659" t="s">
        <v>1232</v>
      </c>
      <c r="AA16" s="1659" t="b">
        <f>I346</f>
        <v>0</v>
      </c>
    </row>
    <row r="17" spans="1:27" x14ac:dyDescent="0.25">
      <c r="G17" s="311"/>
      <c r="H17" s="311"/>
      <c r="I17" s="311"/>
      <c r="J17" s="311"/>
      <c r="K17" s="311"/>
      <c r="L17" s="311"/>
      <c r="M17" s="311"/>
      <c r="N17" s="311"/>
      <c r="Y17" s="1659" t="s">
        <v>1211</v>
      </c>
      <c r="Z17" s="1659" t="s">
        <v>1233</v>
      </c>
      <c r="AA17" s="1659" t="b">
        <f>I347</f>
        <v>0</v>
      </c>
    </row>
    <row r="18" spans="1:27" ht="13.8" x14ac:dyDescent="0.25">
      <c r="A18" s="1651" t="s">
        <v>1171</v>
      </c>
      <c r="B18" s="1651" t="s">
        <v>1172</v>
      </c>
      <c r="C18" s="1651"/>
      <c r="D18" s="1651"/>
      <c r="G18" s="1660" t="s">
        <v>1194</v>
      </c>
      <c r="H18" s="1660"/>
      <c r="I18" s="1660"/>
      <c r="J18" s="311"/>
      <c r="K18" s="311"/>
      <c r="L18" s="1661" t="s">
        <v>1195</v>
      </c>
      <c r="M18" s="1661"/>
      <c r="N18" s="1661"/>
      <c r="Y18" s="1659" t="s">
        <v>1211</v>
      </c>
      <c r="Z18" s="1659" t="s">
        <v>1234</v>
      </c>
      <c r="AA18" s="1659" t="b">
        <f>I348</f>
        <v>0</v>
      </c>
    </row>
    <row r="19" spans="1:27" x14ac:dyDescent="0.25">
      <c r="A19" s="1654" t="s">
        <v>1198</v>
      </c>
      <c r="B19" s="1654" t="s">
        <v>1199</v>
      </c>
      <c r="C19" s="1654" t="s">
        <v>1200</v>
      </c>
      <c r="D19" s="1654" t="s">
        <v>1201</v>
      </c>
      <c r="G19" s="1662" t="s">
        <v>1202</v>
      </c>
      <c r="H19" s="1662" t="s">
        <v>1203</v>
      </c>
      <c r="I19" s="1662" t="s">
        <v>1201</v>
      </c>
      <c r="J19" s="311"/>
      <c r="K19" s="311"/>
      <c r="L19" s="1662" t="s">
        <v>1202</v>
      </c>
      <c r="M19" s="1662" t="s">
        <v>1203</v>
      </c>
      <c r="N19" s="1662" t="s">
        <v>1201</v>
      </c>
      <c r="Y19" s="1659" t="s">
        <v>1211</v>
      </c>
      <c r="Z19" s="1655" t="s">
        <v>1235</v>
      </c>
      <c r="AA19" s="1659" t="b">
        <f t="shared" ref="AA19:AA24" si="0">I41</f>
        <v>0</v>
      </c>
    </row>
    <row r="20" spans="1:27" ht="26.4" x14ac:dyDescent="0.25">
      <c r="A20" s="1655" t="s">
        <v>1204</v>
      </c>
      <c r="B20" s="1655" t="s">
        <v>1236</v>
      </c>
      <c r="C20" s="1655" t="s">
        <v>32</v>
      </c>
      <c r="D20" s="1655" t="str">
        <f>IF(projname="","",projname)</f>
        <v/>
      </c>
      <c r="G20" s="1656" t="s">
        <v>1206</v>
      </c>
      <c r="H20" s="1655" t="s">
        <v>1237</v>
      </c>
      <c r="I20" s="1655" t="str">
        <f t="shared" ref="I20:I26" si="1">IF(D20="","",D20)</f>
        <v/>
      </c>
      <c r="J20" s="311"/>
      <c r="K20" s="311"/>
      <c r="L20" s="1655" t="s">
        <v>1238</v>
      </c>
      <c r="M20" s="1655" t="s">
        <v>1237</v>
      </c>
      <c r="N20" s="1655" t="str">
        <f>IF(D20="","",D20)</f>
        <v/>
      </c>
      <c r="Y20" s="1659" t="s">
        <v>1211</v>
      </c>
      <c r="Z20" s="1655" t="s">
        <v>1239</v>
      </c>
      <c r="AA20" s="1659" t="str">
        <f t="shared" si="0"/>
        <v/>
      </c>
    </row>
    <row r="21" spans="1:27" x14ac:dyDescent="0.25">
      <c r="A21" s="1655" t="s">
        <v>1204</v>
      </c>
      <c r="B21" s="1655" t="s">
        <v>1236</v>
      </c>
      <c r="C21" s="1655" t="s">
        <v>33</v>
      </c>
      <c r="D21" s="1655" t="str">
        <f>IF(GENERAL!F38="","",GENERAL!F38)</f>
        <v/>
      </c>
      <c r="G21" s="1655" t="s">
        <v>1240</v>
      </c>
      <c r="H21" s="1655" t="s">
        <v>1212</v>
      </c>
      <c r="I21" s="1655" t="str">
        <f t="shared" si="1"/>
        <v/>
      </c>
      <c r="J21" s="311"/>
      <c r="K21" s="311"/>
      <c r="L21" s="1655" t="s">
        <v>1209</v>
      </c>
      <c r="M21" s="1655" t="s">
        <v>1212</v>
      </c>
      <c r="N21" s="1655" t="str">
        <f>IF(D21="","",D21)</f>
        <v/>
      </c>
      <c r="Y21" s="1659" t="s">
        <v>1211</v>
      </c>
      <c r="Z21" s="1655" t="s">
        <v>1241</v>
      </c>
      <c r="AA21" s="1659" t="b">
        <f t="shared" si="0"/>
        <v>0</v>
      </c>
    </row>
    <row r="22" spans="1:27" x14ac:dyDescent="0.25">
      <c r="A22" s="1655" t="s">
        <v>1204</v>
      </c>
      <c r="B22" s="1655" t="s">
        <v>1236</v>
      </c>
      <c r="C22" s="1655" t="s">
        <v>34</v>
      </c>
      <c r="D22" s="1655" t="str">
        <f>IF(GENERAL!F39="","",GENERAL!F39)</f>
        <v/>
      </c>
      <c r="G22" s="1655" t="s">
        <v>1242</v>
      </c>
      <c r="H22" s="1655" t="s">
        <v>1243</v>
      </c>
      <c r="I22" s="1655" t="str">
        <f t="shared" si="1"/>
        <v/>
      </c>
      <c r="J22" s="311"/>
      <c r="K22" s="311"/>
      <c r="L22" s="1658"/>
      <c r="M22" s="1658"/>
      <c r="N22" s="1658"/>
      <c r="Y22" s="1659" t="s">
        <v>1211</v>
      </c>
      <c r="Z22" s="1655" t="s">
        <v>1244</v>
      </c>
      <c r="AA22" s="1659" t="str">
        <f t="shared" si="0"/>
        <v/>
      </c>
    </row>
    <row r="23" spans="1:27" x14ac:dyDescent="0.25">
      <c r="A23" s="1655" t="s">
        <v>1204</v>
      </c>
      <c r="B23" s="1655" t="s">
        <v>1236</v>
      </c>
      <c r="C23" s="1655" t="s">
        <v>38</v>
      </c>
      <c r="D23" s="1655" t="str">
        <f>IF(GENERAL!F40="","",GENERAL!F40)</f>
        <v/>
      </c>
      <c r="G23" s="1655" t="s">
        <v>1240</v>
      </c>
      <c r="H23" s="1655" t="s">
        <v>38</v>
      </c>
      <c r="I23" s="1655" t="str">
        <f t="shared" si="1"/>
        <v/>
      </c>
      <c r="J23" s="311"/>
      <c r="K23" s="311"/>
      <c r="L23" s="1655" t="s">
        <v>1209</v>
      </c>
      <c r="M23" s="1655" t="s">
        <v>38</v>
      </c>
      <c r="N23" s="1655" t="str">
        <f>IF(D23="","",D23)</f>
        <v/>
      </c>
      <c r="Y23" s="1659" t="s">
        <v>1211</v>
      </c>
      <c r="Z23" s="1655" t="s">
        <v>1245</v>
      </c>
      <c r="AA23" s="1659" t="b">
        <f t="shared" si="0"/>
        <v>0</v>
      </c>
    </row>
    <row r="24" spans="1:27" x14ac:dyDescent="0.25">
      <c r="A24" s="1655" t="s">
        <v>1204</v>
      </c>
      <c r="B24" s="1655" t="s">
        <v>1236</v>
      </c>
      <c r="C24" s="1655" t="s">
        <v>41</v>
      </c>
      <c r="D24" s="1655" t="str">
        <f>IF(GENERAL!F41="","",GENERAL!F41)</f>
        <v/>
      </c>
      <c r="G24" s="1655" t="s">
        <v>1240</v>
      </c>
      <c r="H24" s="1655" t="s">
        <v>1218</v>
      </c>
      <c r="I24" s="1655" t="str">
        <f t="shared" si="1"/>
        <v/>
      </c>
      <c r="J24" s="311"/>
      <c r="K24" s="311"/>
      <c r="L24" s="1655" t="s">
        <v>1209</v>
      </c>
      <c r="M24" s="1655" t="s">
        <v>1218</v>
      </c>
      <c r="N24" s="1655" t="str">
        <f>IF(D24="","",D24)</f>
        <v/>
      </c>
      <c r="Y24" s="1659" t="s">
        <v>1211</v>
      </c>
      <c r="Z24" s="1655" t="s">
        <v>1246</v>
      </c>
      <c r="AA24" s="1659" t="str">
        <f t="shared" si="0"/>
        <v/>
      </c>
    </row>
    <row r="25" spans="1:27" x14ac:dyDescent="0.25">
      <c r="A25" s="1655" t="s">
        <v>1204</v>
      </c>
      <c r="B25" s="1655" t="s">
        <v>1236</v>
      </c>
      <c r="C25" s="1655" t="s">
        <v>44</v>
      </c>
      <c r="D25" s="1655" t="str">
        <f>IF(GENERAL!F42="","",GENERAL!F42)</f>
        <v/>
      </c>
      <c r="G25" s="1655" t="s">
        <v>1240</v>
      </c>
      <c r="H25" s="1655" t="s">
        <v>1247</v>
      </c>
      <c r="I25" s="1657" t="str">
        <f t="shared" si="1"/>
        <v/>
      </c>
      <c r="J25" s="311"/>
      <c r="K25" s="311"/>
      <c r="L25" s="1655" t="s">
        <v>1209</v>
      </c>
      <c r="M25" s="1655" t="s">
        <v>44</v>
      </c>
      <c r="N25" s="1655" t="str">
        <f>IF(D25="","",D25)</f>
        <v/>
      </c>
      <c r="Y25" s="1659" t="s">
        <v>1211</v>
      </c>
      <c r="Z25" s="1655" t="s">
        <v>1248</v>
      </c>
      <c r="AA25" s="1659" t="b">
        <f>I349</f>
        <v>0</v>
      </c>
    </row>
    <row r="26" spans="1:27" x14ac:dyDescent="0.25">
      <c r="A26" s="1655" t="s">
        <v>1204</v>
      </c>
      <c r="B26" s="1655" t="s">
        <v>1236</v>
      </c>
      <c r="C26" s="1655" t="s">
        <v>35</v>
      </c>
      <c r="D26" s="1655" t="str">
        <f>IF(GENERAL!J39="","",GENERAL!J39)</f>
        <v/>
      </c>
      <c r="G26" s="1655" t="s">
        <v>1242</v>
      </c>
      <c r="H26" s="1655" t="s">
        <v>1249</v>
      </c>
      <c r="I26" s="1655" t="str">
        <f t="shared" si="1"/>
        <v/>
      </c>
      <c r="J26" s="311"/>
      <c r="K26" s="311"/>
      <c r="L26" s="1658"/>
      <c r="M26" s="1658"/>
      <c r="N26" s="1658"/>
      <c r="Y26" s="1659" t="s">
        <v>1211</v>
      </c>
      <c r="Z26" s="1655" t="s">
        <v>1250</v>
      </c>
      <c r="AA26" s="1659" t="str">
        <f>I350</f>
        <v/>
      </c>
    </row>
    <row r="27" spans="1:27" x14ac:dyDescent="0.25">
      <c r="A27" s="1655" t="s">
        <v>1204</v>
      </c>
      <c r="B27" s="1655" t="s">
        <v>1236</v>
      </c>
      <c r="C27" s="1655" t="s">
        <v>39</v>
      </c>
      <c r="D27" s="1655" t="str">
        <f>IF(GENERAL!J40="","",GENERAL!J40)</f>
        <v/>
      </c>
      <c r="G27" s="1655" t="s">
        <v>1240</v>
      </c>
      <c r="H27" s="1655" t="s">
        <v>1220</v>
      </c>
      <c r="I27" s="1657" t="str">
        <f>IF(D27="","",D27)</f>
        <v/>
      </c>
      <c r="J27" s="311"/>
      <c r="K27" s="311"/>
      <c r="L27" s="1655" t="s">
        <v>1209</v>
      </c>
      <c r="M27" s="1655" t="s">
        <v>1220</v>
      </c>
      <c r="N27" s="1657" t="str">
        <f>IF(D27="","",D27)</f>
        <v/>
      </c>
      <c r="Y27" s="1659" t="s">
        <v>1211</v>
      </c>
      <c r="Z27" s="1659" t="s">
        <v>190</v>
      </c>
      <c r="AA27" s="1659">
        <f>M345</f>
        <v>0</v>
      </c>
    </row>
    <row r="28" spans="1:27" x14ac:dyDescent="0.25">
      <c r="A28" s="1655" t="s">
        <v>1204</v>
      </c>
      <c r="B28" s="1655" t="s">
        <v>1236</v>
      </c>
      <c r="C28" s="1655" t="s">
        <v>42</v>
      </c>
      <c r="D28" s="1655" t="str">
        <f>IF(GENERAL!J41="","",GENERAL!J41)</f>
        <v/>
      </c>
      <c r="G28" s="1658"/>
      <c r="H28" s="1658"/>
      <c r="I28" s="1658"/>
      <c r="J28" s="311"/>
      <c r="K28" s="311"/>
      <c r="L28" s="1655" t="s">
        <v>1209</v>
      </c>
      <c r="M28" s="1655" t="s">
        <v>1251</v>
      </c>
      <c r="N28" s="1655" t="str">
        <f>IF(D28="","",D28)</f>
        <v/>
      </c>
      <c r="Y28" s="1659" t="s">
        <v>1211</v>
      </c>
      <c r="Z28" s="1659" t="s">
        <v>55</v>
      </c>
      <c r="AA28" s="1657"/>
    </row>
    <row r="29" spans="1:27" x14ac:dyDescent="0.25">
      <c r="A29" s="1655" t="s">
        <v>1204</v>
      </c>
      <c r="B29" s="1655" t="s">
        <v>1236</v>
      </c>
      <c r="C29" s="1655" t="s">
        <v>45</v>
      </c>
      <c r="D29" s="1655" t="str">
        <f>IF(GENERAL!J42="","",GENERAL!J42)</f>
        <v/>
      </c>
      <c r="G29" s="1655" t="s">
        <v>1240</v>
      </c>
      <c r="H29" s="1655" t="s">
        <v>1252</v>
      </c>
      <c r="I29" s="1657" t="str">
        <f>IF(D29="","",D29)</f>
        <v/>
      </c>
      <c r="J29" s="311"/>
      <c r="K29" s="311"/>
      <c r="L29" s="1658"/>
      <c r="M29" s="1658"/>
      <c r="N29" s="1658"/>
      <c r="Y29" s="1659" t="s">
        <v>1211</v>
      </c>
      <c r="Z29" s="1659" t="s">
        <v>1253</v>
      </c>
      <c r="AA29" s="1659"/>
    </row>
    <row r="30" spans="1:27" x14ac:dyDescent="0.25">
      <c r="A30" s="1655" t="s">
        <v>1204</v>
      </c>
      <c r="B30" s="1655" t="s">
        <v>1236</v>
      </c>
      <c r="C30" s="1655" t="s">
        <v>47</v>
      </c>
      <c r="D30" s="1655" t="str">
        <f>IF(GENERAL!J43="","",GENERAL!J43)</f>
        <v/>
      </c>
      <c r="G30" s="1658"/>
      <c r="H30" s="1658"/>
      <c r="I30" s="1658" t="str">
        <f>IF(D30="","",D30)</f>
        <v/>
      </c>
      <c r="J30" s="311"/>
      <c r="K30" s="311"/>
      <c r="L30" s="1655" t="s">
        <v>1238</v>
      </c>
      <c r="M30" s="1655" t="s">
        <v>1254</v>
      </c>
      <c r="N30" s="1655" t="str">
        <f>IF(D30="","",D30)</f>
        <v/>
      </c>
      <c r="Y30" s="1659" t="s">
        <v>1211</v>
      </c>
      <c r="Z30" s="1659" t="s">
        <v>1255</v>
      </c>
      <c r="AA30" s="1659"/>
    </row>
    <row r="31" spans="1:27" x14ac:dyDescent="0.25">
      <c r="A31" s="1655" t="s">
        <v>1204</v>
      </c>
      <c r="B31" s="1655" t="s">
        <v>1236</v>
      </c>
      <c r="C31" s="1655" t="s">
        <v>36</v>
      </c>
      <c r="D31" s="1655" t="str">
        <f>IF(GENERAL!L39="","",GENERAL!L39)</f>
        <v/>
      </c>
      <c r="G31" s="1655" t="s">
        <v>1242</v>
      </c>
      <c r="H31" s="1655" t="s">
        <v>1256</v>
      </c>
      <c r="I31" s="1655" t="str">
        <f>IF(D31="","",D31)</f>
        <v/>
      </c>
      <c r="J31" s="311"/>
      <c r="K31" s="311"/>
      <c r="L31" s="1658"/>
      <c r="M31" s="1658"/>
      <c r="N31" s="1658" t="str">
        <f>IF(D31="","",D31)</f>
        <v/>
      </c>
    </row>
    <row r="32" spans="1:27" x14ac:dyDescent="0.25">
      <c r="A32" s="1655" t="s">
        <v>1204</v>
      </c>
      <c r="B32" s="1655" t="s">
        <v>930</v>
      </c>
      <c r="C32" s="1655" t="s">
        <v>1257</v>
      </c>
      <c r="D32" s="1655" t="str">
        <f>IF(GEN_AmenitiesCableAccess="","",GEN_AmenitiesCableAccess)</f>
        <v/>
      </c>
      <c r="G32" s="1655" t="s">
        <v>1240</v>
      </c>
      <c r="H32" s="1655" t="s">
        <v>1258</v>
      </c>
      <c r="I32" s="1657" t="str">
        <f t="shared" ref="I32:I37" si="2">IF(D32="","No","Yes")</f>
        <v>No</v>
      </c>
      <c r="J32" s="311"/>
      <c r="K32" s="311"/>
      <c r="L32" s="1658"/>
      <c r="M32" s="1658"/>
      <c r="N32" s="1658"/>
    </row>
    <row r="33" spans="1:23" x14ac:dyDescent="0.25">
      <c r="A33" s="1655" t="s">
        <v>1204</v>
      </c>
      <c r="B33" s="1655" t="s">
        <v>930</v>
      </c>
      <c r="C33" s="1655" t="s">
        <v>1259</v>
      </c>
      <c r="D33" s="1655" t="str">
        <f>IF(GEN_AmenitiesTransportationServices="","",GEN_AmenitiesTransportationServices)</f>
        <v/>
      </c>
      <c r="G33" s="1655" t="s">
        <v>1240</v>
      </c>
      <c r="H33" s="1655" t="s">
        <v>1260</v>
      </c>
      <c r="I33" s="1657" t="str">
        <f t="shared" si="2"/>
        <v>No</v>
      </c>
      <c r="J33" s="311"/>
      <c r="K33" s="311"/>
      <c r="L33" s="1658"/>
      <c r="M33" s="1658"/>
      <c r="N33" s="1658"/>
    </row>
    <row r="34" spans="1:23" x14ac:dyDescent="0.25">
      <c r="A34" s="1655" t="s">
        <v>1204</v>
      </c>
      <c r="B34" s="1655" t="s">
        <v>930</v>
      </c>
      <c r="C34" s="1655" t="s">
        <v>1261</v>
      </c>
      <c r="D34" s="1655" t="str">
        <f>IF(GEN_AmenitiesCarpet="","",GEN_AmenitiesCarpet)</f>
        <v/>
      </c>
      <c r="G34" s="1655" t="s">
        <v>1240</v>
      </c>
      <c r="H34" s="1655" t="s">
        <v>1262</v>
      </c>
      <c r="I34" s="1657" t="str">
        <f t="shared" si="2"/>
        <v>No</v>
      </c>
      <c r="J34" s="311"/>
      <c r="K34" s="311"/>
      <c r="L34" s="1658"/>
      <c r="M34" s="1658"/>
      <c r="N34" s="1658"/>
    </row>
    <row r="35" spans="1:23" x14ac:dyDescent="0.25">
      <c r="A35" s="1655" t="s">
        <v>1204</v>
      </c>
      <c r="B35" s="1655" t="s">
        <v>930</v>
      </c>
      <c r="C35" s="1655" t="s">
        <v>1263</v>
      </c>
      <c r="D35" s="1655" t="str">
        <f>IF(GEN_AmenitiesDishwasher="","",GEN_AmenitiesDishwasher)</f>
        <v/>
      </c>
      <c r="G35" s="1655" t="s">
        <v>1240</v>
      </c>
      <c r="H35" s="1655" t="s">
        <v>1264</v>
      </c>
      <c r="I35" s="1657" t="str">
        <f t="shared" si="2"/>
        <v>No</v>
      </c>
      <c r="J35" s="311"/>
      <c r="K35" s="311"/>
      <c r="L35" s="1658"/>
      <c r="M35" s="1658"/>
      <c r="N35" s="1658"/>
    </row>
    <row r="36" spans="1:23" x14ac:dyDescent="0.25">
      <c r="A36" s="1655" t="s">
        <v>1204</v>
      </c>
      <c r="B36" s="1655" t="s">
        <v>930</v>
      </c>
      <c r="C36" s="1655" t="s">
        <v>1265</v>
      </c>
      <c r="D36" s="1655" t="str">
        <f>IF(GEN_AmenitiesDisposal="","",GEN_AmenitiesDisposal)</f>
        <v/>
      </c>
      <c r="G36" s="1655" t="s">
        <v>1240</v>
      </c>
      <c r="H36" s="1655" t="s">
        <v>1266</v>
      </c>
      <c r="I36" s="1657" t="str">
        <f t="shared" si="2"/>
        <v>No</v>
      </c>
      <c r="J36" s="311"/>
      <c r="K36" s="311"/>
      <c r="L36" s="1658"/>
      <c r="M36" s="1658"/>
      <c r="N36" s="1658"/>
    </row>
    <row r="37" spans="1:23" x14ac:dyDescent="0.25">
      <c r="A37" s="1655" t="s">
        <v>1204</v>
      </c>
      <c r="B37" s="1655" t="s">
        <v>930</v>
      </c>
      <c r="C37" s="1655" t="s">
        <v>1267</v>
      </c>
      <c r="D37" s="1655" t="str">
        <f>IF(GEN_AmenitiesMicrowave="","",GEN_AmenitiesMicrowave)</f>
        <v/>
      </c>
      <c r="G37" s="1655" t="s">
        <v>1240</v>
      </c>
      <c r="H37" s="1655" t="s">
        <v>1268</v>
      </c>
      <c r="I37" s="1657" t="str">
        <f t="shared" si="2"/>
        <v>No</v>
      </c>
      <c r="J37" s="311"/>
      <c r="K37" s="311"/>
      <c r="L37" s="1658"/>
      <c r="M37" s="1658"/>
      <c r="N37" s="1658"/>
    </row>
    <row r="38" spans="1:23" x14ac:dyDescent="0.25">
      <c r="A38" s="1655" t="s">
        <v>1204</v>
      </c>
      <c r="B38" s="1655" t="s">
        <v>930</v>
      </c>
      <c r="C38" s="1655" t="s">
        <v>1269</v>
      </c>
      <c r="D38" s="1655" t="str">
        <f>IF(GEN_AmenitiesLaundryFacilities="","",GEN_AmenitiesLaundryFacilities)</f>
        <v/>
      </c>
      <c r="G38" s="1655" t="s">
        <v>1240</v>
      </c>
      <c r="H38" s="1655" t="s">
        <v>1222</v>
      </c>
      <c r="I38" s="1655" t="b">
        <f>IF(D38="",FALSE,TRUE)</f>
        <v>0</v>
      </c>
      <c r="J38" s="311"/>
      <c r="K38" s="311"/>
      <c r="L38" s="1658"/>
      <c r="M38" s="1658"/>
      <c r="N38" s="1658"/>
    </row>
    <row r="39" spans="1:23" x14ac:dyDescent="0.25">
      <c r="A39" s="1655" t="s">
        <v>1204</v>
      </c>
      <c r="B39" s="1655" t="s">
        <v>930</v>
      </c>
      <c r="C39" s="1655" t="s">
        <v>1270</v>
      </c>
      <c r="D39" s="1655" t="str">
        <f>IF(GEN_AmenitiesWDHookup="","",GEN_AmenitiesWDHookup)</f>
        <v/>
      </c>
      <c r="G39" s="1655" t="s">
        <v>1240</v>
      </c>
      <c r="H39" s="1655" t="s">
        <v>1271</v>
      </c>
      <c r="I39" s="1657" t="str">
        <f>IF(D39="","No","Yes")</f>
        <v>No</v>
      </c>
      <c r="J39" s="311"/>
      <c r="K39" s="311"/>
      <c r="L39" s="1658"/>
      <c r="M39" s="1658"/>
      <c r="N39" s="1658"/>
    </row>
    <row r="40" spans="1:23" x14ac:dyDescent="0.25">
      <c r="A40" s="1655" t="s">
        <v>1204</v>
      </c>
      <c r="B40" s="1655" t="s">
        <v>930</v>
      </c>
      <c r="C40" s="1655" t="s">
        <v>1272</v>
      </c>
      <c r="D40" s="1655" t="str">
        <f>IF(GEN_AmenitiesInternetAccess="","",GEN_AmenitiesInternetAccess)</f>
        <v/>
      </c>
      <c r="G40" s="1655" t="s">
        <v>1240</v>
      </c>
      <c r="H40" s="1655" t="s">
        <v>1273</v>
      </c>
      <c r="I40" s="1657" t="str">
        <f>IF(D40="","No","Yes")</f>
        <v>No</v>
      </c>
      <c r="J40" s="311"/>
      <c r="K40" s="311"/>
      <c r="L40" s="1658"/>
      <c r="M40" s="1658"/>
      <c r="N40" s="1658"/>
    </row>
    <row r="41" spans="1:23" x14ac:dyDescent="0.25">
      <c r="A41" s="1655" t="s">
        <v>1204</v>
      </c>
      <c r="B41" s="1655" t="s">
        <v>930</v>
      </c>
      <c r="C41" s="1655" t="s">
        <v>1274</v>
      </c>
      <c r="D41" s="1655" t="str">
        <f>IF(GEN_AmenitiesOther1="","",GEN_AmenitiesOther1)</f>
        <v/>
      </c>
      <c r="G41" s="1655" t="s">
        <v>1240</v>
      </c>
      <c r="H41" s="1655" t="s">
        <v>1235</v>
      </c>
      <c r="I41" s="1655" t="b">
        <f>IF(D41="",FALSE,TRUE)</f>
        <v>0</v>
      </c>
      <c r="J41" s="311"/>
      <c r="K41" s="311"/>
      <c r="L41" s="1658"/>
      <c r="M41" s="1658"/>
      <c r="N41" s="1658"/>
    </row>
    <row r="42" spans="1:23" x14ac:dyDescent="0.25">
      <c r="A42" s="1655" t="s">
        <v>1204</v>
      </c>
      <c r="B42" s="1655" t="s">
        <v>930</v>
      </c>
      <c r="C42" s="1655" t="s">
        <v>1275</v>
      </c>
      <c r="D42" s="1655" t="str">
        <f>IF(GEN_AmenitiesOther1Describe="","",GEN_AmenitiesOther1Describe)</f>
        <v/>
      </c>
      <c r="G42" s="1655" t="s">
        <v>1240</v>
      </c>
      <c r="H42" s="1655" t="s">
        <v>1239</v>
      </c>
      <c r="I42" s="1655" t="str">
        <f>IF(OR(D42="",D42="Describe"),"",D42)</f>
        <v/>
      </c>
      <c r="J42" s="311"/>
      <c r="K42" s="311"/>
      <c r="L42" s="1658"/>
      <c r="M42" s="1658"/>
      <c r="N42" s="1658"/>
    </row>
    <row r="43" spans="1:23" x14ac:dyDescent="0.25">
      <c r="A43" s="1655" t="s">
        <v>1204</v>
      </c>
      <c r="B43" s="1655" t="s">
        <v>930</v>
      </c>
      <c r="C43" s="1655" t="s">
        <v>1276</v>
      </c>
      <c r="D43" s="1655" t="str">
        <f>IF(GEN_AmenitiesOther2="","",GEN_AmenitiesOther2)</f>
        <v/>
      </c>
      <c r="G43" s="1655" t="s">
        <v>1240</v>
      </c>
      <c r="H43" s="1655" t="s">
        <v>1241</v>
      </c>
      <c r="I43" s="1657" t="b">
        <f>IF(D43="",FALSE,TRUE)</f>
        <v>0</v>
      </c>
      <c r="J43" s="311"/>
      <c r="K43" s="311"/>
      <c r="L43" s="1658"/>
      <c r="M43" s="1658"/>
      <c r="N43" s="1658"/>
    </row>
    <row r="44" spans="1:23" x14ac:dyDescent="0.25">
      <c r="A44" s="1655" t="s">
        <v>1204</v>
      </c>
      <c r="B44" s="1655" t="s">
        <v>930</v>
      </c>
      <c r="C44" s="1655" t="s">
        <v>1277</v>
      </c>
      <c r="D44" s="1655" t="str">
        <f>IF(GEN_AmenitiesOther2Describe="","",GEN_AmenitiesOther2Describe)</f>
        <v/>
      </c>
      <c r="G44" s="1655" t="s">
        <v>1240</v>
      </c>
      <c r="H44" s="1655" t="s">
        <v>1244</v>
      </c>
      <c r="I44" s="1655" t="str">
        <f>IF(OR(D44="",D44="Describe"),"",D44)</f>
        <v/>
      </c>
      <c r="J44" s="311"/>
      <c r="K44" s="311"/>
      <c r="L44" s="1658"/>
      <c r="M44" s="1658"/>
      <c r="N44" s="1658"/>
    </row>
    <row r="45" spans="1:23" ht="13.8" x14ac:dyDescent="0.25">
      <c r="A45" s="1655" t="s">
        <v>1204</v>
      </c>
      <c r="B45" s="1655" t="s">
        <v>930</v>
      </c>
      <c r="C45" s="1655" t="s">
        <v>1278</v>
      </c>
      <c r="D45" s="1655" t="str">
        <f>IF(GEN_AmenitiesOther3="","",GEN_AmenitiesOther3)</f>
        <v/>
      </c>
      <c r="G45" s="1655" t="s">
        <v>1240</v>
      </c>
      <c r="H45" s="1655" t="s">
        <v>1245</v>
      </c>
      <c r="I45" s="1657" t="b">
        <f>IF(D45="",FALSE,TRUE)</f>
        <v>0</v>
      </c>
      <c r="J45" s="311"/>
      <c r="K45" s="311"/>
      <c r="L45" s="1658"/>
      <c r="M45" s="1658"/>
      <c r="N45" s="1658"/>
      <c r="Q45" s="1653" t="s">
        <v>1196</v>
      </c>
      <c r="R45" s="1653"/>
      <c r="S45" s="1653"/>
      <c r="T45" s="1653"/>
    </row>
    <row r="46" spans="1:23" x14ac:dyDescent="0.25">
      <c r="A46" s="1655" t="s">
        <v>1204</v>
      </c>
      <c r="B46" s="1655" t="s">
        <v>930</v>
      </c>
      <c r="C46" s="1655" t="s">
        <v>1279</v>
      </c>
      <c r="D46" s="1655" t="str">
        <f>IF(GEN_AmenitiesOther3Describe="","",GEN_AmenitiesOther3Describe)</f>
        <v/>
      </c>
      <c r="G46" s="1655" t="s">
        <v>1240</v>
      </c>
      <c r="H46" s="1655" t="s">
        <v>1246</v>
      </c>
      <c r="I46" s="1655" t="str">
        <f>IF(OR(D46="",D46="Describe"),"",D46)</f>
        <v/>
      </c>
      <c r="J46" s="311"/>
      <c r="K46" s="311"/>
      <c r="L46" s="1658"/>
      <c r="M46" s="1658"/>
      <c r="N46" s="1658"/>
      <c r="Q46" s="1654" t="s">
        <v>1200</v>
      </c>
      <c r="R46" s="1654" t="s">
        <v>1202</v>
      </c>
      <c r="S46" s="1654" t="s">
        <v>1203</v>
      </c>
      <c r="T46" s="1654" t="s">
        <v>1201</v>
      </c>
      <c r="V46" s="1654" t="s">
        <v>1280</v>
      </c>
      <c r="W46" s="1654"/>
    </row>
    <row r="47" spans="1:23" x14ac:dyDescent="0.25">
      <c r="A47" s="1655" t="s">
        <v>1204</v>
      </c>
      <c r="B47" s="1655" t="s">
        <v>1281</v>
      </c>
      <c r="C47" s="1655" t="s">
        <v>1282</v>
      </c>
      <c r="D47" s="1655" t="str">
        <f>IF(GEN_Acquisition="","",GEN_Acquisition)</f>
        <v/>
      </c>
      <c r="G47" s="1658"/>
      <c r="H47" s="1658"/>
      <c r="I47" s="1658"/>
      <c r="J47" s="311"/>
      <c r="K47" s="311"/>
      <c r="L47" s="1658"/>
      <c r="M47" s="1658"/>
      <c r="N47" s="1658"/>
      <c r="Q47" s="1663" t="s">
        <v>1281</v>
      </c>
      <c r="R47" s="1659" t="s">
        <v>1283</v>
      </c>
      <c r="S47" s="1659" t="s">
        <v>1284</v>
      </c>
      <c r="T47" s="1657" t="str">
        <f>IF(LEFT(W51,1)="/",RIGHT(W51,LEN(W51)-1),W51)</f>
        <v/>
      </c>
      <c r="V47" s="1659" t="s">
        <v>1285</v>
      </c>
      <c r="W47" s="1659" t="str">
        <f>IF(D47="X","Acq","")</f>
        <v/>
      </c>
    </row>
    <row r="48" spans="1:23" x14ac:dyDescent="0.25">
      <c r="A48" s="1655" t="s">
        <v>1204</v>
      </c>
      <c r="B48" s="1655" t="s">
        <v>1281</v>
      </c>
      <c r="C48" s="1655" t="s">
        <v>407</v>
      </c>
      <c r="D48" s="1655" t="str">
        <f>IF(GEN_Refinance="","",GEN_Refinance)</f>
        <v/>
      </c>
      <c r="G48" s="1658"/>
      <c r="H48" s="1658"/>
      <c r="I48" s="1658"/>
      <c r="J48" s="311"/>
      <c r="K48" s="311"/>
      <c r="L48" s="1658"/>
      <c r="M48" s="1658"/>
      <c r="N48" s="1658"/>
      <c r="V48" s="1659" t="s">
        <v>407</v>
      </c>
      <c r="W48" s="1659" t="str">
        <f>IF(D48="X","Refinance","")</f>
        <v/>
      </c>
    </row>
    <row r="49" spans="1:23" x14ac:dyDescent="0.25">
      <c r="A49" s="1655" t="s">
        <v>1204</v>
      </c>
      <c r="B49" s="1655" t="s">
        <v>1281</v>
      </c>
      <c r="C49" s="1655" t="s">
        <v>303</v>
      </c>
      <c r="D49" s="1655" t="str">
        <f>IF(GEN_NewConstruction="","",GEN_NewConstruction)</f>
        <v/>
      </c>
      <c r="G49" s="1658"/>
      <c r="H49" s="1658"/>
      <c r="I49" s="1658"/>
      <c r="J49" s="311"/>
      <c r="K49" s="311"/>
      <c r="L49" s="1658"/>
      <c r="M49" s="1658"/>
      <c r="N49" s="1658"/>
      <c r="V49" s="1659" t="s">
        <v>303</v>
      </c>
      <c r="W49" s="1659" t="str">
        <f>IF(D49="X","New","")</f>
        <v/>
      </c>
    </row>
    <row r="50" spans="1:23" x14ac:dyDescent="0.25">
      <c r="A50" s="1655" t="s">
        <v>1204</v>
      </c>
      <c r="B50" s="1655" t="s">
        <v>1281</v>
      </c>
      <c r="C50" s="1655" t="s">
        <v>319</v>
      </c>
      <c r="D50" s="1655" t="str">
        <f>IF(GEN_Rehabilitation="","",GEN_Rehabilitation)</f>
        <v/>
      </c>
      <c r="G50" s="1658"/>
      <c r="H50" s="1658"/>
      <c r="I50" s="1658"/>
      <c r="J50" s="311"/>
      <c r="K50" s="311"/>
      <c r="L50" s="1658"/>
      <c r="M50" s="1658"/>
      <c r="N50" s="1658"/>
      <c r="V50" s="1659" t="s">
        <v>411</v>
      </c>
      <c r="W50" s="1659" t="str">
        <f>IF(D50="X","Rehab","")</f>
        <v/>
      </c>
    </row>
    <row r="51" spans="1:23" x14ac:dyDescent="0.25">
      <c r="A51" s="1655" t="s">
        <v>1204</v>
      </c>
      <c r="B51" s="1655" t="s">
        <v>930</v>
      </c>
      <c r="C51" s="1655" t="s">
        <v>1286</v>
      </c>
      <c r="D51" s="1655" t="str">
        <f>IF(GEN_UnitNC="","",GEN_UnitNC)</f>
        <v/>
      </c>
      <c r="G51" s="1658"/>
      <c r="H51" s="1658"/>
      <c r="I51" s="1658"/>
      <c r="J51" s="311"/>
      <c r="K51" s="311"/>
      <c r="L51" s="1655" t="s">
        <v>1209</v>
      </c>
      <c r="M51" s="1655" t="s">
        <v>1287</v>
      </c>
      <c r="N51" s="1655" t="str">
        <f t="shared" ref="N51:N60" si="3">IF(D51="","",D51)</f>
        <v/>
      </c>
      <c r="V51" s="1659" t="s">
        <v>1288</v>
      </c>
      <c r="W51" s="1659" t="str">
        <f>IF(W47="","",W47)&amp;IF(W49="","","/"&amp;W49)&amp;IF(W50="","","/"&amp;W50)&amp;IF(W48="","","/"&amp;W48)</f>
        <v/>
      </c>
    </row>
    <row r="52" spans="1:23" x14ac:dyDescent="0.25">
      <c r="A52" s="1655" t="s">
        <v>1204</v>
      </c>
      <c r="B52" s="1655" t="s">
        <v>930</v>
      </c>
      <c r="C52" s="1655" t="s">
        <v>1289</v>
      </c>
      <c r="D52" s="1655" t="str">
        <f>IF(GEN_UnitRehab="","",GEN_UnitRehab)</f>
        <v/>
      </c>
      <c r="G52" s="1658"/>
      <c r="H52" s="1658"/>
      <c r="I52" s="1658"/>
      <c r="J52" s="311"/>
      <c r="K52" s="311"/>
      <c r="L52" s="1655" t="s">
        <v>1209</v>
      </c>
      <c r="M52" s="1655" t="s">
        <v>1290</v>
      </c>
      <c r="N52" s="1655" t="str">
        <f t="shared" si="3"/>
        <v/>
      </c>
    </row>
    <row r="53" spans="1:23" x14ac:dyDescent="0.25">
      <c r="A53" s="1655" t="s">
        <v>1204</v>
      </c>
      <c r="B53" s="1655" t="s">
        <v>930</v>
      </c>
      <c r="C53" s="1655" t="s">
        <v>1291</v>
      </c>
      <c r="D53" s="1655" t="str">
        <f>IF(GEN_UFASUnits1BR="","",GEN_UFASUnits1BR)</f>
        <v/>
      </c>
      <c r="G53" s="1658"/>
      <c r="H53" s="1658"/>
      <c r="I53" s="1658"/>
      <c r="J53" s="311"/>
      <c r="K53" s="311"/>
      <c r="L53" s="1655" t="s">
        <v>1209</v>
      </c>
      <c r="M53" s="1655" t="s">
        <v>1292</v>
      </c>
      <c r="N53" s="1655" t="str">
        <f t="shared" si="3"/>
        <v/>
      </c>
    </row>
    <row r="54" spans="1:23" x14ac:dyDescent="0.25">
      <c r="A54" s="1655" t="s">
        <v>1204</v>
      </c>
      <c r="B54" s="1655" t="s">
        <v>930</v>
      </c>
      <c r="C54" s="1655" t="s">
        <v>1293</v>
      </c>
      <c r="D54" s="1655" t="str">
        <f>IF(GEN_UFASUnits2BR="","",GEN_UFASUnits2BR)</f>
        <v/>
      </c>
      <c r="G54" s="1658"/>
      <c r="H54" s="1658"/>
      <c r="I54" s="1658"/>
      <c r="J54" s="311"/>
      <c r="K54" s="311"/>
      <c r="L54" s="1655" t="s">
        <v>1209</v>
      </c>
      <c r="M54" s="1655" t="s">
        <v>1294</v>
      </c>
      <c r="N54" s="1655" t="str">
        <f t="shared" si="3"/>
        <v/>
      </c>
    </row>
    <row r="55" spans="1:23" x14ac:dyDescent="0.25">
      <c r="A55" s="1655" t="s">
        <v>1204</v>
      </c>
      <c r="B55" s="1655" t="s">
        <v>930</v>
      </c>
      <c r="C55" s="1655" t="s">
        <v>1295</v>
      </c>
      <c r="D55" s="1655" t="str">
        <f>IF(GEN_UFASUnits3BR="","",GEN_UFASUnits3BR)</f>
        <v/>
      </c>
      <c r="G55" s="1658"/>
      <c r="H55" s="1658"/>
      <c r="I55" s="1658"/>
      <c r="J55" s="311"/>
      <c r="K55" s="311"/>
      <c r="L55" s="1655" t="s">
        <v>1209</v>
      </c>
      <c r="M55" s="1655" t="s">
        <v>1296</v>
      </c>
      <c r="N55" s="1655" t="str">
        <f t="shared" si="3"/>
        <v/>
      </c>
    </row>
    <row r="56" spans="1:23" x14ac:dyDescent="0.25">
      <c r="A56" s="1655" t="s">
        <v>1204</v>
      </c>
      <c r="B56" s="1655" t="s">
        <v>930</v>
      </c>
      <c r="C56" s="1655" t="s">
        <v>1297</v>
      </c>
      <c r="D56" s="1655" t="str">
        <f>IF(GEN_UFASUnits4BR="","",GEN_UFASUnits4BR)</f>
        <v/>
      </c>
      <c r="G56" s="1658"/>
      <c r="H56" s="1658"/>
      <c r="I56" s="1658"/>
      <c r="J56" s="311"/>
      <c r="K56" s="311"/>
      <c r="L56" s="1655" t="s">
        <v>1209</v>
      </c>
      <c r="M56" s="1655" t="s">
        <v>1298</v>
      </c>
      <c r="N56" s="1655" t="str">
        <f t="shared" si="3"/>
        <v/>
      </c>
    </row>
    <row r="57" spans="1:23" x14ac:dyDescent="0.25">
      <c r="A57" s="1655" t="s">
        <v>1204</v>
      </c>
      <c r="B57" s="1655" t="s">
        <v>930</v>
      </c>
      <c r="C57" s="1655" t="s">
        <v>1299</v>
      </c>
      <c r="D57" s="1655" t="str">
        <f>IF(GEN_UFASUnits5BR="","",GEN_UFASUnits5BR)</f>
        <v/>
      </c>
      <c r="G57" s="1658"/>
      <c r="H57" s="1658"/>
      <c r="I57" s="1658"/>
      <c r="J57" s="311"/>
      <c r="K57" s="311"/>
      <c r="L57" s="1655" t="s">
        <v>1209</v>
      </c>
      <c r="M57" s="1655" t="s">
        <v>1300</v>
      </c>
      <c r="N57" s="1655" t="str">
        <f t="shared" si="3"/>
        <v/>
      </c>
    </row>
    <row r="58" spans="1:23" x14ac:dyDescent="0.25">
      <c r="A58" s="1655" t="s">
        <v>1204</v>
      </c>
      <c r="B58" s="1655" t="s">
        <v>930</v>
      </c>
      <c r="C58" s="1655" t="s">
        <v>1301</v>
      </c>
      <c r="D58" s="1655" t="str">
        <f>IF(GEN_UFASUnits6BR="","",GEN_UFASUnits6BR)</f>
        <v/>
      </c>
      <c r="G58" s="1658"/>
      <c r="H58" s="1658"/>
      <c r="I58" s="1658"/>
      <c r="J58" s="311"/>
      <c r="K58" s="311"/>
      <c r="L58" s="1655" t="s">
        <v>1209</v>
      </c>
      <c r="M58" s="1655" t="s">
        <v>1302</v>
      </c>
      <c r="N58" s="1655" t="str">
        <f t="shared" si="3"/>
        <v/>
      </c>
    </row>
    <row r="59" spans="1:23" x14ac:dyDescent="0.25">
      <c r="A59" s="1655" t="s">
        <v>1204</v>
      </c>
      <c r="B59" s="1655" t="s">
        <v>930</v>
      </c>
      <c r="C59" s="1655" t="s">
        <v>2633</v>
      </c>
      <c r="D59" s="1655">
        <f>IF(GENERAL!I103="","",GENERAL!I103)</f>
        <v>0</v>
      </c>
      <c r="G59" s="1658"/>
      <c r="H59" s="1658"/>
      <c r="I59" s="1658"/>
      <c r="J59" s="311"/>
      <c r="K59" s="311"/>
      <c r="L59" s="1664" t="s">
        <v>1209</v>
      </c>
      <c r="M59" s="1664" t="s">
        <v>2706</v>
      </c>
      <c r="N59" s="1664">
        <f>IF(D59="","",D59)</f>
        <v>0</v>
      </c>
    </row>
    <row r="60" spans="1:23" x14ac:dyDescent="0.25">
      <c r="A60" s="1655" t="s">
        <v>1204</v>
      </c>
      <c r="B60" s="1655" t="s">
        <v>930</v>
      </c>
      <c r="C60" s="1655" t="s">
        <v>2705</v>
      </c>
      <c r="D60" s="1655" t="str">
        <f>IF(GENERAL!F142="","",GENERAL!F142)</f>
        <v/>
      </c>
      <c r="G60" s="1658"/>
      <c r="H60" s="1658"/>
      <c r="I60" s="1658"/>
      <c r="J60" s="311"/>
      <c r="K60" s="311"/>
      <c r="L60" s="1664" t="s">
        <v>1209</v>
      </c>
      <c r="M60" s="1664" t="s">
        <v>2707</v>
      </c>
      <c r="N60" s="1664" t="str">
        <f t="shared" si="3"/>
        <v/>
      </c>
    </row>
    <row r="61" spans="1:23" x14ac:dyDescent="0.25">
      <c r="G61" s="311"/>
      <c r="H61" s="311"/>
      <c r="I61" s="311"/>
      <c r="J61" s="311"/>
      <c r="K61" s="311"/>
      <c r="L61" s="311"/>
      <c r="M61" s="311"/>
      <c r="N61" s="311"/>
    </row>
    <row r="62" spans="1:23" x14ac:dyDescent="0.25">
      <c r="G62" s="311"/>
      <c r="H62" s="311"/>
      <c r="I62" s="311"/>
      <c r="J62" s="311"/>
      <c r="K62" s="311"/>
      <c r="L62" s="311"/>
      <c r="M62" s="311"/>
      <c r="N62" s="311"/>
    </row>
    <row r="63" spans="1:23" ht="13.8" x14ac:dyDescent="0.25">
      <c r="A63" s="1651" t="s">
        <v>1183</v>
      </c>
      <c r="B63" s="1651" t="s">
        <v>1303</v>
      </c>
      <c r="C63" s="1651"/>
      <c r="D63" s="1651"/>
      <c r="G63" s="1660" t="s">
        <v>1194</v>
      </c>
      <c r="H63" s="1660"/>
      <c r="I63" s="1660"/>
      <c r="J63" s="311"/>
      <c r="K63" s="311"/>
      <c r="L63" s="1661" t="s">
        <v>1195</v>
      </c>
      <c r="M63" s="1661"/>
      <c r="N63" s="1661"/>
    </row>
    <row r="64" spans="1:23" x14ac:dyDescent="0.25">
      <c r="A64" s="1654" t="s">
        <v>1198</v>
      </c>
      <c r="B64" s="1654" t="s">
        <v>1199</v>
      </c>
      <c r="C64" s="1654" t="s">
        <v>1200</v>
      </c>
      <c r="D64" s="1654" t="s">
        <v>1201</v>
      </c>
      <c r="G64" s="1662" t="s">
        <v>1202</v>
      </c>
      <c r="H64" s="1662" t="s">
        <v>1203</v>
      </c>
      <c r="I64" s="1662" t="s">
        <v>1201</v>
      </c>
      <c r="J64" s="311"/>
      <c r="K64" s="311"/>
      <c r="L64" s="1662" t="s">
        <v>1202</v>
      </c>
      <c r="M64" s="1662" t="s">
        <v>1203</v>
      </c>
      <c r="N64" s="1662" t="s">
        <v>1201</v>
      </c>
    </row>
    <row r="65" spans="1:20" x14ac:dyDescent="0.25">
      <c r="A65" s="1655" t="s">
        <v>1204</v>
      </c>
      <c r="B65" s="1655" t="s">
        <v>1304</v>
      </c>
      <c r="C65" s="1655" t="s">
        <v>142</v>
      </c>
      <c r="D65" s="1655" t="str">
        <f>IF(GEN_RelatedParty="","",GEN_RelatedParty)</f>
        <v/>
      </c>
      <c r="G65" s="1658"/>
      <c r="H65" s="1658"/>
      <c r="I65" s="1658"/>
      <c r="L65" s="1655" t="s">
        <v>1209</v>
      </c>
      <c r="M65" s="1655" t="s">
        <v>1305</v>
      </c>
      <c r="N65" s="1657" t="str">
        <f>IF(D65="","",D65)</f>
        <v/>
      </c>
    </row>
    <row r="66" spans="1:20" x14ac:dyDescent="0.25">
      <c r="A66" s="1655" t="s">
        <v>1204</v>
      </c>
      <c r="B66" s="1655" t="s">
        <v>1306</v>
      </c>
      <c r="C66" s="1655" t="s">
        <v>146</v>
      </c>
      <c r="D66" s="1655" t="str">
        <f>IF(GEN_PercentOccupied="","",GEN_PercentOccupied)</f>
        <v/>
      </c>
      <c r="G66" s="1655" t="s">
        <v>1240</v>
      </c>
      <c r="H66" s="1655" t="s">
        <v>1307</v>
      </c>
      <c r="I66" s="1655" t="str">
        <f>IF(D66="","",D66)</f>
        <v/>
      </c>
      <c r="L66" s="1658"/>
      <c r="M66" s="1658"/>
      <c r="N66" s="1658"/>
    </row>
    <row r="67" spans="1:20" x14ac:dyDescent="0.25">
      <c r="A67" s="1655" t="s">
        <v>1204</v>
      </c>
      <c r="B67" s="1655" t="s">
        <v>1306</v>
      </c>
      <c r="C67" s="1655" t="s">
        <v>148</v>
      </c>
      <c r="D67" s="1655" t="str">
        <f>IF(GEN_HistoricRehab="","",GEN_HistoricRehab)</f>
        <v/>
      </c>
      <c r="G67" s="1655" t="s">
        <v>1240</v>
      </c>
      <c r="H67" s="1655" t="s">
        <v>1308</v>
      </c>
      <c r="I67" s="1657" t="str">
        <f>IF(D67="","",D67)</f>
        <v/>
      </c>
      <c r="L67" s="1658"/>
      <c r="M67" s="1658"/>
      <c r="N67" s="1658"/>
    </row>
    <row r="68" spans="1:20" x14ac:dyDescent="0.25">
      <c r="A68" s="1655" t="s">
        <v>1204</v>
      </c>
      <c r="B68" s="1655" t="s">
        <v>1306</v>
      </c>
      <c r="C68" s="1655" t="s">
        <v>149</v>
      </c>
      <c r="D68" s="1655" t="str">
        <f>IF(GEN_PermanentRelocation="","",GEN_PermanentRelocation)</f>
        <v/>
      </c>
      <c r="G68" s="1655" t="s">
        <v>1240</v>
      </c>
      <c r="H68" s="1655" t="s">
        <v>1308</v>
      </c>
      <c r="I68" s="1657" t="str">
        <f>IF(D68="","",D68)</f>
        <v/>
      </c>
      <c r="L68" s="1658"/>
      <c r="M68" s="1658"/>
      <c r="N68" s="1658"/>
    </row>
    <row r="69" spans="1:20" x14ac:dyDescent="0.25">
      <c r="A69" s="1655" t="s">
        <v>1204</v>
      </c>
      <c r="B69" s="1655" t="s">
        <v>1306</v>
      </c>
      <c r="C69" s="1655" t="s">
        <v>150</v>
      </c>
      <c r="D69" s="1655" t="str">
        <f>IF(GEN_TemporaryRelocation="","",GEN_TemporaryRelocation)</f>
        <v/>
      </c>
      <c r="G69" s="1655" t="s">
        <v>1240</v>
      </c>
      <c r="H69" s="1655" t="s">
        <v>1308</v>
      </c>
      <c r="I69" s="1657" t="str">
        <f>IF(D69="","",D69)</f>
        <v/>
      </c>
      <c r="L69" s="1658"/>
      <c r="M69" s="1658"/>
      <c r="N69" s="1658"/>
    </row>
    <row r="70" spans="1:20" x14ac:dyDescent="0.25">
      <c r="A70" s="1655" t="s">
        <v>1204</v>
      </c>
      <c r="B70" s="1655"/>
      <c r="C70" s="1655" t="s">
        <v>147</v>
      </c>
      <c r="D70" s="1655" t="str">
        <f>IF(GEN_DevFeeFundedReserve="","",GEN_DevFeeFundedReserve)</f>
        <v/>
      </c>
      <c r="G70" s="1655" t="s">
        <v>1309</v>
      </c>
      <c r="H70" s="1655" t="s">
        <v>1310</v>
      </c>
      <c r="I70" s="1657" t="str">
        <f>IF(D70="","",D70)</f>
        <v/>
      </c>
      <c r="L70" s="1658"/>
      <c r="M70" s="1658"/>
      <c r="N70" s="1658"/>
    </row>
    <row r="71" spans="1:20" ht="13.8" x14ac:dyDescent="0.25">
      <c r="A71" s="1655" t="s">
        <v>1204</v>
      </c>
      <c r="B71" s="1655"/>
      <c r="C71" s="1655" t="s">
        <v>1311</v>
      </c>
      <c r="D71" s="1655" t="str">
        <f>IF(GEN_TotalLandArea="","",GEN_TotalLandArea)</f>
        <v/>
      </c>
      <c r="G71" s="1658"/>
      <c r="H71" s="1658"/>
      <c r="I71" s="1658"/>
      <c r="L71" s="1655" t="s">
        <v>1209</v>
      </c>
      <c r="M71" s="1655" t="s">
        <v>1312</v>
      </c>
      <c r="N71" s="1655" t="str">
        <f>IF(D71="","",D71)</f>
        <v/>
      </c>
      <c r="Q71" s="1653" t="s">
        <v>1196</v>
      </c>
      <c r="R71" s="1653"/>
      <c r="S71" s="1653"/>
      <c r="T71" s="1653"/>
    </row>
    <row r="72" spans="1:20" x14ac:dyDescent="0.25">
      <c r="A72" s="1655" t="s">
        <v>1204</v>
      </c>
      <c r="B72" s="1655" t="s">
        <v>1313</v>
      </c>
      <c r="C72" s="1655" t="s">
        <v>155</v>
      </c>
      <c r="D72" s="1655" t="str">
        <f>IF(GEN_AreaResUnitsLowIncome="","",GEN_AreaResUnitsLowIncome)</f>
        <v/>
      </c>
      <c r="G72" s="1655" t="s">
        <v>1240</v>
      </c>
      <c r="H72" s="1655" t="s">
        <v>1314</v>
      </c>
      <c r="I72" s="1655" t="str">
        <f t="shared" ref="I72:I84" si="4">IF(D72="","",D72)</f>
        <v/>
      </c>
      <c r="L72" s="1658"/>
      <c r="M72" s="1658"/>
      <c r="N72" s="1658"/>
      <c r="Q72" s="1654" t="s">
        <v>1200</v>
      </c>
      <c r="R72" s="1654" t="s">
        <v>1202</v>
      </c>
      <c r="S72" s="1654" t="s">
        <v>1203</v>
      </c>
      <c r="T72" s="1654" t="s">
        <v>1201</v>
      </c>
    </row>
    <row r="73" spans="1:20" x14ac:dyDescent="0.25">
      <c r="A73" s="1655" t="s">
        <v>1204</v>
      </c>
      <c r="B73" s="1655" t="s">
        <v>1313</v>
      </c>
      <c r="C73" s="1655" t="s">
        <v>157</v>
      </c>
      <c r="D73" s="1655" t="str">
        <f>IF(GEN_AreaResUnitsMarket="","",GEN_AreaResUnitsMarket)</f>
        <v/>
      </c>
      <c r="G73" s="1655" t="s">
        <v>1240</v>
      </c>
      <c r="H73" s="1655" t="s">
        <v>1315</v>
      </c>
      <c r="I73" s="1655" t="str">
        <f t="shared" si="4"/>
        <v/>
      </c>
      <c r="L73" s="1658"/>
      <c r="M73" s="1658"/>
      <c r="N73" s="1658"/>
      <c r="Q73" s="1663" t="s">
        <v>1316</v>
      </c>
      <c r="R73" s="1659" t="s">
        <v>1317</v>
      </c>
      <c r="S73" s="1659" t="s">
        <v>234</v>
      </c>
      <c r="T73" s="1659">
        <f>IF(GENERAL!K132="","",GENERAL!K132)</f>
        <v>0</v>
      </c>
    </row>
    <row r="74" spans="1:20" x14ac:dyDescent="0.25">
      <c r="A74" s="1655" t="s">
        <v>1204</v>
      </c>
      <c r="B74" s="1655" t="s">
        <v>1313</v>
      </c>
      <c r="C74" s="1655" t="s">
        <v>159</v>
      </c>
      <c r="D74" s="1655" t="str">
        <f>IF(GEN_AreaResUnitsNonResStaff="","",GEN_AreaResUnitsNonResStaff)</f>
        <v/>
      </c>
      <c r="G74" s="1655" t="s">
        <v>1240</v>
      </c>
      <c r="H74" s="1655" t="s">
        <v>1318</v>
      </c>
      <c r="I74" s="1655" t="str">
        <f t="shared" si="4"/>
        <v/>
      </c>
      <c r="L74" s="1658"/>
      <c r="M74" s="1658"/>
      <c r="N74" s="1658"/>
    </row>
    <row r="75" spans="1:20" x14ac:dyDescent="0.25">
      <c r="A75" s="1655" t="s">
        <v>1204</v>
      </c>
      <c r="B75" s="1655" t="s">
        <v>1313</v>
      </c>
      <c r="C75" s="1655" t="s">
        <v>1319</v>
      </c>
      <c r="D75" s="1655" t="str">
        <f>IF(GEN_AreaCommercial="","",GEN_AreaCommercial)</f>
        <v/>
      </c>
      <c r="G75" s="1655" t="s">
        <v>1240</v>
      </c>
      <c r="H75" s="1655" t="s">
        <v>1320</v>
      </c>
      <c r="I75" s="1655" t="str">
        <f t="shared" si="4"/>
        <v/>
      </c>
      <c r="L75" s="1658"/>
      <c r="M75" s="1658"/>
      <c r="N75" s="1658"/>
    </row>
    <row r="76" spans="1:20" x14ac:dyDescent="0.25">
      <c r="A76" s="1655" t="s">
        <v>1204</v>
      </c>
      <c r="B76" s="1655" t="s">
        <v>1313</v>
      </c>
      <c r="C76" s="1655" t="s">
        <v>1321</v>
      </c>
      <c r="D76" s="1655" t="str">
        <f>IF(GEN_AreaCommercialDescr="","",GEN_AreaCommercialDescr)</f>
        <v/>
      </c>
      <c r="G76" s="1655" t="s">
        <v>1240</v>
      </c>
      <c r="H76" s="1655" t="s">
        <v>1322</v>
      </c>
      <c r="I76" s="1655" t="str">
        <f>IF(OR(D76="",D76="Describe"),"",D76)</f>
        <v/>
      </c>
      <c r="L76" s="1658"/>
      <c r="M76" s="1658"/>
      <c r="N76" s="1658"/>
    </row>
    <row r="77" spans="1:20" x14ac:dyDescent="0.25">
      <c r="A77" s="1655" t="s">
        <v>1204</v>
      </c>
      <c r="B77" s="1655" t="s">
        <v>1313</v>
      </c>
      <c r="C77" s="1655" t="s">
        <v>1323</v>
      </c>
      <c r="D77" s="1655" t="str">
        <f>IF(GEN_AreaCommonSpace="","",GEN_AreaCommonSpace)</f>
        <v/>
      </c>
      <c r="G77" s="1655" t="s">
        <v>1240</v>
      </c>
      <c r="H77" s="1655" t="s">
        <v>1324</v>
      </c>
      <c r="I77" s="1655" t="str">
        <f t="shared" si="4"/>
        <v/>
      </c>
      <c r="L77" s="1658"/>
      <c r="M77" s="1658"/>
      <c r="N77" s="1658"/>
    </row>
    <row r="78" spans="1:20" x14ac:dyDescent="0.25">
      <c r="A78" s="1655" t="s">
        <v>1204</v>
      </c>
      <c r="B78" s="1655" t="s">
        <v>1313</v>
      </c>
      <c r="C78" s="1655" t="s">
        <v>1325</v>
      </c>
      <c r="D78" s="1655" t="str">
        <f>IF(GEN_AreaCirculation="","",GEN_AreaCirculation)</f>
        <v/>
      </c>
      <c r="G78" s="1655" t="s">
        <v>1240</v>
      </c>
      <c r="H78" s="1655" t="s">
        <v>1326</v>
      </c>
      <c r="I78" s="1655" t="str">
        <f t="shared" si="4"/>
        <v/>
      </c>
      <c r="L78" s="1658"/>
      <c r="M78" s="1658"/>
      <c r="N78" s="1658"/>
    </row>
    <row r="79" spans="1:20" x14ac:dyDescent="0.25">
      <c r="A79" s="1655" t="s">
        <v>1204</v>
      </c>
      <c r="B79" s="1655" t="s">
        <v>1313</v>
      </c>
      <c r="C79" s="1655" t="s">
        <v>1327</v>
      </c>
      <c r="D79" s="1655" t="str">
        <f>IF(GEN_AreaRecreation="","",GEN_AreaRecreation)</f>
        <v/>
      </c>
      <c r="G79" s="1655" t="s">
        <v>1240</v>
      </c>
      <c r="H79" s="1655" t="s">
        <v>1328</v>
      </c>
      <c r="I79" s="1655" t="str">
        <f t="shared" si="4"/>
        <v/>
      </c>
      <c r="L79" s="1658"/>
      <c r="M79" s="1658"/>
      <c r="N79" s="1658"/>
    </row>
    <row r="80" spans="1:20" x14ac:dyDescent="0.25">
      <c r="A80" s="1655" t="s">
        <v>1204</v>
      </c>
      <c r="B80" s="1655" t="s">
        <v>1313</v>
      </c>
      <c r="C80" s="1655" t="s">
        <v>1329</v>
      </c>
      <c r="D80" s="1655" t="str">
        <f>IF(GEN_AreaOther1="","",GEN_AreaOther1)</f>
        <v/>
      </c>
      <c r="G80" s="1655" t="s">
        <v>1240</v>
      </c>
      <c r="H80" s="1655" t="s">
        <v>1330</v>
      </c>
      <c r="I80" s="1655" t="str">
        <f t="shared" si="4"/>
        <v/>
      </c>
      <c r="L80" s="1658"/>
      <c r="M80" s="1658"/>
      <c r="N80" s="1658"/>
    </row>
    <row r="81" spans="1:14" x14ac:dyDescent="0.25">
      <c r="A81" s="1655" t="s">
        <v>1204</v>
      </c>
      <c r="B81" s="1655" t="s">
        <v>1313</v>
      </c>
      <c r="C81" s="1655" t="s">
        <v>1331</v>
      </c>
      <c r="D81" s="1655" t="str">
        <f>IF(GEN_AreaOther2="","",GEN_AreaOther2)</f>
        <v/>
      </c>
      <c r="G81" s="1655" t="s">
        <v>1240</v>
      </c>
      <c r="H81" s="1655" t="s">
        <v>1332</v>
      </c>
      <c r="I81" s="1655" t="str">
        <f t="shared" si="4"/>
        <v/>
      </c>
      <c r="L81" s="1658"/>
      <c r="M81" s="1658"/>
      <c r="N81" s="1658"/>
    </row>
    <row r="82" spans="1:14" x14ac:dyDescent="0.25">
      <c r="A82" s="1655" t="s">
        <v>1204</v>
      </c>
      <c r="B82" s="1655" t="s">
        <v>1313</v>
      </c>
      <c r="C82" s="1655" t="s">
        <v>1333</v>
      </c>
      <c r="D82" s="1655" t="str">
        <f>IF(GEN_AreaOther3="","",GEN_AreaOther3)</f>
        <v/>
      </c>
      <c r="G82" s="1655" t="s">
        <v>1240</v>
      </c>
      <c r="H82" s="1655" t="s">
        <v>1334</v>
      </c>
      <c r="I82" s="1655" t="str">
        <f t="shared" si="4"/>
        <v/>
      </c>
      <c r="L82" s="1658"/>
      <c r="M82" s="1658"/>
      <c r="N82" s="1658"/>
    </row>
    <row r="83" spans="1:14" x14ac:dyDescent="0.25">
      <c r="A83" s="1655" t="s">
        <v>1204</v>
      </c>
      <c r="B83" s="1655" t="s">
        <v>1313</v>
      </c>
      <c r="C83" s="1655" t="s">
        <v>1335</v>
      </c>
      <c r="D83" s="1655" t="str">
        <f>IF(GEN_AreaOther4="","",GEN_AreaOther4)</f>
        <v/>
      </c>
      <c r="G83" s="1655" t="s">
        <v>1240</v>
      </c>
      <c r="H83" s="1655" t="s">
        <v>1336</v>
      </c>
      <c r="I83" s="1655" t="str">
        <f t="shared" si="4"/>
        <v/>
      </c>
      <c r="L83" s="1658"/>
      <c r="M83" s="1658"/>
      <c r="N83" s="1658"/>
    </row>
    <row r="84" spans="1:14" x14ac:dyDescent="0.25">
      <c r="A84" s="1655" t="s">
        <v>1204</v>
      </c>
      <c r="B84" s="1655" t="s">
        <v>1313</v>
      </c>
      <c r="C84" s="1655" t="s">
        <v>1337</v>
      </c>
      <c r="D84" s="1655" t="str">
        <f>IF(GEN_AreaOther5="","",GEN_AreaOther5)</f>
        <v/>
      </c>
      <c r="G84" s="1655" t="s">
        <v>1240</v>
      </c>
      <c r="H84" s="1655" t="s">
        <v>1338</v>
      </c>
      <c r="I84" s="1655" t="str">
        <f t="shared" si="4"/>
        <v/>
      </c>
      <c r="L84" s="1658"/>
      <c r="M84" s="1658"/>
      <c r="N84" s="1658"/>
    </row>
    <row r="85" spans="1:14" x14ac:dyDescent="0.25">
      <c r="A85" s="1655" t="s">
        <v>1204</v>
      </c>
      <c r="B85" s="1655" t="s">
        <v>1313</v>
      </c>
      <c r="C85" s="1655" t="s">
        <v>1339</v>
      </c>
      <c r="D85" s="1655" t="str">
        <f>IF(GEN_AreaOther1Descr="","",GEN_AreaOther1Descr)</f>
        <v/>
      </c>
      <c r="G85" s="1655" t="s">
        <v>1240</v>
      </c>
      <c r="H85" s="1655" t="s">
        <v>1340</v>
      </c>
      <c r="I85" s="1655" t="str">
        <f>IF(OR(D85="",D85="Describe"),"",D85)</f>
        <v/>
      </c>
      <c r="L85" s="1658"/>
      <c r="M85" s="1658"/>
      <c r="N85" s="1658"/>
    </row>
    <row r="86" spans="1:14" x14ac:dyDescent="0.25">
      <c r="A86" s="1655" t="s">
        <v>1204</v>
      </c>
      <c r="B86" s="1655" t="s">
        <v>1313</v>
      </c>
      <c r="C86" s="1655" t="s">
        <v>1341</v>
      </c>
      <c r="D86" s="1655" t="str">
        <f>IF(GEN_AreaOther2Descr="","",GEN_AreaOther2Descr)</f>
        <v/>
      </c>
      <c r="G86" s="1655" t="s">
        <v>1240</v>
      </c>
      <c r="H86" s="1655" t="s">
        <v>1342</v>
      </c>
      <c r="I86" s="1655" t="str">
        <f>IF(OR(D86="",D86="Describe"),"",D86)</f>
        <v/>
      </c>
      <c r="L86" s="1658"/>
      <c r="M86" s="1658"/>
      <c r="N86" s="1658"/>
    </row>
    <row r="87" spans="1:14" x14ac:dyDescent="0.25">
      <c r="A87" s="1655" t="s">
        <v>1204</v>
      </c>
      <c r="B87" s="1655" t="s">
        <v>1313</v>
      </c>
      <c r="C87" s="1655" t="s">
        <v>1343</v>
      </c>
      <c r="D87" s="1655" t="str">
        <f>IF(GEN_AreaOther3Descr="","",GEN_AreaOther3Descr)</f>
        <v/>
      </c>
      <c r="G87" s="1655" t="s">
        <v>1240</v>
      </c>
      <c r="H87" s="1655" t="s">
        <v>1344</v>
      </c>
      <c r="I87" s="1655" t="str">
        <f>IF(OR(D87="",D87="Describe"),"",D87)</f>
        <v/>
      </c>
      <c r="L87" s="1658"/>
      <c r="M87" s="1658"/>
      <c r="N87" s="1658"/>
    </row>
    <row r="88" spans="1:14" x14ac:dyDescent="0.25">
      <c r="A88" s="1655" t="s">
        <v>1204</v>
      </c>
      <c r="B88" s="1655" t="s">
        <v>1313</v>
      </c>
      <c r="C88" s="1655" t="s">
        <v>1345</v>
      </c>
      <c r="D88" s="1655" t="str">
        <f>IF(GEN_AreaOther4Descr="","",GEN_AreaOther4Descr)</f>
        <v/>
      </c>
      <c r="G88" s="1655" t="s">
        <v>1240</v>
      </c>
      <c r="H88" s="1655" t="s">
        <v>1346</v>
      </c>
      <c r="I88" s="1655" t="str">
        <f>IF(OR(D88="",D88="Describe"),"",D88)</f>
        <v/>
      </c>
      <c r="L88" s="1658"/>
      <c r="M88" s="1658"/>
      <c r="N88" s="1658"/>
    </row>
    <row r="89" spans="1:14" x14ac:dyDescent="0.25">
      <c r="A89" s="1655" t="s">
        <v>1204</v>
      </c>
      <c r="B89" s="1655" t="s">
        <v>1313</v>
      </c>
      <c r="C89" s="1655" t="s">
        <v>1347</v>
      </c>
      <c r="D89" s="1655" t="str">
        <f>IF(GEN_AreaOther5Descr="","",GEN_AreaOther5Descr)</f>
        <v/>
      </c>
      <c r="G89" s="1655" t="s">
        <v>1240</v>
      </c>
      <c r="H89" s="1655" t="s">
        <v>1348</v>
      </c>
      <c r="I89" s="1655" t="str">
        <f>IF(OR(D89="",D89="Describe"),"",D89)</f>
        <v/>
      </c>
      <c r="L89" s="1658"/>
      <c r="M89" s="1658"/>
      <c r="N89" s="1658"/>
    </row>
    <row r="90" spans="1:14" x14ac:dyDescent="0.25">
      <c r="A90" s="1655" t="s">
        <v>1204</v>
      </c>
      <c r="B90" s="1655" t="s">
        <v>1349</v>
      </c>
      <c r="C90" s="1655" t="s">
        <v>167</v>
      </c>
      <c r="D90" s="1655" t="str">
        <f>IF(GEN_GeneralOccupancy="","",GEN_GeneralOccupancy)</f>
        <v/>
      </c>
      <c r="G90" s="1658"/>
      <c r="H90" s="1658"/>
      <c r="I90" s="1658"/>
      <c r="L90" s="1655" t="s">
        <v>1209</v>
      </c>
      <c r="M90" s="1655" t="s">
        <v>1350</v>
      </c>
      <c r="N90" s="1655" t="str">
        <f t="shared" ref="N90:N117" si="5">IF(D90="","",D90)</f>
        <v/>
      </c>
    </row>
    <row r="91" spans="1:14" x14ac:dyDescent="0.25">
      <c r="A91" s="1655" t="s">
        <v>1204</v>
      </c>
      <c r="B91" s="1655" t="s">
        <v>1349</v>
      </c>
      <c r="C91" s="1655" t="s">
        <v>168</v>
      </c>
      <c r="D91" s="1655" t="str">
        <f>IF(GEN_Elderly="","",GEN_Elderly)</f>
        <v/>
      </c>
      <c r="G91" s="1658"/>
      <c r="H91" s="1658"/>
      <c r="I91" s="1658"/>
      <c r="L91" s="1655" t="s">
        <v>1209</v>
      </c>
      <c r="M91" s="1655" t="s">
        <v>1350</v>
      </c>
      <c r="N91" s="1655" t="str">
        <f t="shared" si="5"/>
        <v/>
      </c>
    </row>
    <row r="92" spans="1:14" x14ac:dyDescent="0.25">
      <c r="A92" s="1655" t="s">
        <v>1204</v>
      </c>
      <c r="B92" s="1655" t="s">
        <v>1349</v>
      </c>
      <c r="C92" s="1655" t="s">
        <v>169</v>
      </c>
      <c r="D92" s="1655" t="str">
        <f>IF(GEN_SpecialNeeds="","",GEN_SpecialNeeds)</f>
        <v/>
      </c>
      <c r="G92" s="1658"/>
      <c r="H92" s="1658"/>
      <c r="I92" s="1658"/>
      <c r="L92" s="1655" t="s">
        <v>1209</v>
      </c>
      <c r="M92" s="1655" t="s">
        <v>1350</v>
      </c>
      <c r="N92" s="1655" t="str">
        <f t="shared" si="5"/>
        <v/>
      </c>
    </row>
    <row r="93" spans="1:14" x14ac:dyDescent="0.25">
      <c r="A93" s="1655" t="s">
        <v>1204</v>
      </c>
      <c r="B93" s="1655"/>
      <c r="C93" s="1655" t="s">
        <v>172</v>
      </c>
      <c r="D93" s="1655" t="str">
        <f>IF(GEN_CommercialUnit="","",GEN_CommercialUnit)</f>
        <v/>
      </c>
      <c r="G93" s="1658"/>
      <c r="H93" s="1658"/>
      <c r="I93" s="1658"/>
      <c r="L93" s="1655" t="s">
        <v>1209</v>
      </c>
      <c r="M93" s="1655" t="s">
        <v>1350</v>
      </c>
      <c r="N93" s="1655" t="str">
        <f t="shared" si="5"/>
        <v/>
      </c>
    </row>
    <row r="94" spans="1:14" x14ac:dyDescent="0.25">
      <c r="A94" s="1655" t="s">
        <v>1204</v>
      </c>
      <c r="B94" s="1655" t="s">
        <v>1351</v>
      </c>
      <c r="C94" s="1655" t="s">
        <v>1352</v>
      </c>
      <c r="D94" s="1655" t="str">
        <f>IF(GEN_TargetPop1="","",GEN_TargetPop1)</f>
        <v/>
      </c>
      <c r="G94" s="1658"/>
      <c r="H94" s="1658"/>
      <c r="I94" s="1658"/>
      <c r="L94" s="1655" t="s">
        <v>1209</v>
      </c>
      <c r="M94" s="1655" t="s">
        <v>1353</v>
      </c>
      <c r="N94" s="1655" t="str">
        <f t="shared" si="5"/>
        <v/>
      </c>
    </row>
    <row r="95" spans="1:14" x14ac:dyDescent="0.25">
      <c r="A95" s="1655" t="s">
        <v>1204</v>
      </c>
      <c r="B95" s="1655" t="s">
        <v>1351</v>
      </c>
      <c r="C95" s="1655" t="s">
        <v>1354</v>
      </c>
      <c r="D95" s="1655" t="str">
        <f>IF(GEN_TargetPop2="","",GEN_TargetPop2)</f>
        <v/>
      </c>
      <c r="G95" s="1658"/>
      <c r="H95" s="1658"/>
      <c r="I95" s="1658"/>
      <c r="L95" s="1655" t="s">
        <v>1209</v>
      </c>
      <c r="M95" s="1655" t="s">
        <v>1353</v>
      </c>
      <c r="N95" s="1655" t="str">
        <f t="shared" si="5"/>
        <v/>
      </c>
    </row>
    <row r="96" spans="1:14" x14ac:dyDescent="0.25">
      <c r="A96" s="1655" t="s">
        <v>1204</v>
      </c>
      <c r="B96" s="1655" t="s">
        <v>1351</v>
      </c>
      <c r="C96" s="1655" t="s">
        <v>1999</v>
      </c>
      <c r="D96" s="1655" t="str">
        <f>IF(GEN_TargetPop3="","",GEN_TargetPop3)</f>
        <v/>
      </c>
      <c r="G96" s="1658"/>
      <c r="H96" s="1658"/>
      <c r="I96" s="1658"/>
      <c r="L96" s="1655" t="s">
        <v>1209</v>
      </c>
      <c r="M96" s="1655" t="s">
        <v>1353</v>
      </c>
      <c r="N96" s="1655" t="str">
        <f t="shared" si="5"/>
        <v/>
      </c>
    </row>
    <row r="97" spans="1:14" x14ac:dyDescent="0.25">
      <c r="A97" s="1655" t="s">
        <v>1204</v>
      </c>
      <c r="B97" s="1655" t="s">
        <v>1351</v>
      </c>
      <c r="C97" s="1655" t="s">
        <v>1355</v>
      </c>
      <c r="D97" s="1655" t="str">
        <f>IF(GEN_TargetPopType1="","",GEN_TargetPopType1)</f>
        <v/>
      </c>
      <c r="G97" s="1658"/>
      <c r="H97" s="1658"/>
      <c r="I97" s="1658"/>
      <c r="L97" s="1655" t="s">
        <v>1209</v>
      </c>
      <c r="M97" s="1655" t="s">
        <v>1353</v>
      </c>
      <c r="N97" s="1657" t="str">
        <f t="shared" si="5"/>
        <v/>
      </c>
    </row>
    <row r="98" spans="1:14" x14ac:dyDescent="0.25">
      <c r="A98" s="1655" t="s">
        <v>1204</v>
      </c>
      <c r="B98" s="1655" t="s">
        <v>1351</v>
      </c>
      <c r="C98" s="1655" t="s">
        <v>1356</v>
      </c>
      <c r="D98" s="1655" t="str">
        <f>IF(GEN_TargetPopType2="","",GEN_TargetPopType2)</f>
        <v/>
      </c>
      <c r="G98" s="1658"/>
      <c r="H98" s="1658"/>
      <c r="I98" s="1658"/>
      <c r="L98" s="1655" t="s">
        <v>1209</v>
      </c>
      <c r="M98" s="1655" t="s">
        <v>1353</v>
      </c>
      <c r="N98" s="1657" t="str">
        <f t="shared" si="5"/>
        <v/>
      </c>
    </row>
    <row r="99" spans="1:14" x14ac:dyDescent="0.25">
      <c r="A99" s="1655" t="s">
        <v>1204</v>
      </c>
      <c r="B99" s="1655"/>
      <c r="C99" s="1655" t="s">
        <v>179</v>
      </c>
      <c r="D99" s="1655" t="str">
        <f>IF(GEN_Subsidy="","",GEN_Subsidy)</f>
        <v/>
      </c>
      <c r="G99" s="1658"/>
      <c r="H99" s="1658"/>
      <c r="I99" s="1658"/>
      <c r="L99" s="1655" t="s">
        <v>1209</v>
      </c>
      <c r="M99" s="1655" t="s">
        <v>1357</v>
      </c>
      <c r="N99" s="1655" t="str">
        <f t="shared" si="5"/>
        <v/>
      </c>
    </row>
    <row r="100" spans="1:14" x14ac:dyDescent="0.25">
      <c r="A100" s="1655" t="s">
        <v>1204</v>
      </c>
      <c r="B100" s="1655" t="s">
        <v>1358</v>
      </c>
      <c r="C100" s="1655" t="s">
        <v>1359</v>
      </c>
      <c r="D100" s="1655" t="str">
        <f>IF(GEN_HomeownershipTransition="","",GEN_HomeownershipTransition)</f>
        <v/>
      </c>
      <c r="G100" s="1658"/>
      <c r="H100" s="1658"/>
      <c r="I100" s="1658"/>
      <c r="L100" s="1655" t="s">
        <v>1209</v>
      </c>
      <c r="M100" s="1655" t="s">
        <v>1360</v>
      </c>
      <c r="N100" s="1657" t="str">
        <f t="shared" si="5"/>
        <v/>
      </c>
    </row>
    <row r="101" spans="1:14" x14ac:dyDescent="0.25">
      <c r="A101" s="1655" t="s">
        <v>1204</v>
      </c>
      <c r="B101" s="1655" t="s">
        <v>1361</v>
      </c>
      <c r="C101" s="1655" t="s">
        <v>195</v>
      </c>
      <c r="D101" s="1655" t="str">
        <f>IF(GEN_SiteControlYN="","",GEN_SiteControlYN)</f>
        <v/>
      </c>
      <c r="G101" s="1658"/>
      <c r="H101" s="1658"/>
      <c r="I101" s="1658"/>
      <c r="L101" s="1655" t="s">
        <v>1209</v>
      </c>
      <c r="M101" s="1655" t="s">
        <v>1362</v>
      </c>
      <c r="N101" s="1657" t="str">
        <f t="shared" si="5"/>
        <v/>
      </c>
    </row>
    <row r="102" spans="1:14" x14ac:dyDescent="0.25">
      <c r="A102" s="1655" t="s">
        <v>1204</v>
      </c>
      <c r="B102" s="1655" t="s">
        <v>1361</v>
      </c>
      <c r="C102" s="1655" t="s">
        <v>197</v>
      </c>
      <c r="D102" s="1655" t="str">
        <f>IF(GEN_SiteControlType="","",GEN_SiteControlType)</f>
        <v/>
      </c>
      <c r="G102" s="1658"/>
      <c r="H102" s="1658"/>
      <c r="I102" s="1658"/>
      <c r="L102" s="1655" t="s">
        <v>1209</v>
      </c>
      <c r="M102" s="1655" t="s">
        <v>1363</v>
      </c>
      <c r="N102" s="1657" t="str">
        <f t="shared" si="5"/>
        <v/>
      </c>
    </row>
    <row r="103" spans="1:14" x14ac:dyDescent="0.25">
      <c r="A103" s="1655" t="s">
        <v>1204</v>
      </c>
      <c r="B103" s="1655" t="s">
        <v>1361</v>
      </c>
      <c r="C103" s="1655" t="s">
        <v>1364</v>
      </c>
      <c r="D103" s="1659" t="str">
        <f>IF(GEN_Identityofinterest="","",GEN_Identityofinterest)</f>
        <v/>
      </c>
      <c r="G103" s="1658"/>
      <c r="H103" s="1658"/>
      <c r="I103" s="1658"/>
      <c r="L103" s="1655" t="s">
        <v>1209</v>
      </c>
      <c r="M103" s="1655" t="s">
        <v>1365</v>
      </c>
      <c r="N103" s="1657" t="str">
        <f t="shared" si="5"/>
        <v/>
      </c>
    </row>
    <row r="104" spans="1:14" x14ac:dyDescent="0.25">
      <c r="A104" s="1655" t="s">
        <v>1204</v>
      </c>
      <c r="B104" s="1655" t="s">
        <v>1361</v>
      </c>
      <c r="C104" s="1655" t="s">
        <v>1366</v>
      </c>
      <c r="D104" s="1665" t="str">
        <f>IF(GEN_SiteControlExpire1="","",GEN_SiteControlExpire1)</f>
        <v/>
      </c>
      <c r="G104" s="1658"/>
      <c r="H104" s="1658"/>
      <c r="I104" s="1666"/>
      <c r="L104" s="1655" t="s">
        <v>1209</v>
      </c>
      <c r="M104" s="1655" t="s">
        <v>1362</v>
      </c>
      <c r="N104" s="1665" t="str">
        <f t="shared" si="5"/>
        <v/>
      </c>
    </row>
    <row r="105" spans="1:14" x14ac:dyDescent="0.25">
      <c r="A105" s="1655" t="s">
        <v>1204</v>
      </c>
      <c r="B105" s="1655" t="s">
        <v>1361</v>
      </c>
      <c r="C105" s="1655" t="s">
        <v>1367</v>
      </c>
      <c r="D105" s="1665" t="str">
        <f>IF(GEN_SiteControlExpire2="","",GEN_SiteControlExpire2)</f>
        <v/>
      </c>
      <c r="G105" s="1658"/>
      <c r="H105" s="1658"/>
      <c r="I105" s="1658"/>
      <c r="L105" s="1655" t="s">
        <v>1209</v>
      </c>
      <c r="M105" s="1655" t="s">
        <v>1362</v>
      </c>
      <c r="N105" s="1665" t="str">
        <f t="shared" si="5"/>
        <v/>
      </c>
    </row>
    <row r="106" spans="1:14" x14ac:dyDescent="0.25">
      <c r="A106" s="1655" t="s">
        <v>1204</v>
      </c>
      <c r="B106" s="1655" t="s">
        <v>1361</v>
      </c>
      <c r="C106" s="1655" t="s">
        <v>1368</v>
      </c>
      <c r="D106" s="1665" t="str">
        <f>IF(GEN_SiteControlExpire3="","",GEN_SiteControlExpire3)</f>
        <v/>
      </c>
      <c r="G106" s="1658"/>
      <c r="H106" s="1658"/>
      <c r="I106" s="1658"/>
      <c r="L106" s="1655" t="s">
        <v>1209</v>
      </c>
      <c r="M106" s="1655" t="s">
        <v>1362</v>
      </c>
      <c r="N106" s="1665" t="str">
        <f t="shared" si="5"/>
        <v/>
      </c>
    </row>
    <row r="107" spans="1:14" x14ac:dyDescent="0.25">
      <c r="A107" s="1655" t="s">
        <v>1204</v>
      </c>
      <c r="B107" s="1655" t="s">
        <v>1361</v>
      </c>
      <c r="C107" s="1655" t="s">
        <v>1369</v>
      </c>
      <c r="D107" s="1655" t="str">
        <f>IF(GEN_Extension1="","",GEN_Extension1)</f>
        <v/>
      </c>
      <c r="G107" s="1658"/>
      <c r="H107" s="1658"/>
      <c r="I107" s="1658"/>
      <c r="L107" s="1655" t="s">
        <v>1209</v>
      </c>
      <c r="M107" s="1655" t="s">
        <v>1362</v>
      </c>
      <c r="N107" s="1655" t="str">
        <f t="shared" si="5"/>
        <v/>
      </c>
    </row>
    <row r="108" spans="1:14" x14ac:dyDescent="0.25">
      <c r="A108" s="1655" t="s">
        <v>1204</v>
      </c>
      <c r="B108" s="1655" t="s">
        <v>1361</v>
      </c>
      <c r="C108" s="1655" t="s">
        <v>1370</v>
      </c>
      <c r="D108" s="1655" t="str">
        <f>IF(GEN_Extension2="","",GEN_Extension2)</f>
        <v/>
      </c>
      <c r="G108" s="1658"/>
      <c r="H108" s="1658"/>
      <c r="I108" s="1658"/>
      <c r="L108" s="1655" t="s">
        <v>1209</v>
      </c>
      <c r="M108" s="1655" t="s">
        <v>1362</v>
      </c>
      <c r="N108" s="1655" t="str">
        <f t="shared" si="5"/>
        <v/>
      </c>
    </row>
    <row r="109" spans="1:14" x14ac:dyDescent="0.25">
      <c r="A109" s="1655" t="s">
        <v>1204</v>
      </c>
      <c r="B109" s="1655" t="s">
        <v>1361</v>
      </c>
      <c r="C109" s="1655" t="s">
        <v>1371</v>
      </c>
      <c r="D109" s="1655" t="str">
        <f>IF(GEN_Extension3="","",GEN_Extension3)</f>
        <v/>
      </c>
      <c r="G109" s="1658"/>
      <c r="H109" s="1658"/>
      <c r="I109" s="1658"/>
      <c r="L109" s="1655" t="s">
        <v>1209</v>
      </c>
      <c r="M109" s="1655" t="s">
        <v>1362</v>
      </c>
      <c r="N109" s="1655" t="str">
        <f t="shared" si="5"/>
        <v/>
      </c>
    </row>
    <row r="110" spans="1:14" x14ac:dyDescent="0.25">
      <c r="A110" s="1655" t="s">
        <v>1204</v>
      </c>
      <c r="B110" s="1655" t="s">
        <v>1361</v>
      </c>
      <c r="C110" s="1655" t="s">
        <v>200</v>
      </c>
      <c r="D110" s="1665" t="str">
        <f>IF(GEN_DatesiteAcquired="","",GEN_DatesiteAcquired)</f>
        <v/>
      </c>
      <c r="G110" s="1658"/>
      <c r="H110" s="1658"/>
      <c r="I110" s="1658"/>
      <c r="L110" s="1655" t="s">
        <v>1209</v>
      </c>
      <c r="M110" s="1655" t="s">
        <v>1372</v>
      </c>
      <c r="N110" s="1665" t="str">
        <f t="shared" si="5"/>
        <v/>
      </c>
    </row>
    <row r="111" spans="1:14" x14ac:dyDescent="0.25">
      <c r="A111" s="1655" t="s">
        <v>1204</v>
      </c>
      <c r="B111" s="1655" t="s">
        <v>1361</v>
      </c>
      <c r="C111" s="1655" t="s">
        <v>1373</v>
      </c>
      <c r="D111" s="1655" t="str">
        <f>IF(GEN_Contractextensionperiod="","",GEN_Contractextensionperiod)</f>
        <v/>
      </c>
      <c r="G111" s="1658"/>
      <c r="H111" s="1658"/>
      <c r="I111" s="1658"/>
      <c r="L111" s="1655" t="s">
        <v>1209</v>
      </c>
      <c r="M111" s="1655" t="s">
        <v>1374</v>
      </c>
      <c r="N111" s="1655" t="str">
        <f t="shared" si="5"/>
        <v/>
      </c>
    </row>
    <row r="112" spans="1:14" x14ac:dyDescent="0.25">
      <c r="A112" s="1655" t="s">
        <v>1204</v>
      </c>
      <c r="B112" s="1655" t="s">
        <v>202</v>
      </c>
      <c r="C112" s="1655" t="s">
        <v>203</v>
      </c>
      <c r="D112" s="1655" t="str">
        <f>IF(GEN_CurrentZoningClassification="","",GEN_CurrentZoningClassification)</f>
        <v/>
      </c>
      <c r="G112" s="1658"/>
      <c r="H112" s="1658"/>
      <c r="I112" s="1658"/>
      <c r="L112" s="1655" t="s">
        <v>1209</v>
      </c>
      <c r="M112" s="1655" t="s">
        <v>1375</v>
      </c>
      <c r="N112" s="1655" t="str">
        <f t="shared" si="5"/>
        <v/>
      </c>
    </row>
    <row r="113" spans="1:14" x14ac:dyDescent="0.25">
      <c r="A113" s="1655" t="s">
        <v>1204</v>
      </c>
      <c r="B113" s="1655" t="s">
        <v>202</v>
      </c>
      <c r="C113" s="1655" t="s">
        <v>204</v>
      </c>
      <c r="D113" s="1655" t="str">
        <f>IF(GEN_DescribeCurrentClassification="","",GEN_DescribeCurrentClassification)</f>
        <v/>
      </c>
      <c r="G113" s="1658"/>
      <c r="H113" s="1658"/>
      <c r="I113" s="1658"/>
      <c r="L113" s="1655" t="s">
        <v>1209</v>
      </c>
      <c r="M113" s="1655" t="s">
        <v>1375</v>
      </c>
      <c r="N113" s="1655" t="str">
        <f t="shared" si="5"/>
        <v/>
      </c>
    </row>
    <row r="114" spans="1:14" x14ac:dyDescent="0.25">
      <c r="A114" s="1655" t="s">
        <v>1204</v>
      </c>
      <c r="B114" s="1655" t="s">
        <v>202</v>
      </c>
      <c r="C114" s="1655" t="s">
        <v>1376</v>
      </c>
      <c r="D114" s="1655" t="str">
        <f>IF(GEN_Zoningchange="","",GEN_Zoningchange)</f>
        <v/>
      </c>
      <c r="G114" s="1658"/>
      <c r="H114" s="1658"/>
      <c r="I114" s="1658"/>
      <c r="L114" s="1655" t="s">
        <v>1209</v>
      </c>
      <c r="M114" s="1655" t="s">
        <v>1375</v>
      </c>
      <c r="N114" s="1657" t="str">
        <f t="shared" si="5"/>
        <v/>
      </c>
    </row>
    <row r="115" spans="1:14" x14ac:dyDescent="0.25">
      <c r="A115" s="1655" t="s">
        <v>1204</v>
      </c>
      <c r="B115" s="1655" t="s">
        <v>202</v>
      </c>
      <c r="C115" s="1655" t="s">
        <v>206</v>
      </c>
      <c r="D115" s="1665" t="str">
        <f>IF(AND(GEN_ZoningchangeDateApplication&lt;&gt;"",ISNUMBER(GEN_ZoningchangeDateApplication)),GEN_ZoningchangeDateApplication,"")</f>
        <v/>
      </c>
      <c r="G115" s="1658"/>
      <c r="H115" s="1658"/>
      <c r="I115" s="1658"/>
      <c r="L115" s="1655" t="s">
        <v>1209</v>
      </c>
      <c r="M115" s="1655" t="s">
        <v>1375</v>
      </c>
      <c r="N115" s="1665" t="str">
        <f t="shared" si="5"/>
        <v/>
      </c>
    </row>
    <row r="116" spans="1:14" x14ac:dyDescent="0.25">
      <c r="A116" s="1655" t="s">
        <v>1204</v>
      </c>
      <c r="B116" s="1655" t="s">
        <v>202</v>
      </c>
      <c r="C116" s="1655" t="s">
        <v>207</v>
      </c>
      <c r="D116" s="1665" t="str">
        <f>IF(AND(GEN_ZoningchangeDateHearing&lt;&gt;"",ISNUMBER(GEN_ZoningchangeDateHearing)),GEN_ZoningchangeDateHearing,"")</f>
        <v/>
      </c>
      <c r="G116" s="1658"/>
      <c r="H116" s="1658"/>
      <c r="I116" s="1658"/>
      <c r="L116" s="1655" t="s">
        <v>1209</v>
      </c>
      <c r="M116" s="1655" t="s">
        <v>1375</v>
      </c>
      <c r="N116" s="1665" t="str">
        <f t="shared" si="5"/>
        <v/>
      </c>
    </row>
    <row r="117" spans="1:14" x14ac:dyDescent="0.25">
      <c r="A117" s="1655" t="s">
        <v>1204</v>
      </c>
      <c r="B117" s="1655" t="s">
        <v>202</v>
      </c>
      <c r="C117" s="1655" t="s">
        <v>208</v>
      </c>
      <c r="D117" s="1665" t="str">
        <f>IF(AND(GEN_ZoningchangeDateApproval&lt;&gt;"",ISNUMBER(GEN_ZoningchangeDateApproval)),GEN_ZoningchangeDateApproval,"")</f>
        <v/>
      </c>
      <c r="G117" s="1658"/>
      <c r="H117" s="1658"/>
      <c r="I117" s="1658"/>
      <c r="L117" s="1655" t="s">
        <v>1209</v>
      </c>
      <c r="M117" s="1655" t="s">
        <v>1375</v>
      </c>
      <c r="N117" s="1665" t="str">
        <f t="shared" si="5"/>
        <v/>
      </c>
    </row>
    <row r="118" spans="1:14" x14ac:dyDescent="0.25">
      <c r="A118" s="1659" t="s">
        <v>1204</v>
      </c>
      <c r="B118" s="1659" t="s">
        <v>1377</v>
      </c>
      <c r="C118" s="1659" t="s">
        <v>209</v>
      </c>
      <c r="D118" s="1665" t="str">
        <f>IF(GENERAL!L187="","",GENERAL!L187)</f>
        <v/>
      </c>
      <c r="G118" s="1655" t="s">
        <v>1206</v>
      </c>
      <c r="H118" s="1659" t="s">
        <v>1378</v>
      </c>
      <c r="I118" s="1665" t="str">
        <f t="shared" ref="I118:I131" si="6">IF(D118="","",D118)</f>
        <v/>
      </c>
      <c r="L118" s="1658"/>
      <c r="M118" s="1658"/>
      <c r="N118" s="1658"/>
    </row>
    <row r="119" spans="1:14" x14ac:dyDescent="0.25">
      <c r="A119" s="1659" t="s">
        <v>1204</v>
      </c>
      <c r="B119" s="1659" t="s">
        <v>1377</v>
      </c>
      <c r="C119" s="1659" t="s">
        <v>1379</v>
      </c>
      <c r="D119" s="1665" t="str">
        <f>IF(GENERAL!L188="","",GENERAL!L188)</f>
        <v/>
      </c>
      <c r="G119" s="1655" t="s">
        <v>1206</v>
      </c>
      <c r="H119" s="1659" t="s">
        <v>1378</v>
      </c>
      <c r="I119" s="1665" t="str">
        <f t="shared" si="6"/>
        <v/>
      </c>
      <c r="L119" s="1658"/>
      <c r="M119" s="1658"/>
      <c r="N119" s="1658"/>
    </row>
    <row r="120" spans="1:14" x14ac:dyDescent="0.25">
      <c r="A120" s="1659" t="s">
        <v>1204</v>
      </c>
      <c r="B120" s="1659" t="s">
        <v>1377</v>
      </c>
      <c r="C120" s="1659" t="s">
        <v>1380</v>
      </c>
      <c r="D120" s="1665" t="str">
        <f>IF(GENERAL!L189="","",GENERAL!L189)</f>
        <v/>
      </c>
      <c r="G120" s="1655" t="s">
        <v>1206</v>
      </c>
      <c r="H120" s="1659" t="s">
        <v>1378</v>
      </c>
      <c r="I120" s="1665" t="str">
        <f t="shared" si="6"/>
        <v/>
      </c>
      <c r="L120" s="1658"/>
      <c r="M120" s="1658"/>
      <c r="N120" s="1658"/>
    </row>
    <row r="121" spans="1:14" x14ac:dyDescent="0.25">
      <c r="A121" s="1659" t="s">
        <v>1204</v>
      </c>
      <c r="B121" s="1659" t="s">
        <v>1377</v>
      </c>
      <c r="C121" s="1659" t="s">
        <v>212</v>
      </c>
      <c r="D121" s="1665" t="str">
        <f>IF(GENERAL!L190="","",GENERAL!L190)</f>
        <v/>
      </c>
      <c r="G121" s="1655" t="s">
        <v>1206</v>
      </c>
      <c r="H121" s="1659" t="s">
        <v>1378</v>
      </c>
      <c r="I121" s="1665" t="str">
        <f t="shared" si="6"/>
        <v/>
      </c>
      <c r="L121" s="1658"/>
      <c r="M121" s="1658"/>
      <c r="N121" s="1658"/>
    </row>
    <row r="122" spans="1:14" x14ac:dyDescent="0.25">
      <c r="A122" s="1659" t="s">
        <v>1204</v>
      </c>
      <c r="B122" s="1659" t="s">
        <v>1377</v>
      </c>
      <c r="C122" s="1659" t="s">
        <v>1381</v>
      </c>
      <c r="D122" s="1665" t="str">
        <f>IF(GENERAL!L191="","",GENERAL!L191)</f>
        <v/>
      </c>
      <c r="G122" s="1655" t="s">
        <v>1206</v>
      </c>
      <c r="H122" s="1659" t="s">
        <v>1378</v>
      </c>
      <c r="I122" s="1665" t="str">
        <f t="shared" si="6"/>
        <v/>
      </c>
      <c r="L122" s="1658"/>
      <c r="M122" s="1658"/>
      <c r="N122" s="1658"/>
    </row>
    <row r="123" spans="1:14" x14ac:dyDescent="0.25">
      <c r="A123" s="1659" t="s">
        <v>1204</v>
      </c>
      <c r="B123" s="1659" t="s">
        <v>1377</v>
      </c>
      <c r="C123" s="1659" t="s">
        <v>214</v>
      </c>
      <c r="D123" s="1665" t="str">
        <f>IF(GENERAL!L192="","",GENERAL!L192)</f>
        <v/>
      </c>
      <c r="G123" s="1655" t="s">
        <v>1206</v>
      </c>
      <c r="H123" s="1659" t="s">
        <v>1378</v>
      </c>
      <c r="I123" s="1665" t="str">
        <f t="shared" si="6"/>
        <v/>
      </c>
      <c r="L123" s="1658"/>
      <c r="M123" s="1658"/>
      <c r="N123" s="1658"/>
    </row>
    <row r="124" spans="1:14" x14ac:dyDescent="0.25">
      <c r="A124" s="1659" t="s">
        <v>1204</v>
      </c>
      <c r="B124" s="1659" t="s">
        <v>1377</v>
      </c>
      <c r="C124" s="1659" t="s">
        <v>215</v>
      </c>
      <c r="D124" s="1665" t="str">
        <f>IF(GENERAL!L193="","",GENERAL!L193)</f>
        <v/>
      </c>
      <c r="G124" s="1655" t="s">
        <v>1206</v>
      </c>
      <c r="H124" s="1659" t="s">
        <v>1378</v>
      </c>
      <c r="I124" s="1665" t="str">
        <f t="shared" si="6"/>
        <v/>
      </c>
      <c r="L124" s="1658"/>
      <c r="M124" s="1658"/>
      <c r="N124" s="1658"/>
    </row>
    <row r="125" spans="1:14" x14ac:dyDescent="0.25">
      <c r="A125" s="1659" t="s">
        <v>1204</v>
      </c>
      <c r="B125" s="1659" t="s">
        <v>1377</v>
      </c>
      <c r="C125" s="1659" t="s">
        <v>1382</v>
      </c>
      <c r="D125" s="1665" t="str">
        <f>IF(GENERAL!L194="","",GENERAL!L194)</f>
        <v/>
      </c>
      <c r="G125" s="1655" t="s">
        <v>1206</v>
      </c>
      <c r="H125" s="1659" t="s">
        <v>1378</v>
      </c>
      <c r="I125" s="1665" t="str">
        <f t="shared" si="6"/>
        <v/>
      </c>
      <c r="L125" s="1658"/>
      <c r="M125" s="1658"/>
      <c r="N125" s="1658"/>
    </row>
    <row r="126" spans="1:14" x14ac:dyDescent="0.25">
      <c r="A126" s="1659" t="s">
        <v>1204</v>
      </c>
      <c r="B126" s="1659" t="s">
        <v>1377</v>
      </c>
      <c r="C126" s="1659" t="s">
        <v>218</v>
      </c>
      <c r="D126" s="1665" t="str">
        <f>IF(GENERAL!L195="","",GENERAL!L195)</f>
        <v/>
      </c>
      <c r="G126" s="1655" t="s">
        <v>1206</v>
      </c>
      <c r="H126" s="1659" t="s">
        <v>1378</v>
      </c>
      <c r="I126" s="1665" t="str">
        <f t="shared" si="6"/>
        <v/>
      </c>
      <c r="L126" s="1658"/>
      <c r="M126" s="1658"/>
      <c r="N126" s="1658"/>
    </row>
    <row r="127" spans="1:14" x14ac:dyDescent="0.25">
      <c r="A127" s="1659" t="s">
        <v>1204</v>
      </c>
      <c r="B127" s="1659" t="s">
        <v>1377</v>
      </c>
      <c r="C127" s="1659" t="s">
        <v>219</v>
      </c>
      <c r="D127" s="1665" t="str">
        <f>IF(GENERAL!L196="","",GENERAL!L196)</f>
        <v/>
      </c>
      <c r="G127" s="1655" t="s">
        <v>1206</v>
      </c>
      <c r="H127" s="1659" t="s">
        <v>1378</v>
      </c>
      <c r="I127" s="1665" t="str">
        <f t="shared" si="6"/>
        <v/>
      </c>
      <c r="L127" s="1658"/>
      <c r="M127" s="1658"/>
      <c r="N127" s="1658"/>
    </row>
    <row r="128" spans="1:14" x14ac:dyDescent="0.25">
      <c r="A128" s="1659" t="s">
        <v>1204</v>
      </c>
      <c r="B128" s="1659" t="s">
        <v>1377</v>
      </c>
      <c r="C128" s="1659" t="s">
        <v>220</v>
      </c>
      <c r="D128" s="1665" t="str">
        <f>IF(GENERAL!L197="","",GENERAL!L197)</f>
        <v/>
      </c>
      <c r="G128" s="1655" t="s">
        <v>1206</v>
      </c>
      <c r="H128" s="1659" t="s">
        <v>1378</v>
      </c>
      <c r="I128" s="1665" t="str">
        <f t="shared" si="6"/>
        <v/>
      </c>
      <c r="L128" s="1658"/>
      <c r="M128" s="1658"/>
      <c r="N128" s="1658"/>
    </row>
    <row r="129" spans="1:19" x14ac:dyDescent="0.25">
      <c r="A129" s="1659" t="s">
        <v>1204</v>
      </c>
      <c r="B129" s="1659" t="s">
        <v>1377</v>
      </c>
      <c r="C129" s="1659" t="s">
        <v>221</v>
      </c>
      <c r="D129" s="1665" t="str">
        <f>IF(GENERAL!L198="","",GENERAL!L198)</f>
        <v/>
      </c>
      <c r="G129" s="1655" t="s">
        <v>1206</v>
      </c>
      <c r="H129" s="1659" t="s">
        <v>1378</v>
      </c>
      <c r="I129" s="1665" t="str">
        <f t="shared" si="6"/>
        <v/>
      </c>
      <c r="L129" s="1658"/>
      <c r="M129" s="1658"/>
      <c r="N129" s="1658"/>
    </row>
    <row r="130" spans="1:19" x14ac:dyDescent="0.25">
      <c r="A130" s="1659" t="s">
        <v>1204</v>
      </c>
      <c r="B130" s="1659" t="s">
        <v>1377</v>
      </c>
      <c r="C130" s="1659" t="s">
        <v>222</v>
      </c>
      <c r="D130" s="1665" t="str">
        <f>IF(GENERAL!L199="","",GENERAL!L199)</f>
        <v/>
      </c>
      <c r="G130" s="1655" t="s">
        <v>1206</v>
      </c>
      <c r="H130" s="1659" t="s">
        <v>1378</v>
      </c>
      <c r="I130" s="1665" t="str">
        <f t="shared" si="6"/>
        <v/>
      </c>
      <c r="L130" s="1658"/>
      <c r="M130" s="1658"/>
      <c r="N130" s="1658"/>
    </row>
    <row r="131" spans="1:19" x14ac:dyDescent="0.25">
      <c r="A131" s="1659" t="s">
        <v>1204</v>
      </c>
      <c r="B131" s="1659" t="s">
        <v>1377</v>
      </c>
      <c r="C131" s="1659" t="s">
        <v>223</v>
      </c>
      <c r="D131" s="1665" t="str">
        <f>IF(GENERAL!L200="","",GENERAL!L200)</f>
        <v/>
      </c>
      <c r="G131" s="1655" t="s">
        <v>1206</v>
      </c>
      <c r="H131" s="1659" t="s">
        <v>1378</v>
      </c>
      <c r="I131" s="1665" t="str">
        <f t="shared" si="6"/>
        <v/>
      </c>
      <c r="L131" s="1658"/>
      <c r="M131" s="1658"/>
      <c r="N131" s="1658"/>
    </row>
    <row r="134" spans="1:19" ht="13.8" x14ac:dyDescent="0.25">
      <c r="A134" s="1651" t="s">
        <v>1161</v>
      </c>
      <c r="B134" s="1651" t="s">
        <v>1162</v>
      </c>
      <c r="C134" s="1651"/>
      <c r="D134" s="1651"/>
      <c r="E134" s="1651"/>
      <c r="F134" s="1651"/>
      <c r="G134" s="1651"/>
      <c r="H134" s="1651"/>
      <c r="I134" s="1651"/>
      <c r="J134" s="1651"/>
      <c r="K134" s="1651"/>
      <c r="L134" s="1651"/>
      <c r="M134" s="1651"/>
      <c r="Q134" s="1653" t="s">
        <v>1196</v>
      </c>
      <c r="R134" s="1653"/>
      <c r="S134" s="1653"/>
    </row>
    <row r="135" spans="1:19" x14ac:dyDescent="0.25">
      <c r="A135" s="1654" t="s">
        <v>1198</v>
      </c>
      <c r="B135" s="1654" t="s">
        <v>1199</v>
      </c>
      <c r="C135" s="1654" t="s">
        <v>1383</v>
      </c>
      <c r="D135" s="1654" t="s">
        <v>1384</v>
      </c>
      <c r="E135" s="1654" t="s">
        <v>88</v>
      </c>
      <c r="F135" s="1654" t="s">
        <v>33</v>
      </c>
      <c r="G135" s="1654" t="s">
        <v>38</v>
      </c>
      <c r="H135" s="1654" t="s">
        <v>55</v>
      </c>
      <c r="I135" s="1654" t="s">
        <v>56</v>
      </c>
      <c r="J135" s="1654" t="s">
        <v>1385</v>
      </c>
      <c r="K135" s="1654" t="s">
        <v>1386</v>
      </c>
      <c r="L135" s="1654" t="s">
        <v>1387</v>
      </c>
      <c r="M135" s="1654" t="s">
        <v>1388</v>
      </c>
      <c r="Q135" s="1659" t="s">
        <v>1389</v>
      </c>
      <c r="R135" s="1659" t="s">
        <v>325</v>
      </c>
      <c r="S135" s="1659" t="b">
        <f>IF(GEN_OwnerTypeIndividual="X",TRUE, FALSE)</f>
        <v>0</v>
      </c>
    </row>
    <row r="136" spans="1:19" x14ac:dyDescent="0.25">
      <c r="A136" s="1655" t="s">
        <v>1204</v>
      </c>
      <c r="B136" s="1659" t="s">
        <v>1390</v>
      </c>
      <c r="C136" s="1659" t="s">
        <v>1391</v>
      </c>
      <c r="D136" s="1657" t="str">
        <f>IF(E136="","","Sponsor")</f>
        <v/>
      </c>
      <c r="E136" s="1659" t="str">
        <f>IF(GEN_SponsorCompanyName="","",GEN_SponsorCompanyName)</f>
        <v/>
      </c>
      <c r="F136" s="1659" t="str">
        <f>IF(GEN_StreetAddress="","",GEN_StreetAddress)</f>
        <v/>
      </c>
      <c r="G136" s="1659" t="str">
        <f>IF(GEN_City="","",GEN_City)</f>
        <v/>
      </c>
      <c r="H136" s="1657" t="str">
        <f>IF(GEN_State="","",GEN_State)</f>
        <v/>
      </c>
      <c r="I136" s="1657" t="str">
        <f>IF(GEN_Zip="","",GEN_Zip)</f>
        <v/>
      </c>
      <c r="J136" s="1659" t="str">
        <f>IF(GEN_Email="","",GEN_Email)</f>
        <v/>
      </c>
      <c r="K136" s="1667" t="str">
        <f>IF(GEN_Phone="","",GEN_Phone)</f>
        <v/>
      </c>
      <c r="L136" s="1668"/>
      <c r="M136" s="1657" t="str">
        <f t="shared" ref="M136:M166" si="7">IF(E136="","","Company")</f>
        <v/>
      </c>
      <c r="Q136" s="1659" t="s">
        <v>1389</v>
      </c>
      <c r="R136" s="1659" t="s">
        <v>337</v>
      </c>
      <c r="S136" s="1659" t="b">
        <f>IF(GEN_OwnerTypeCorporation="X",TRUE, FALSE)</f>
        <v>0</v>
      </c>
    </row>
    <row r="137" spans="1:19" x14ac:dyDescent="0.25">
      <c r="A137" s="1655" t="s">
        <v>1204</v>
      </c>
      <c r="B137" s="1659" t="s">
        <v>1392</v>
      </c>
      <c r="C137" s="1659" t="s">
        <v>1393</v>
      </c>
      <c r="D137" s="1657" t="str">
        <f>IF(E137="","","Owner")</f>
        <v/>
      </c>
      <c r="E137" s="1659" t="str">
        <f>IF(GEN_OwnerName="","",GEN_OwnerName)</f>
        <v/>
      </c>
      <c r="F137" s="1668"/>
      <c r="G137" s="1668"/>
      <c r="H137" s="1669"/>
      <c r="I137" s="1669"/>
      <c r="J137" s="1668"/>
      <c r="K137" s="1670"/>
      <c r="L137" s="1671" t="str">
        <f>IF(GEN_OwnerTaxpayerID="","",GEN_OwnerTaxpayerID)</f>
        <v/>
      </c>
      <c r="M137" s="1657" t="str">
        <f t="shared" si="7"/>
        <v/>
      </c>
      <c r="Q137" s="1659" t="s">
        <v>1389</v>
      </c>
      <c r="R137" s="1659" t="s">
        <v>1394</v>
      </c>
      <c r="S137" s="1659" t="b">
        <f>IF(GEN_OwnerTypeLLC="X",TRUE, FALSE)</f>
        <v>0</v>
      </c>
    </row>
    <row r="138" spans="1:19" x14ac:dyDescent="0.25">
      <c r="A138" s="1659"/>
      <c r="B138" s="1659" t="s">
        <v>1395</v>
      </c>
      <c r="C138" s="1659" t="s">
        <v>1396</v>
      </c>
      <c r="D138" s="1657" t="str">
        <f>IF(E138="","","Owner")</f>
        <v/>
      </c>
      <c r="E138" s="1659" t="str">
        <f>IF(GEN_PrincipalsName1="","",GEN_PrincipalsName1)</f>
        <v/>
      </c>
      <c r="F138" s="1668"/>
      <c r="G138" s="1668"/>
      <c r="H138" s="1669"/>
      <c r="I138" s="1669"/>
      <c r="J138" s="1668"/>
      <c r="K138" s="1670"/>
      <c r="L138" s="1671" t="str">
        <f>IF(GEN_PrincipalsTaxpayerID1="","",GEN_PrincipalsTaxpayerID1)</f>
        <v/>
      </c>
      <c r="M138" s="1657" t="str">
        <f t="shared" si="7"/>
        <v/>
      </c>
      <c r="Q138" s="1659" t="s">
        <v>1389</v>
      </c>
      <c r="R138" s="1659" t="s">
        <v>1397</v>
      </c>
      <c r="S138" s="1659" t="b">
        <f>IF(GEN_OwnerTypeGP="X",TRUE, FALSE)</f>
        <v>0</v>
      </c>
    </row>
    <row r="139" spans="1:19" x14ac:dyDescent="0.25">
      <c r="A139" s="1659"/>
      <c r="B139" s="1659" t="s">
        <v>1398</v>
      </c>
      <c r="C139" s="1659" t="s">
        <v>1399</v>
      </c>
      <c r="D139" s="1657" t="str">
        <f>IF(E139="","","Owner")</f>
        <v/>
      </c>
      <c r="E139" s="1659" t="str">
        <f>IF(GEN_PrincipalsName2="","",GEN_PrincipalsName2)</f>
        <v/>
      </c>
      <c r="F139" s="1668"/>
      <c r="G139" s="1668"/>
      <c r="H139" s="1669"/>
      <c r="I139" s="1669"/>
      <c r="J139" s="1668"/>
      <c r="K139" s="1670"/>
      <c r="L139" s="1671" t="str">
        <f>IF(GEN_PrincipalsTaxpayerID2="","",GEN_PrincipalsTaxpayerID2)</f>
        <v/>
      </c>
      <c r="M139" s="1657" t="str">
        <f t="shared" si="7"/>
        <v/>
      </c>
      <c r="Q139" s="1659" t="s">
        <v>1389</v>
      </c>
      <c r="R139" s="1659" t="s">
        <v>1400</v>
      </c>
      <c r="S139" s="1659" t="b">
        <f>IF(GEN_OwnerTypeLP="X",TRUE, FALSE)</f>
        <v>0</v>
      </c>
    </row>
    <row r="140" spans="1:19" x14ac:dyDescent="0.25">
      <c r="A140" s="1659"/>
      <c r="B140" s="1659" t="s">
        <v>1401</v>
      </c>
      <c r="C140" s="1659" t="s">
        <v>1402</v>
      </c>
      <c r="D140" s="1657" t="str">
        <f>IF(E140="","","Owner")</f>
        <v/>
      </c>
      <c r="E140" s="1659" t="str">
        <f>IF(GEN_PrincipalsName3="","",GEN_PrincipalsName3)</f>
        <v/>
      </c>
      <c r="F140" s="1668"/>
      <c r="G140" s="1668"/>
      <c r="H140" s="1669"/>
      <c r="I140" s="1669"/>
      <c r="J140" s="1668"/>
      <c r="K140" s="1670"/>
      <c r="L140" s="1671" t="str">
        <f>IF(GEN_PrincipalsTaxpayerID3="","",GEN_PrincipalsTaxpayerID3)</f>
        <v/>
      </c>
      <c r="M140" s="1657" t="str">
        <f t="shared" si="7"/>
        <v/>
      </c>
      <c r="Q140" s="1659" t="s">
        <v>1389</v>
      </c>
      <c r="R140" s="1659" t="s">
        <v>1403</v>
      </c>
      <c r="S140" s="1659" t="b">
        <f>IF(GEN_OwnerTypeLocalGov="X",TRUE, FALSE)</f>
        <v>0</v>
      </c>
    </row>
    <row r="141" spans="1:19" x14ac:dyDescent="0.25">
      <c r="A141" s="1659" t="s">
        <v>1404</v>
      </c>
      <c r="B141" s="1659" t="s">
        <v>1405</v>
      </c>
      <c r="C141" s="1659" t="s">
        <v>1406</v>
      </c>
      <c r="D141" s="1657" t="str">
        <f>IF(DEV_DevelopmentTeamRole1Developer="","",DEV_DevelopmentTeamRole1Developer)</f>
        <v>Developer</v>
      </c>
      <c r="E141" s="1659" t="str">
        <f>IF(DEV_CompanyName1="","",DEV_CompanyName1)</f>
        <v>Required</v>
      </c>
      <c r="F141" s="1659" t="str">
        <f>IF(DEV_StreetAddress1="","",DEV_StreetAddress1)</f>
        <v/>
      </c>
      <c r="G141" s="1659" t="str">
        <f>IF(DEV_City1="","",DEV_City1)</f>
        <v/>
      </c>
      <c r="H141" s="1657" t="str">
        <f>IF(DEV_State1="","",DEV_State1)</f>
        <v/>
      </c>
      <c r="I141" s="1657" t="str">
        <f>IF(DEV_ZipCode1="","",DEV_ZipCode1)</f>
        <v/>
      </c>
      <c r="J141" s="1659" t="str">
        <f>IF(DEV_Email1="","",DEV_Email1)</f>
        <v/>
      </c>
      <c r="K141" s="1667" t="str">
        <f>IF(DEV_Phone1="","",DEV_Phone1)</f>
        <v/>
      </c>
      <c r="L141" s="1668"/>
      <c r="M141" s="1657" t="str">
        <f t="shared" si="7"/>
        <v>Company</v>
      </c>
      <c r="Q141" s="1659" t="s">
        <v>1389</v>
      </c>
      <c r="R141" s="1659" t="s">
        <v>280</v>
      </c>
      <c r="S141" s="1659" t="b">
        <f>IF(GEN_OwnerTypeOther="X",TRUE, FALSE)</f>
        <v>0</v>
      </c>
    </row>
    <row r="142" spans="1:19" x14ac:dyDescent="0.25">
      <c r="A142" s="1659" t="s">
        <v>1404</v>
      </c>
      <c r="B142" s="1659" t="s">
        <v>1405</v>
      </c>
      <c r="C142" s="1659" t="s">
        <v>1407</v>
      </c>
      <c r="D142" s="1657" t="str">
        <f>IF(DEV_DevelopmentTeamRole2Guarantor="","",DEV_DevelopmentTeamRole2Guarantor)</f>
        <v>Guarantor</v>
      </c>
      <c r="E142" s="1659" t="str">
        <f>IF(DEV_CompanyName2="","",DEV_CompanyName2)</f>
        <v>Required</v>
      </c>
      <c r="F142" s="1659" t="str">
        <f>IF(DEV_StreetAddress2="","",DEV_StreetAddress2)</f>
        <v/>
      </c>
      <c r="G142" s="1659" t="str">
        <f>IF(DEV_City2="","",DEV_City2)</f>
        <v/>
      </c>
      <c r="H142" s="1657" t="str">
        <f>IF(DEV_State2="","",DEV_State2)</f>
        <v/>
      </c>
      <c r="I142" s="1657" t="str">
        <f>IF(DEV_ZipCode2="","",DEV_ZipCode2)</f>
        <v/>
      </c>
      <c r="J142" s="1659" t="str">
        <f>IF(DEV_Email2="","",DEV_Email2)</f>
        <v/>
      </c>
      <c r="K142" s="1667" t="str">
        <f>IF(DEV_Phone2="","",DEV_Phone2)</f>
        <v/>
      </c>
      <c r="L142" s="1668"/>
      <c r="M142" s="1657" t="str">
        <f t="shared" si="7"/>
        <v>Company</v>
      </c>
    </row>
    <row r="143" spans="1:19" x14ac:dyDescent="0.25">
      <c r="A143" s="1659" t="s">
        <v>1404</v>
      </c>
      <c r="B143" s="1659" t="s">
        <v>1405</v>
      </c>
      <c r="C143" s="1659" t="s">
        <v>1408</v>
      </c>
      <c r="D143" s="1657" t="str">
        <f>IF(DEV_DevelopmentTeamRole3="","",DEV_DevelopmentTeamRole3)</f>
        <v>Secondary Developer</v>
      </c>
      <c r="E143" s="1659" t="str">
        <f>IF(DEV_CompanyName3="","",DEV_CompanyName3)</f>
        <v>Required, if applicable</v>
      </c>
      <c r="F143" s="1659" t="str">
        <f>IF(DEV_StreetAddress3="","",DEV_StreetAddress3)</f>
        <v/>
      </c>
      <c r="G143" s="1659" t="str">
        <f>IF(DEV_City3="","",DEV_City3)</f>
        <v/>
      </c>
      <c r="H143" s="1657" t="str">
        <f>IF(DEV_State3="","",DEV_State3)</f>
        <v/>
      </c>
      <c r="I143" s="1657" t="str">
        <f>IF(DEV_ZipCode3="","",DEV_ZipCode3)</f>
        <v/>
      </c>
      <c r="J143" s="1659" t="str">
        <f>IF(DEV_Email3="","",DEV_Email3)</f>
        <v/>
      </c>
      <c r="K143" s="1667" t="str">
        <f>IF(DEV_Phone3="","",DEV_Phone3)</f>
        <v/>
      </c>
      <c r="L143" s="1668"/>
      <c r="M143" s="1657" t="str">
        <f t="shared" si="7"/>
        <v>Company</v>
      </c>
    </row>
    <row r="144" spans="1:19" x14ac:dyDescent="0.25">
      <c r="A144" s="1659" t="s">
        <v>1404</v>
      </c>
      <c r="B144" s="1659" t="s">
        <v>1405</v>
      </c>
      <c r="C144" s="1659" t="s">
        <v>1409</v>
      </c>
      <c r="D144" s="1657" t="str">
        <f>IF(DEV_DevelopmentTeamRole4="","",DEV_DevelopmentTeamRole4)</f>
        <v>General Contractor</v>
      </c>
      <c r="E144" s="1659" t="str">
        <f>IF(DEV_CompanyName4="","",DEV_CompanyName4)</f>
        <v>Required</v>
      </c>
      <c r="F144" s="1659" t="str">
        <f>IF(DEV_StreetAddress4="","",DEV_StreetAddress4)</f>
        <v/>
      </c>
      <c r="G144" s="1659" t="str">
        <f>IF(DEV_City4="","",DEV_City4)</f>
        <v/>
      </c>
      <c r="H144" s="1657" t="str">
        <f>IF(DEV_State4="","",DEV_State4)</f>
        <v/>
      </c>
      <c r="I144" s="1657" t="str">
        <f>IF(DEV_ZipCode4="","",DEV_ZipCode4)</f>
        <v/>
      </c>
      <c r="J144" s="1659" t="str">
        <f>IF(DEV_Email4="","",DEV_Email4)</f>
        <v/>
      </c>
      <c r="K144" s="1667" t="str">
        <f>IF(DEV_Phone4="","",DEV_Phone4)</f>
        <v/>
      </c>
      <c r="L144" s="1668"/>
      <c r="M144" s="1657" t="str">
        <f t="shared" si="7"/>
        <v>Company</v>
      </c>
    </row>
    <row r="145" spans="1:13" x14ac:dyDescent="0.25">
      <c r="A145" s="1659" t="s">
        <v>1404</v>
      </c>
      <c r="B145" s="1659" t="s">
        <v>1405</v>
      </c>
      <c r="C145" s="1659" t="s">
        <v>1410</v>
      </c>
      <c r="D145" s="1657" t="str">
        <f>IF(DEV_DevelopmentTeamRole5="","",DEV_DevelopmentTeamRole5)</f>
        <v>Architect</v>
      </c>
      <c r="E145" s="1659" t="str">
        <f>IF(DEV_CompanyName5="","",DEV_CompanyName5)</f>
        <v>Required</v>
      </c>
      <c r="F145" s="1659" t="str">
        <f>IF(DEV_StreetAddress5="","",DEV_StreetAddress5)</f>
        <v/>
      </c>
      <c r="G145" s="1659" t="str">
        <f>IF(DEV_City5="","",DEV_City5)</f>
        <v/>
      </c>
      <c r="H145" s="1657" t="str">
        <f>IF(DEV_State5="","",DEV_State5)</f>
        <v/>
      </c>
      <c r="I145" s="1657" t="str">
        <f>IF(DEV_ZipCode5="","",DEV_ZipCode5)</f>
        <v/>
      </c>
      <c r="J145" s="1659" t="str">
        <f>IF(DEV_Email5="","",DEV_Email5)</f>
        <v/>
      </c>
      <c r="K145" s="1667" t="str">
        <f>IF(DEV_Phone5="","",DEV_Phone5)</f>
        <v/>
      </c>
      <c r="L145" s="1668"/>
      <c r="M145" s="1657" t="str">
        <f t="shared" si="7"/>
        <v>Company</v>
      </c>
    </row>
    <row r="146" spans="1:13" x14ac:dyDescent="0.25">
      <c r="A146" s="1659" t="s">
        <v>1404</v>
      </c>
      <c r="B146" s="1659" t="s">
        <v>1405</v>
      </c>
      <c r="C146" s="1659" t="s">
        <v>1411</v>
      </c>
      <c r="D146" s="1657" t="str">
        <f>IF(DEV_DevelopmentTeamRole6="","",DEV_DevelopmentTeamRole6)</f>
        <v>Property Manager</v>
      </c>
      <c r="E146" s="1659" t="str">
        <f>IF(DEV_CompanyName6="","",DEV_CompanyName6)</f>
        <v>Required</v>
      </c>
      <c r="F146" s="1659" t="str">
        <f>IF(DEV_StreetAddress6="","",DEV_StreetAddress6)</f>
        <v/>
      </c>
      <c r="G146" s="1659" t="str">
        <f>IF(DEV_City6="","",DEV_City6)</f>
        <v/>
      </c>
      <c r="H146" s="1657" t="str">
        <f>IF(DEV_State6="","",DEV_State6)</f>
        <v/>
      </c>
      <c r="I146" s="1657" t="str">
        <f>IF(DEV_ZipCode6="","",DEV_ZipCode6)</f>
        <v/>
      </c>
      <c r="J146" s="1659" t="str">
        <f>IF(DEV_Email6="","",DEV_Email6)</f>
        <v/>
      </c>
      <c r="K146" s="1667" t="str">
        <f>IF(DEV_Phone6="","",DEV_Phone6)</f>
        <v/>
      </c>
      <c r="L146" s="1668"/>
      <c r="M146" s="1657" t="str">
        <f t="shared" si="7"/>
        <v>Company</v>
      </c>
    </row>
    <row r="147" spans="1:13" x14ac:dyDescent="0.25">
      <c r="A147" s="1659" t="s">
        <v>1404</v>
      </c>
      <c r="B147" s="1659" t="s">
        <v>1405</v>
      </c>
      <c r="C147" s="1659" t="s">
        <v>1412</v>
      </c>
      <c r="D147" s="1657" t="str">
        <f>IF(DEV_DevelopmentTeamRole7="","",DEV_DevelopmentTeamRole7)</f>
        <v>Accessibility Consultant</v>
      </c>
      <c r="E147" s="1659" t="str">
        <f>IF(IF(DEV_CompanyName7="","",DEV_CompanyName7)="","",IF(DEV_CompanyName7="","",DEV_CompanyName7))</f>
        <v>Required</v>
      </c>
      <c r="F147" s="1659" t="str">
        <f>IF(DEV_StreetAddress7="","",DEV_StreetAddress7)</f>
        <v/>
      </c>
      <c r="G147" s="1659" t="str">
        <f>IF(DEV_City7="","",DEV_City7)</f>
        <v/>
      </c>
      <c r="H147" s="1657" t="str">
        <f>IF(DEV_State7="","",DEV_State7)</f>
        <v/>
      </c>
      <c r="I147" s="1657" t="str">
        <f>IF(DEV_ZipCode7="","",DEV_ZipCode7)</f>
        <v/>
      </c>
      <c r="J147" s="1659" t="str">
        <f>IF(DEV_Email7="","",DEV_Email7)</f>
        <v/>
      </c>
      <c r="K147" s="1667" t="str">
        <f>IF(DEV_Phone7="","",DEV_Phone7)</f>
        <v/>
      </c>
      <c r="L147" s="1668"/>
      <c r="M147" s="1657" t="str">
        <f t="shared" si="7"/>
        <v>Company</v>
      </c>
    </row>
    <row r="148" spans="1:13" x14ac:dyDescent="0.25">
      <c r="A148" s="1659" t="s">
        <v>1404</v>
      </c>
      <c r="B148" s="1659" t="s">
        <v>1405</v>
      </c>
      <c r="C148" s="1659" t="s">
        <v>1413</v>
      </c>
      <c r="D148" s="1657" t="str">
        <f>IF(DEV_DevelopmentTeamRole8="","",DEV_DevelopmentTeamRole8)</f>
        <v>Energy Consultant</v>
      </c>
      <c r="E148" s="1659" t="str">
        <f>IF(DEV_CompanyName8="","",DEV_CompanyName8)</f>
        <v>Required</v>
      </c>
      <c r="F148" s="1659" t="str">
        <f>IF(DEV_StreetAddress8="","",DEV_StreetAddress8)</f>
        <v/>
      </c>
      <c r="G148" s="1659" t="str">
        <f>IF(DEV_City8="","",DEV_City8)</f>
        <v/>
      </c>
      <c r="H148" s="1657" t="str">
        <f>IF(DEV_State8="","",DEV_State8)</f>
        <v/>
      </c>
      <c r="I148" s="1657" t="str">
        <f>IF(DEV_ZipCode8="","",DEV_ZipCode8)</f>
        <v/>
      </c>
      <c r="J148" s="1659" t="str">
        <f>IF(DEV_Email8="","",DEV_Email8)</f>
        <v/>
      </c>
      <c r="K148" s="1667" t="str">
        <f>IF(DEV_Phone8="","",DEV_Phone8)</f>
        <v/>
      </c>
      <c r="L148" s="1668"/>
      <c r="M148" s="1657" t="str">
        <f t="shared" si="7"/>
        <v>Company</v>
      </c>
    </row>
    <row r="149" spans="1:13" x14ac:dyDescent="0.25">
      <c r="A149" s="1659" t="s">
        <v>1404</v>
      </c>
      <c r="B149" s="1659" t="s">
        <v>1405</v>
      </c>
      <c r="C149" s="1659" t="s">
        <v>1414</v>
      </c>
      <c r="D149" s="1657" t="str">
        <f>IF(DEV_DevelopmentTeamRole9="","",DEV_DevelopmentTeamRole9)</f>
        <v/>
      </c>
      <c r="E149" s="1659" t="str">
        <f>IF(DEV_CompanyName9="","",DEV_CompanyName9)</f>
        <v/>
      </c>
      <c r="F149" s="1659" t="str">
        <f>IF(DEV_StreetAddress9="","",DEV_StreetAddress9)</f>
        <v/>
      </c>
      <c r="G149" s="1659" t="str">
        <f>IF(DEV_City9="","",DEV_City9)</f>
        <v/>
      </c>
      <c r="H149" s="1657" t="str">
        <f>IF(DEV_State9="","",DEV_State9)</f>
        <v/>
      </c>
      <c r="I149" s="1657" t="str">
        <f>IF(DEV_ZipCode9="","",DEV_ZipCode9)</f>
        <v/>
      </c>
      <c r="J149" s="1659" t="str">
        <f>IF(DEV_Email9="","",DEV_Email9)</f>
        <v/>
      </c>
      <c r="K149" s="1667" t="str">
        <f>IF(DEV_Phone9="","",DEV_Phone9)</f>
        <v/>
      </c>
      <c r="L149" s="1668"/>
      <c r="M149" s="1657" t="str">
        <f t="shared" si="7"/>
        <v/>
      </c>
    </row>
    <row r="150" spans="1:13" x14ac:dyDescent="0.25">
      <c r="A150" s="1659" t="s">
        <v>1404</v>
      </c>
      <c r="B150" s="1659" t="s">
        <v>1405</v>
      </c>
      <c r="C150" s="1659" t="s">
        <v>1415</v>
      </c>
      <c r="D150" s="1657" t="str">
        <f>IF(DEV_DevelopmentTeamRole10="","",DEV_DevelopmentTeamRole10)</f>
        <v/>
      </c>
      <c r="E150" s="1659" t="str">
        <f>IF(DEV_CompanyName10="","",DEV_CompanyName10)</f>
        <v/>
      </c>
      <c r="F150" s="1659" t="str">
        <f>IF(DEV_StreetAddress10="","",DEV_StreetAddress10)</f>
        <v/>
      </c>
      <c r="G150" s="1659" t="str">
        <f>IF(DEV_City10="","",DEV_City10)</f>
        <v/>
      </c>
      <c r="H150" s="1657" t="str">
        <f>IF(DEV_State10="","",DEV_State10)</f>
        <v/>
      </c>
      <c r="I150" s="1657" t="str">
        <f>IF(DEV_ZipCode10="","",DEV_ZipCode10)</f>
        <v/>
      </c>
      <c r="J150" s="1659" t="str">
        <f>IF(DEV_Email10="","",DEV_Email10)</f>
        <v/>
      </c>
      <c r="K150" s="1667" t="str">
        <f>IF(DEV_Phone10="","",DEV_Phone10)</f>
        <v/>
      </c>
      <c r="L150" s="1668"/>
      <c r="M150" s="1657" t="str">
        <f t="shared" si="7"/>
        <v/>
      </c>
    </row>
    <row r="151" spans="1:13" x14ac:dyDescent="0.25">
      <c r="A151" s="1659" t="s">
        <v>1404</v>
      </c>
      <c r="B151" s="1659" t="s">
        <v>1405</v>
      </c>
      <c r="C151" s="1659" t="s">
        <v>1416</v>
      </c>
      <c r="D151" s="1657" t="str">
        <f>IF(DEV_DevelopmentTeamRole11="","",DEV_DevelopmentTeamRole11)</f>
        <v/>
      </c>
      <c r="E151" s="1659" t="str">
        <f>IF(DEV_CompanyName11="","",DEV_CompanyName11)</f>
        <v/>
      </c>
      <c r="F151" s="1659" t="str">
        <f>IF(DEV_StreetAddress11="","",DEV_StreetAddress11)</f>
        <v/>
      </c>
      <c r="G151" s="1659" t="str">
        <f>IF(DEV_City11="","",DEV_City11)</f>
        <v/>
      </c>
      <c r="H151" s="1657" t="str">
        <f>IF(DEV_State11="","",DEV_State11)</f>
        <v/>
      </c>
      <c r="I151" s="1657" t="str">
        <f>IF(DEV_ZipCode11="","",DEV_ZipCode11)</f>
        <v/>
      </c>
      <c r="J151" s="1659" t="str">
        <f>IF(DEV_Email11="","",DEV_Email11)</f>
        <v/>
      </c>
      <c r="K151" s="1667" t="str">
        <f>IF(DEV_Phone11="","",DEV_Phone11)</f>
        <v/>
      </c>
      <c r="L151" s="1668"/>
      <c r="M151" s="1657" t="str">
        <f t="shared" si="7"/>
        <v/>
      </c>
    </row>
    <row r="152" spans="1:13" x14ac:dyDescent="0.25">
      <c r="A152" s="1659" t="s">
        <v>1404</v>
      </c>
      <c r="B152" s="1659" t="s">
        <v>1405</v>
      </c>
      <c r="C152" s="1659" t="s">
        <v>1417</v>
      </c>
      <c r="D152" s="1657" t="str">
        <f>IF(DEV_DevelopmentTeamRole12="","",DEV_DevelopmentTeamRole12)</f>
        <v/>
      </c>
      <c r="E152" s="1659" t="str">
        <f>IF(DEV_CompanyName12="","",DEV_CompanyName12)</f>
        <v/>
      </c>
      <c r="F152" s="1659" t="str">
        <f>IF(DEV_StreetAddress12="","",DEV_StreetAddress12)</f>
        <v/>
      </c>
      <c r="G152" s="1659" t="str">
        <f>IF(DEV_City12="","",DEV_City12)</f>
        <v/>
      </c>
      <c r="H152" s="1657" t="str">
        <f>IF(DEV_State12="","",DEV_State12)</f>
        <v/>
      </c>
      <c r="I152" s="1657" t="str">
        <f>IF(DEV_ZipCode12="","",DEV_ZipCode12)</f>
        <v/>
      </c>
      <c r="J152" s="1659" t="str">
        <f>IF(DEV_Email12="","",DEV_Email12)</f>
        <v/>
      </c>
      <c r="K152" s="1667" t="str">
        <f>IF(DEV_Phone12="","",DEV_Phone12)</f>
        <v/>
      </c>
      <c r="L152" s="1668"/>
      <c r="M152" s="1657" t="str">
        <f t="shared" si="7"/>
        <v/>
      </c>
    </row>
    <row r="153" spans="1:13" x14ac:dyDescent="0.25">
      <c r="A153" s="1659" t="s">
        <v>1404</v>
      </c>
      <c r="B153" s="1659" t="s">
        <v>1405</v>
      </c>
      <c r="C153" s="1659" t="s">
        <v>1418</v>
      </c>
      <c r="D153" s="1657" t="str">
        <f>IF(DEV_DevelopmentTeamRole13="","",DEV_DevelopmentTeamRole13)</f>
        <v/>
      </c>
      <c r="E153" s="1659" t="str">
        <f>IF(DEV_CompanyName13="","",DEV_CompanyName13)</f>
        <v/>
      </c>
      <c r="F153" s="1659" t="str">
        <f>IF(DEV_StreetAddress13="","",DEV_StreetAddress13)</f>
        <v/>
      </c>
      <c r="G153" s="1659" t="str">
        <f>IF(DEV_City13="","",DEV_City13)</f>
        <v/>
      </c>
      <c r="H153" s="1657" t="str">
        <f>IF(DEV_State13="","",DEV_State13)</f>
        <v/>
      </c>
      <c r="I153" s="1657" t="str">
        <f>IF(DEV_ZipCode13="","",DEV_ZipCode13)</f>
        <v/>
      </c>
      <c r="J153" s="1659" t="str">
        <f>IF(DEV_Email13="","",DEV_Email13)</f>
        <v/>
      </c>
      <c r="K153" s="1667" t="str">
        <f>IF(DEV_Phone13="","",DEV_Phone13)</f>
        <v/>
      </c>
      <c r="L153" s="1668"/>
      <c r="M153" s="1657" t="str">
        <f t="shared" si="7"/>
        <v/>
      </c>
    </row>
    <row r="154" spans="1:13" x14ac:dyDescent="0.25">
      <c r="A154" s="1659" t="s">
        <v>1404</v>
      </c>
      <c r="B154" s="1659" t="s">
        <v>1405</v>
      </c>
      <c r="C154" s="1659" t="s">
        <v>1419</v>
      </c>
      <c r="D154" s="1657" t="str">
        <f>IF(DEV_DevelopmentTeamRole14="","",DEV_DevelopmentTeamRole14)</f>
        <v/>
      </c>
      <c r="E154" s="1659" t="str">
        <f>IF(DEV_CompanyName14="","",DEV_CompanyName14)</f>
        <v/>
      </c>
      <c r="F154" s="1659" t="str">
        <f>IF(DEV_StreetAddress14="","",DEV_StreetAddress14)</f>
        <v/>
      </c>
      <c r="G154" s="1659" t="str">
        <f>IF(DEV_City14="","",DEV_City14)</f>
        <v/>
      </c>
      <c r="H154" s="1657" t="str">
        <f>IF(DEV_State14="","",DEV_State14)</f>
        <v/>
      </c>
      <c r="I154" s="1657" t="str">
        <f>IF(DEV_ZipCode14="","",DEV_ZipCode14)</f>
        <v/>
      </c>
      <c r="J154" s="1659" t="str">
        <f>IF(DEV_Email14="","",DEV_Email14)</f>
        <v/>
      </c>
      <c r="K154" s="1667" t="str">
        <f>IF(DEV_Phone14="","",DEV_Phone14)</f>
        <v/>
      </c>
      <c r="L154" s="1668"/>
      <c r="M154" s="1657" t="str">
        <f t="shared" si="7"/>
        <v/>
      </c>
    </row>
    <row r="155" spans="1:13" x14ac:dyDescent="0.25">
      <c r="A155" s="1659" t="s">
        <v>1404</v>
      </c>
      <c r="B155" s="1659" t="s">
        <v>1405</v>
      </c>
      <c r="C155" s="1659" t="s">
        <v>1420</v>
      </c>
      <c r="D155" s="1657" t="str">
        <f>IF(DEV_DevelopmentTeamRole15="","",DEV_DevelopmentTeamRole15)</f>
        <v/>
      </c>
      <c r="E155" s="1659" t="str">
        <f>IF(DEV_CompanyName15="","",DEV_CompanyName15)</f>
        <v/>
      </c>
      <c r="F155" s="1659" t="str">
        <f>IF(DEV_StreetAddress15="","",DEV_StreetAddress15)</f>
        <v/>
      </c>
      <c r="G155" s="1659" t="str">
        <f>IF(DEV_City15="","",DEV_City15)</f>
        <v/>
      </c>
      <c r="H155" s="1657" t="str">
        <f>IF(DEV_State15="","",DEV_State15)</f>
        <v/>
      </c>
      <c r="I155" s="1657" t="str">
        <f>IF(DEV_ZipCode15="","",DEV_ZipCode15)</f>
        <v/>
      </c>
      <c r="J155" s="1659" t="str">
        <f>IF(DEV_Email15="","",DEV_Email15)</f>
        <v/>
      </c>
      <c r="K155" s="1667" t="str">
        <f>IF(DEV_Phone15="","",DEV_Phone15)</f>
        <v/>
      </c>
      <c r="L155" s="1668"/>
      <c r="M155" s="1657" t="str">
        <f t="shared" si="7"/>
        <v/>
      </c>
    </row>
    <row r="156" spans="1:13" x14ac:dyDescent="0.25">
      <c r="A156" s="1659" t="s">
        <v>1404</v>
      </c>
      <c r="B156" s="1659" t="s">
        <v>1405</v>
      </c>
      <c r="C156" s="1659" t="s">
        <v>1421</v>
      </c>
      <c r="D156" s="1657" t="str">
        <f>IF(DEV_DevelopmentTeamRole16="","",DEV_DevelopmentTeamRole16)</f>
        <v/>
      </c>
      <c r="E156" s="1659" t="str">
        <f>IF(DEV_CompanyName16="","",DEV_CompanyName16)</f>
        <v/>
      </c>
      <c r="F156" s="1659" t="str">
        <f>IF(DEV_StreetAddress16="","",DEV_StreetAddress16)</f>
        <v/>
      </c>
      <c r="G156" s="1659" t="str">
        <f>IF(DEV_City16="","",DEV_City16)</f>
        <v/>
      </c>
      <c r="H156" s="1657" t="str">
        <f>IF(DEV_State16="","",DEV_State16)</f>
        <v/>
      </c>
      <c r="I156" s="1657" t="str">
        <f>IF(DEV_ZipCode16="","",DEV_ZipCode16)</f>
        <v/>
      </c>
      <c r="J156" s="1659" t="str">
        <f>IF(DEV_Email16="","",DEV_Email16)</f>
        <v/>
      </c>
      <c r="K156" s="1667" t="str">
        <f>IF(DEV_Phone16="","",DEV_Phone16)</f>
        <v/>
      </c>
      <c r="L156" s="1668"/>
      <c r="M156" s="1657" t="str">
        <f t="shared" si="7"/>
        <v/>
      </c>
    </row>
    <row r="157" spans="1:13" x14ac:dyDescent="0.25">
      <c r="A157" s="1659" t="s">
        <v>1404</v>
      </c>
      <c r="B157" s="1659" t="s">
        <v>1405</v>
      </c>
      <c r="C157" s="1659" t="s">
        <v>1422</v>
      </c>
      <c r="D157" s="1657" t="str">
        <f>IF(DEV_DevelopmentTeamRole17="","",DEV_DevelopmentTeamRole17)</f>
        <v/>
      </c>
      <c r="E157" s="1659" t="str">
        <f>IF(DEV_CompanyName17="","",DEV_CompanyName17)</f>
        <v/>
      </c>
      <c r="F157" s="1659" t="str">
        <f>IF(DEV_StreetAddress17="","",DEV_StreetAddress17)</f>
        <v/>
      </c>
      <c r="G157" s="1659" t="str">
        <f>IF(DEV_City17="","",DEV_City17)</f>
        <v/>
      </c>
      <c r="H157" s="1657" t="str">
        <f>IF(DEV_State17="","",DEV_State17)</f>
        <v/>
      </c>
      <c r="I157" s="1657" t="str">
        <f>IF(DEV_ZipCode17="","",DEV_ZipCode17)</f>
        <v/>
      </c>
      <c r="J157" s="1659" t="str">
        <f>IF(DEV_Email17="","",DEV_Email17)</f>
        <v/>
      </c>
      <c r="K157" s="1667" t="str">
        <f>IF(DEV_Phone17="","",DEV_Phone17)</f>
        <v/>
      </c>
      <c r="L157" s="1668"/>
      <c r="M157" s="1657" t="str">
        <f t="shared" si="7"/>
        <v/>
      </c>
    </row>
    <row r="158" spans="1:13" x14ac:dyDescent="0.25">
      <c r="A158" s="1659" t="s">
        <v>1404</v>
      </c>
      <c r="B158" s="1659" t="s">
        <v>1405</v>
      </c>
      <c r="C158" s="1659" t="s">
        <v>1423</v>
      </c>
      <c r="D158" s="1657" t="str">
        <f>IF(DEV_DevelopmentTeamRole18="","",DEV_DevelopmentTeamRole18)</f>
        <v/>
      </c>
      <c r="E158" s="1659" t="str">
        <f>IF(DEV_CompanyName18="","",DEV_CompanyName18)</f>
        <v/>
      </c>
      <c r="F158" s="1659" t="str">
        <f>IF(DEV_StreetAddress18="","",DEV_StreetAddress18)</f>
        <v/>
      </c>
      <c r="G158" s="1659" t="str">
        <f>IF(DEV_City18="","",DEV_City18)</f>
        <v/>
      </c>
      <c r="H158" s="1657" t="str">
        <f>IF(DEV_State18="","",DEV_State18)</f>
        <v/>
      </c>
      <c r="I158" s="1657" t="str">
        <f>IF(DEV_ZipCode18="","",DEV_ZipCode18)</f>
        <v/>
      </c>
      <c r="J158" s="1659" t="str">
        <f>IF(DEV_Email18="","",DEV_Email18)</f>
        <v/>
      </c>
      <c r="K158" s="1667" t="str">
        <f>IF(DEV_Phone18="","",DEV_Phone18)</f>
        <v/>
      </c>
      <c r="L158" s="1668"/>
      <c r="M158" s="1657" t="str">
        <f t="shared" si="7"/>
        <v/>
      </c>
    </row>
    <row r="159" spans="1:13" x14ac:dyDescent="0.25">
      <c r="A159" s="1659" t="s">
        <v>1404</v>
      </c>
      <c r="B159" s="1659" t="s">
        <v>1405</v>
      </c>
      <c r="C159" s="1659" t="s">
        <v>1424</v>
      </c>
      <c r="D159" s="1657" t="str">
        <f>IF(DEV_DevelopmentTeamRole19="","",DEV_DevelopmentTeamRole19)</f>
        <v/>
      </c>
      <c r="E159" s="1659" t="str">
        <f>IF(DEV_CompanyName19="","",DEV_CompanyName19)</f>
        <v/>
      </c>
      <c r="F159" s="1659" t="str">
        <f>IF(DEV_StreetAddress19="","",DEV_StreetAddress19)</f>
        <v/>
      </c>
      <c r="G159" s="1659" t="str">
        <f>IF(DEV_City19="","",DEV_City19)</f>
        <v/>
      </c>
      <c r="H159" s="1657" t="str">
        <f>IF(DEV_State19="","",DEV_State19)</f>
        <v/>
      </c>
      <c r="I159" s="1657" t="str">
        <f>IF(DEV_ZipCode19="","",DEV_ZipCode19)</f>
        <v/>
      </c>
      <c r="J159" s="1659" t="str">
        <f>IF(DEV_Email19="","",DEV_Email19)</f>
        <v/>
      </c>
      <c r="K159" s="1667" t="str">
        <f>IF(DEV_Phone19="","",DEV_Phone19)</f>
        <v/>
      </c>
      <c r="L159" s="1668"/>
      <c r="M159" s="1657" t="str">
        <f t="shared" si="7"/>
        <v/>
      </c>
    </row>
    <row r="160" spans="1:13" x14ac:dyDescent="0.25">
      <c r="A160" s="1659" t="s">
        <v>1404</v>
      </c>
      <c r="B160" s="1659" t="s">
        <v>1405</v>
      </c>
      <c r="C160" s="1659" t="s">
        <v>1425</v>
      </c>
      <c r="D160" s="1657" t="str">
        <f>IF(DEV_DevelopmentTeamRole20="","",DEV_DevelopmentTeamRole20)</f>
        <v/>
      </c>
      <c r="E160" s="1659" t="str">
        <f>IF(DEV_CompanyName20="","",DEV_CompanyName20)</f>
        <v/>
      </c>
      <c r="F160" s="1659" t="str">
        <f>IF(DEV_StreetAddress20="","",DEV_StreetAddress20)</f>
        <v/>
      </c>
      <c r="G160" s="1659" t="str">
        <f>IF(DEV_City20="","",DEV_City20)</f>
        <v/>
      </c>
      <c r="H160" s="1657" t="str">
        <f>IF(DEV_State20="","",DEV_State20)</f>
        <v/>
      </c>
      <c r="I160" s="1657" t="str">
        <f>IF(DEV_ZipCode20="","",DEV_ZipCode20)</f>
        <v/>
      </c>
      <c r="J160" s="1659" t="str">
        <f>IF(DEV_Email20="","",DEV_Email20)</f>
        <v/>
      </c>
      <c r="K160" s="1667" t="str">
        <f>IF(DEV_Phone20="","",DEV_Phone20)</f>
        <v/>
      </c>
      <c r="L160" s="1668"/>
      <c r="M160" s="1657" t="str">
        <f t="shared" si="7"/>
        <v/>
      </c>
    </row>
    <row r="161" spans="1:13" x14ac:dyDescent="0.25">
      <c r="A161" s="1659" t="s">
        <v>1404</v>
      </c>
      <c r="B161" s="1659" t="s">
        <v>1426</v>
      </c>
      <c r="C161" s="1659" t="s">
        <v>1427</v>
      </c>
      <c r="D161" s="1657" t="str">
        <f>IF(E161="","","Lender")</f>
        <v/>
      </c>
      <c r="E161" s="1659" t="str">
        <f>IF(DEV_LenderPrivatePublicLender1="","",DEV_LenderPrivatePublicLender1)</f>
        <v/>
      </c>
      <c r="F161" s="1659" t="str">
        <f>IF(DEV_LenderStreetAddress1="","",DEV_LenderStreetAddress1)</f>
        <v/>
      </c>
      <c r="G161" s="1659" t="str">
        <f>IF(DEV_LenderCity1="","",DEV_LenderCity1)</f>
        <v/>
      </c>
      <c r="H161" s="1657" t="str">
        <f>IF(DEV_LenderState1="","",DEV_LenderState1)</f>
        <v/>
      </c>
      <c r="I161" s="1657" t="str">
        <f>IF(DEV_LenderZipCode1="","",DEV_LenderZipCode1)</f>
        <v/>
      </c>
      <c r="J161" s="1659" t="str">
        <f>IF(DEV_LenderEmail1="","",DEV_LenderEmail1)</f>
        <v/>
      </c>
      <c r="K161" s="1667" t="str">
        <f>IF(DEV_LenderPhone1="","",DEV_LenderPhone1)</f>
        <v/>
      </c>
      <c r="L161" s="1668"/>
      <c r="M161" s="1657" t="str">
        <f t="shared" si="7"/>
        <v/>
      </c>
    </row>
    <row r="162" spans="1:13" x14ac:dyDescent="0.25">
      <c r="A162" s="1659" t="s">
        <v>1404</v>
      </c>
      <c r="B162" s="1659" t="s">
        <v>1426</v>
      </c>
      <c r="C162" s="1659" t="s">
        <v>1428</v>
      </c>
      <c r="D162" s="1657" t="str">
        <f>IF(E162="","","Lender")</f>
        <v/>
      </c>
      <c r="E162" s="1659" t="str">
        <f>IF(DEV_LenderPrivatePublicLender2="","",DEV_LenderPrivatePublicLender2)</f>
        <v/>
      </c>
      <c r="F162" s="1659" t="str">
        <f>IF(IF(DEV_LenderStreetAddress2="","",DEV_LenderStreetAddress2)="","",IF(DEV_LenderStreetAddress2="","",DEV_LenderStreetAddress2))</f>
        <v/>
      </c>
      <c r="G162" s="1659" t="str">
        <f>IF(DEV_LenderCity2="","",DEV_LenderCity2)</f>
        <v/>
      </c>
      <c r="H162" s="1657" t="str">
        <f>IF(DEV_LenderState2="","",DEV_LenderState2)</f>
        <v/>
      </c>
      <c r="I162" s="1657" t="str">
        <f>IF(DEV_LenderZipCode2="","",DEV_LenderZipCode2)</f>
        <v/>
      </c>
      <c r="J162" s="1659" t="str">
        <f>IF(DEV_LenderEmail2="","",DEV_LenderEmail2)</f>
        <v/>
      </c>
      <c r="K162" s="1667" t="str">
        <f>IF(DEV_LenderPhone2="","",DEV_LenderPhone2)</f>
        <v/>
      </c>
      <c r="L162" s="1668"/>
      <c r="M162" s="1657" t="str">
        <f t="shared" si="7"/>
        <v/>
      </c>
    </row>
    <row r="163" spans="1:13" x14ac:dyDescent="0.25">
      <c r="A163" s="1659" t="s">
        <v>1404</v>
      </c>
      <c r="B163" s="1659" t="s">
        <v>1426</v>
      </c>
      <c r="C163" s="1659" t="s">
        <v>1429</v>
      </c>
      <c r="D163" s="1657" t="str">
        <f>IF(E163="","","Lender")</f>
        <v/>
      </c>
      <c r="E163" s="1659" t="str">
        <f>IF(DEV_LenderPrivatePublicLender3="","",DEV_LenderPrivatePublicLender3)</f>
        <v/>
      </c>
      <c r="F163" s="1659" t="str">
        <f>IF(DEV_LenderStreetAddress3="","",DEV_LenderStreetAddress3)</f>
        <v/>
      </c>
      <c r="G163" s="1659" t="str">
        <f>IF(DEV_LenderCity3="","",DEV_LenderCity3)</f>
        <v/>
      </c>
      <c r="H163" s="1657" t="str">
        <f>IF(DEV_LenderState3="","",DEV_LenderState3)</f>
        <v/>
      </c>
      <c r="I163" s="1657" t="str">
        <f>IF(DEV_LenderZipCode3="","",DEV_LenderZipCode3)</f>
        <v/>
      </c>
      <c r="J163" s="1659" t="str">
        <f>IF(DEV_LenderEmail3="","",DEV_LenderEmail3)</f>
        <v/>
      </c>
      <c r="K163" s="1667" t="str">
        <f>IF(DEV_LenderPhone3="","",DEV_LenderPhone3)</f>
        <v/>
      </c>
      <c r="L163" s="1668"/>
      <c r="M163" s="1657" t="str">
        <f t="shared" si="7"/>
        <v/>
      </c>
    </row>
    <row r="164" spans="1:13" x14ac:dyDescent="0.25">
      <c r="A164" s="1659" t="s">
        <v>1404</v>
      </c>
      <c r="B164" s="1659" t="s">
        <v>1426</v>
      </c>
      <c r="C164" s="1659" t="s">
        <v>1430</v>
      </c>
      <c r="D164" s="1657" t="str">
        <f>IF(E164="","","Syndicator")</f>
        <v/>
      </c>
      <c r="E164" s="1659" t="str">
        <f>IF(DEV_LenderLIHTCEquityProvider="","",DEV_LenderLIHTCEquityProvider)</f>
        <v/>
      </c>
      <c r="F164" s="1659" t="str">
        <f>IF(DEV_LenderStreetAddress4="","",DEV_LenderStreetAddress4)</f>
        <v/>
      </c>
      <c r="G164" s="1659" t="str">
        <f>IF(DEV_LenderCity4="","",DEV_LenderCity4)</f>
        <v/>
      </c>
      <c r="H164" s="1657" t="str">
        <f>IF(DEV_LenderState4="","",DEV_LenderState4)</f>
        <v/>
      </c>
      <c r="I164" s="1657" t="str">
        <f>IF(DEV_LenderZipCode4="","",DEV_LenderZipCode4)</f>
        <v/>
      </c>
      <c r="J164" s="1659" t="str">
        <f>IF(DEV_LenderEmail4="","",DEV_LenderEmail4)</f>
        <v/>
      </c>
      <c r="K164" s="1667" t="str">
        <f>IF(DEV_LenderPhone4="","",DEV_LenderPhone4)</f>
        <v/>
      </c>
      <c r="L164" s="1668"/>
      <c r="M164" s="1657" t="str">
        <f t="shared" si="7"/>
        <v/>
      </c>
    </row>
    <row r="165" spans="1:13" x14ac:dyDescent="0.25">
      <c r="A165" s="1659" t="s">
        <v>1404</v>
      </c>
      <c r="B165" s="1659" t="s">
        <v>1426</v>
      </c>
      <c r="C165" s="1659" t="s">
        <v>1431</v>
      </c>
      <c r="D165" s="1657" t="str">
        <f>IF(E165="","","Syndicator")</f>
        <v/>
      </c>
      <c r="E165" s="1659" t="str">
        <f>IF(DEV_LenderFederalHistoricEquityProvider="","",DEV_LenderFederalHistoricEquityProvider)</f>
        <v/>
      </c>
      <c r="F165" s="1659" t="str">
        <f>IF(DEV_LenderStreetAddress5="","",DEV_LenderStreetAddress5)</f>
        <v/>
      </c>
      <c r="G165" s="1659" t="str">
        <f>IF(DEV_LenderCity5="","",DEV_LenderCity5)</f>
        <v/>
      </c>
      <c r="H165" s="1657" t="str">
        <f>IF(DEV_LenderState5="","",DEV_LenderState5)</f>
        <v/>
      </c>
      <c r="I165" s="1657" t="str">
        <f>IF(DEV_LenderZipCode5="","",DEV_LenderZipCode5)</f>
        <v/>
      </c>
      <c r="J165" s="1659" t="str">
        <f>IF(DEV_LenderEmail5="","",DEV_LenderEmail5)</f>
        <v/>
      </c>
      <c r="K165" s="1667" t="str">
        <f>IF(DEV_LenderPhone5="","",DEV_LenderPhone5)</f>
        <v/>
      </c>
      <c r="L165" s="1668"/>
      <c r="M165" s="1657" t="str">
        <f t="shared" si="7"/>
        <v/>
      </c>
    </row>
    <row r="166" spans="1:13" x14ac:dyDescent="0.25">
      <c r="A166" s="1659" t="s">
        <v>1404</v>
      </c>
      <c r="B166" s="1659" t="s">
        <v>1426</v>
      </c>
      <c r="C166" s="1659" t="s">
        <v>1432</v>
      </c>
      <c r="D166" s="1657" t="str">
        <f>IF(E166="","","Syndicator")</f>
        <v/>
      </c>
      <c r="E166" s="1659" t="str">
        <f>IF(DEV_LenderStateHistoricEquityProvider="","",DEV_LenderStateHistoricEquityProvider)</f>
        <v/>
      </c>
      <c r="F166" s="1659" t="str">
        <f>IF(DEV_LenderStreetAddress6="","",DEV_LenderStreetAddress6)</f>
        <v/>
      </c>
      <c r="G166" s="1659" t="str">
        <f>IF(DEV_LenderCity6="","",DEV_LenderCity6)</f>
        <v/>
      </c>
      <c r="H166" s="1657" t="str">
        <f>IF(DEV_LenderState6="","",DEV_LenderState6)</f>
        <v/>
      </c>
      <c r="I166" s="1657" t="str">
        <f>IF(DEV_LenderZipCode6="","",DEV_LenderZipCode6)</f>
        <v/>
      </c>
      <c r="J166" s="1659" t="str">
        <f>IF(DEV_LenderEmail6="","",DEV_LenderEmail6)</f>
        <v/>
      </c>
      <c r="K166" s="1667" t="str">
        <f>IF(DEV_LenderPhone6="","",DEV_LenderPhone6)</f>
        <v/>
      </c>
      <c r="L166" s="1668"/>
      <c r="M166" s="1657" t="str">
        <f t="shared" si="7"/>
        <v/>
      </c>
    </row>
    <row r="169" spans="1:13" ht="13.8" x14ac:dyDescent="0.25">
      <c r="A169" s="1651" t="s">
        <v>1173</v>
      </c>
      <c r="B169" s="1651" t="s">
        <v>1433</v>
      </c>
      <c r="C169" s="1651"/>
      <c r="D169" s="1651"/>
      <c r="G169" s="1660" t="s">
        <v>1194</v>
      </c>
      <c r="H169" s="1660"/>
      <c r="I169" s="1660"/>
    </row>
    <row r="170" spans="1:13" x14ac:dyDescent="0.25">
      <c r="A170" s="1654" t="s">
        <v>1198</v>
      </c>
      <c r="B170" s="1654" t="s">
        <v>1199</v>
      </c>
      <c r="C170" s="1654" t="s">
        <v>1200</v>
      </c>
      <c r="D170" s="1654" t="s">
        <v>1201</v>
      </c>
      <c r="G170" s="1662" t="s">
        <v>1202</v>
      </c>
      <c r="H170" s="1662" t="s">
        <v>1203</v>
      </c>
      <c r="I170" s="1662" t="s">
        <v>1201</v>
      </c>
    </row>
    <row r="171" spans="1:13" x14ac:dyDescent="0.25">
      <c r="A171" s="1655" t="s">
        <v>1404</v>
      </c>
      <c r="B171" s="1655" t="s">
        <v>1433</v>
      </c>
      <c r="C171" s="1655" t="s">
        <v>1434</v>
      </c>
      <c r="D171" s="1655" t="str">
        <f>IF(DEV_DirectInterest="","",DEV_DirectInterest)</f>
        <v>No</v>
      </c>
      <c r="G171" s="1655" t="s">
        <v>1206</v>
      </c>
      <c r="H171" s="1655" t="s">
        <v>1435</v>
      </c>
      <c r="I171" s="1657" t="str">
        <f t="shared" ref="I171:I186" si="8">IF(D171="","",D171)</f>
        <v>No</v>
      </c>
    </row>
    <row r="172" spans="1:13" x14ac:dyDescent="0.25">
      <c r="A172" s="1655" t="s">
        <v>1404</v>
      </c>
      <c r="B172" s="1655" t="s">
        <v>1433</v>
      </c>
      <c r="C172" s="1655" t="s">
        <v>1436</v>
      </c>
      <c r="D172" s="1655" t="str">
        <f>IF(DEV_DirectInterestExplain="","",DEV_DirectInterestExplain)</f>
        <v/>
      </c>
      <c r="G172" s="1655" t="s">
        <v>1206</v>
      </c>
      <c r="H172" s="1655" t="s">
        <v>1437</v>
      </c>
      <c r="I172" s="1655" t="str">
        <f t="shared" si="8"/>
        <v/>
      </c>
    </row>
    <row r="173" spans="1:13" x14ac:dyDescent="0.25">
      <c r="A173" s="1655" t="s">
        <v>1404</v>
      </c>
      <c r="B173" s="1655" t="s">
        <v>1433</v>
      </c>
      <c r="C173" s="1655" t="s">
        <v>1438</v>
      </c>
      <c r="D173" s="1655" t="str">
        <f>IF(DEV_DefaultLoan="","",DEV_DefaultLoan)</f>
        <v>No</v>
      </c>
      <c r="G173" s="1655" t="s">
        <v>1206</v>
      </c>
      <c r="H173" s="1655" t="s">
        <v>1439</v>
      </c>
      <c r="I173" s="1657" t="str">
        <f t="shared" si="8"/>
        <v>No</v>
      </c>
    </row>
    <row r="174" spans="1:13" x14ac:dyDescent="0.25">
      <c r="A174" s="1655" t="s">
        <v>1404</v>
      </c>
      <c r="B174" s="1655" t="s">
        <v>1433</v>
      </c>
      <c r="C174" s="1655" t="s">
        <v>1440</v>
      </c>
      <c r="D174" s="1655" t="str">
        <f>IF(DEV_DefaultLoanExplain="","",DEV_DefaultLoanExplain)</f>
        <v/>
      </c>
      <c r="G174" s="1655" t="s">
        <v>1206</v>
      </c>
      <c r="H174" s="1655" t="s">
        <v>1441</v>
      </c>
      <c r="I174" s="1655" t="str">
        <f t="shared" si="8"/>
        <v/>
      </c>
    </row>
    <row r="175" spans="1:13" x14ac:dyDescent="0.25">
      <c r="A175" s="1655" t="s">
        <v>1404</v>
      </c>
      <c r="B175" s="1655" t="s">
        <v>1433</v>
      </c>
      <c r="C175" s="1655" t="s">
        <v>1442</v>
      </c>
      <c r="D175" s="1655" t="str">
        <f>IF(DEV_FailedDocProvide="","",DEV_FailedDocProvide)</f>
        <v>No</v>
      </c>
      <c r="G175" s="1655" t="s">
        <v>1206</v>
      </c>
      <c r="H175" s="1655" t="s">
        <v>1443</v>
      </c>
      <c r="I175" s="1657" t="str">
        <f t="shared" si="8"/>
        <v>No</v>
      </c>
    </row>
    <row r="176" spans="1:13" x14ac:dyDescent="0.25">
      <c r="A176" s="1655" t="s">
        <v>1404</v>
      </c>
      <c r="B176" s="1655" t="s">
        <v>1433</v>
      </c>
      <c r="C176" s="1655" t="s">
        <v>1444</v>
      </c>
      <c r="D176" s="1655" t="str">
        <f>IF(DEV_FailedDocProvideExplain="","",DEV_FailedDocProvideExplain)</f>
        <v/>
      </c>
      <c r="G176" s="1655" t="s">
        <v>1206</v>
      </c>
      <c r="H176" s="1655" t="s">
        <v>1445</v>
      </c>
      <c r="I176" s="1655" t="str">
        <f t="shared" si="8"/>
        <v/>
      </c>
    </row>
    <row r="177" spans="1:37" x14ac:dyDescent="0.25">
      <c r="A177" s="1655" t="s">
        <v>1404</v>
      </c>
      <c r="B177" s="1655" t="s">
        <v>1433</v>
      </c>
      <c r="C177" s="1655" t="s">
        <v>1446</v>
      </c>
      <c r="D177" s="1655" t="str">
        <f>IF(DEV_LimitedDenial="","",DEV_LimitedDenial)</f>
        <v>No</v>
      </c>
      <c r="G177" s="1655" t="s">
        <v>1206</v>
      </c>
      <c r="H177" s="1655" t="s">
        <v>1447</v>
      </c>
      <c r="I177" s="1657" t="str">
        <f t="shared" si="8"/>
        <v>No</v>
      </c>
    </row>
    <row r="178" spans="1:37" x14ac:dyDescent="0.25">
      <c r="A178" s="1655" t="s">
        <v>1404</v>
      </c>
      <c r="B178" s="1655" t="s">
        <v>1433</v>
      </c>
      <c r="C178" s="1655" t="s">
        <v>1448</v>
      </c>
      <c r="D178" s="1655" t="str">
        <f>IF(DEV_LimitedDenialExplain="","",DEV_LimitedDenialExplain)</f>
        <v/>
      </c>
      <c r="G178" s="1655" t="s">
        <v>1206</v>
      </c>
      <c r="H178" s="1655" t="s">
        <v>1449</v>
      </c>
      <c r="I178" s="1655" t="str">
        <f t="shared" si="8"/>
        <v/>
      </c>
    </row>
    <row r="179" spans="1:37" x14ac:dyDescent="0.25">
      <c r="A179" s="1655" t="s">
        <v>1404</v>
      </c>
      <c r="B179" s="1655" t="s">
        <v>1433</v>
      </c>
      <c r="C179" s="1655" t="s">
        <v>1450</v>
      </c>
      <c r="D179" s="1655" t="str">
        <f>IF(DEV_ChronicPastDue="","",DEV_ChronicPastDue)</f>
        <v>No</v>
      </c>
      <c r="G179" s="1655" t="s">
        <v>1206</v>
      </c>
      <c r="H179" s="1657" t="s">
        <v>1451</v>
      </c>
      <c r="I179" s="1657" t="str">
        <f t="shared" si="8"/>
        <v>No</v>
      </c>
    </row>
    <row r="180" spans="1:37" x14ac:dyDescent="0.25">
      <c r="A180" s="1655" t="s">
        <v>1404</v>
      </c>
      <c r="B180" s="1655" t="s">
        <v>1433</v>
      </c>
      <c r="C180" s="1655" t="s">
        <v>1452</v>
      </c>
      <c r="D180" s="1655" t="str">
        <f>IF(DEV_ChronicPastDueExplain="","",DEV_ChronicPastDueExplain)</f>
        <v/>
      </c>
      <c r="G180" s="1655" t="s">
        <v>1206</v>
      </c>
      <c r="H180" s="1655" t="s">
        <v>1453</v>
      </c>
      <c r="I180" s="1655" t="str">
        <f t="shared" si="8"/>
        <v/>
      </c>
    </row>
    <row r="181" spans="1:37" x14ac:dyDescent="0.25">
      <c r="A181" s="1655" t="s">
        <v>1404</v>
      </c>
      <c r="B181" s="1655" t="s">
        <v>1433</v>
      </c>
      <c r="C181" s="1655" t="s">
        <v>1454</v>
      </c>
      <c r="D181" s="1655" t="str">
        <f>IF(DEV_WatchList="","",DEV_WatchList)</f>
        <v>No</v>
      </c>
      <c r="G181" s="1655" t="s">
        <v>1206</v>
      </c>
      <c r="H181" s="1655" t="s">
        <v>1455</v>
      </c>
      <c r="I181" s="1657" t="str">
        <f t="shared" si="8"/>
        <v>No</v>
      </c>
    </row>
    <row r="182" spans="1:37" x14ac:dyDescent="0.25">
      <c r="A182" s="1655" t="s">
        <v>1404</v>
      </c>
      <c r="B182" s="1655" t="s">
        <v>1433</v>
      </c>
      <c r="C182" s="1655" t="s">
        <v>1456</v>
      </c>
      <c r="D182" s="1655" t="str">
        <f>IF(DEV_WatchListExplain="","",DEV_WatchListExplain)</f>
        <v/>
      </c>
      <c r="G182" s="1655" t="s">
        <v>1206</v>
      </c>
      <c r="H182" s="1655" t="s">
        <v>1457</v>
      </c>
      <c r="I182" s="1655" t="str">
        <f t="shared" si="8"/>
        <v/>
      </c>
    </row>
    <row r="183" spans="1:37" x14ac:dyDescent="0.25">
      <c r="A183" s="1655" t="s">
        <v>1404</v>
      </c>
      <c r="B183" s="1655" t="s">
        <v>1433</v>
      </c>
      <c r="C183" s="1655" t="s">
        <v>1458</v>
      </c>
      <c r="D183" s="1655" t="str">
        <f>IF(DEV_UnabletoUse="","",DEV_UnabletoUse)</f>
        <v>No</v>
      </c>
      <c r="G183" s="1655" t="s">
        <v>1206</v>
      </c>
      <c r="H183" s="1655" t="s">
        <v>1459</v>
      </c>
      <c r="I183" s="1657" t="str">
        <f t="shared" si="8"/>
        <v>No</v>
      </c>
    </row>
    <row r="184" spans="1:37" x14ac:dyDescent="0.25">
      <c r="A184" s="1655" t="s">
        <v>1404</v>
      </c>
      <c r="B184" s="1655" t="s">
        <v>1433</v>
      </c>
      <c r="C184" s="1655" t="s">
        <v>1460</v>
      </c>
      <c r="D184" s="1655" t="str">
        <f>IF(DEV_UnabletoUseExplain="","",DEV_UnabletoUseExplain)</f>
        <v/>
      </c>
      <c r="G184" s="1655" t="s">
        <v>1206</v>
      </c>
      <c r="H184" s="1655" t="s">
        <v>1461</v>
      </c>
      <c r="I184" s="1655" t="str">
        <f t="shared" si="8"/>
        <v/>
      </c>
    </row>
    <row r="185" spans="1:37" x14ac:dyDescent="0.25">
      <c r="A185" s="1655" t="s">
        <v>1404</v>
      </c>
      <c r="B185" s="1655" t="s">
        <v>1433</v>
      </c>
      <c r="C185" s="1655" t="s">
        <v>1462</v>
      </c>
      <c r="D185" s="1655" t="str">
        <f>IF(DEV_UnpaidFees="","",DEV_UnpaidFees)</f>
        <v>No</v>
      </c>
      <c r="G185" s="1655" t="s">
        <v>1206</v>
      </c>
      <c r="H185" s="1655" t="s">
        <v>1463</v>
      </c>
      <c r="I185" s="1657" t="str">
        <f t="shared" si="8"/>
        <v>No</v>
      </c>
    </row>
    <row r="186" spans="1:37" x14ac:dyDescent="0.25">
      <c r="A186" s="1655" t="s">
        <v>1404</v>
      </c>
      <c r="B186" s="1655" t="s">
        <v>1433</v>
      </c>
      <c r="C186" s="1655" t="s">
        <v>1464</v>
      </c>
      <c r="D186" s="1655" t="str">
        <f>IF(DEV_UnpaidFeesExplain="","",DEV_UnpaidFeesExplain)</f>
        <v/>
      </c>
      <c r="G186" s="1655" t="s">
        <v>1206</v>
      </c>
      <c r="H186" s="1655" t="s">
        <v>1465</v>
      </c>
      <c r="I186" s="1655" t="str">
        <f t="shared" si="8"/>
        <v/>
      </c>
    </row>
    <row r="189" spans="1:37" ht="13.8" x14ac:dyDescent="0.25">
      <c r="A189" s="1651" t="s">
        <v>1466</v>
      </c>
      <c r="B189" s="1651" t="s">
        <v>1186</v>
      </c>
      <c r="C189" s="1651"/>
      <c r="D189" s="1651"/>
      <c r="E189" s="1651"/>
      <c r="F189" s="1651"/>
      <c r="G189" s="1651"/>
      <c r="H189" s="1651"/>
      <c r="I189" s="1651"/>
      <c r="J189" s="1651"/>
      <c r="K189" s="1651"/>
      <c r="L189" s="1651"/>
      <c r="M189" s="1651"/>
      <c r="O189" s="1672" t="s">
        <v>1467</v>
      </c>
      <c r="P189" s="1672" t="s">
        <v>1306</v>
      </c>
      <c r="Q189" s="1672"/>
      <c r="R189" s="1672"/>
      <c r="T189" s="1661" t="s">
        <v>1195</v>
      </c>
      <c r="U189" s="1661"/>
      <c r="V189" s="1661"/>
      <c r="W189" s="1661"/>
      <c r="X189" s="1661"/>
      <c r="Y189" s="1661"/>
      <c r="Z189" s="1661"/>
      <c r="AA189" s="1661"/>
      <c r="AB189" s="1661"/>
      <c r="AC189" s="1661"/>
      <c r="AD189" s="1661"/>
      <c r="AE189" s="1661"/>
      <c r="AF189" s="1661"/>
      <c r="AG189" s="1661"/>
      <c r="AH189" s="1661"/>
      <c r="AI189" s="1661"/>
      <c r="AJ189" s="1661"/>
      <c r="AK189" s="1673" t="s">
        <v>1468</v>
      </c>
    </row>
    <row r="190" spans="1:37" x14ac:dyDescent="0.25">
      <c r="A190" s="1654" t="s">
        <v>1198</v>
      </c>
      <c r="B190" s="1654" t="s">
        <v>230</v>
      </c>
      <c r="C190" s="1654" t="s">
        <v>38</v>
      </c>
      <c r="D190" s="1654" t="s">
        <v>55</v>
      </c>
      <c r="E190" s="1654" t="s">
        <v>56</v>
      </c>
      <c r="F190" s="1654" t="s">
        <v>229</v>
      </c>
      <c r="G190" s="1654" t="s">
        <v>231</v>
      </c>
      <c r="H190" s="1654" t="s">
        <v>232</v>
      </c>
      <c r="I190" s="1654" t="s">
        <v>234</v>
      </c>
      <c r="J190" s="1654" t="s">
        <v>235</v>
      </c>
      <c r="K190" s="1654" t="s">
        <v>237</v>
      </c>
      <c r="L190" s="1654" t="s">
        <v>238</v>
      </c>
      <c r="M190" s="1654" t="s">
        <v>239</v>
      </c>
      <c r="O190" s="1662" t="s">
        <v>1198</v>
      </c>
      <c r="P190" s="1662" t="str">
        <f>'TAX CREDIT'!L16</f>
        <v>Date Last Placed in Service (PIS)</v>
      </c>
      <c r="Q190" s="1662" t="str">
        <f>'TAX CREDIT'!M16</f>
        <v>Sponsor's  Purchase Date</v>
      </c>
      <c r="R190" s="1654" t="str">
        <f>'TAX CREDIT'!N16</f>
        <v>Years Between PIS &amp; Purchase Date</v>
      </c>
      <c r="T190" s="1662" t="s">
        <v>1202</v>
      </c>
      <c r="U190" s="1654" t="s">
        <v>230</v>
      </c>
      <c r="V190" s="1654" t="s">
        <v>38</v>
      </c>
      <c r="W190" s="1654" t="s">
        <v>55</v>
      </c>
      <c r="X190" s="1654" t="s">
        <v>56</v>
      </c>
      <c r="Y190" s="1654" t="s">
        <v>229</v>
      </c>
      <c r="Z190" s="1654" t="s">
        <v>231</v>
      </c>
      <c r="AA190" s="1654" t="s">
        <v>232</v>
      </c>
      <c r="AB190" s="1654" t="s">
        <v>234</v>
      </c>
      <c r="AC190" s="1654" t="s">
        <v>235</v>
      </c>
      <c r="AD190" s="1654" t="s">
        <v>237</v>
      </c>
      <c r="AE190" s="1654" t="s">
        <v>238</v>
      </c>
      <c r="AF190" s="1654" t="s">
        <v>239</v>
      </c>
      <c r="AG190" s="1654" t="s">
        <v>1469</v>
      </c>
      <c r="AH190" s="1654" t="str">
        <f>P190</f>
        <v>Date Last Placed in Service (PIS)</v>
      </c>
      <c r="AI190" s="1654" t="str">
        <f>Q190</f>
        <v>Sponsor's  Purchase Date</v>
      </c>
      <c r="AJ190" s="1654" t="str">
        <f>R190</f>
        <v>Years Between PIS &amp; Purchase Date</v>
      </c>
      <c r="AK190" s="1654" t="s">
        <v>1470</v>
      </c>
    </row>
    <row r="191" spans="1:37" x14ac:dyDescent="0.25">
      <c r="A191" s="1655" t="s">
        <v>1471</v>
      </c>
      <c r="B191" s="1655" t="str">
        <f>IF(BUILDING!D10="","",BUILDING!D10)</f>
        <v/>
      </c>
      <c r="C191" s="1655" t="str">
        <f>IF(BUILDING!E10="","",BUILDING!E10)</f>
        <v/>
      </c>
      <c r="D191" s="1655" t="str">
        <f>IF(BUILDING!F10="","",BUILDING!F10)</f>
        <v/>
      </c>
      <c r="E191" s="1655" t="str">
        <f>IF(BUILDING!G10="","",BUILDING!G10)</f>
        <v/>
      </c>
      <c r="F191" s="1674" t="str">
        <f>IF(BUILDING!C10="","",BUILDING!C10)</f>
        <v/>
      </c>
      <c r="G191" s="1655" t="str">
        <f>IF(BUILDING!H10="","",BUILDING!H10)</f>
        <v/>
      </c>
      <c r="H191" s="1655" t="str">
        <f>IF(BUILDING!I10="","",BUILDING!I10)</f>
        <v/>
      </c>
      <c r="I191" s="1659" t="str">
        <f>IF(BUILDING!K10="","",BUILDING!K10)</f>
        <v/>
      </c>
      <c r="J191" s="1659" t="str">
        <f>IF(BUILDING!L10="","",BUILDING!L10)</f>
        <v/>
      </c>
      <c r="K191" s="1675" t="str">
        <f>IF(BUILDING!N10=0,"",BUILDING!N10)</f>
        <v/>
      </c>
      <c r="L191" s="1674" t="str">
        <f>IF(BUILDING!O10="","",BUILDING!O10)</f>
        <v/>
      </c>
      <c r="M191" s="1655" t="str">
        <f>IF(BUILDING!P10="","",BUILDING!P10)</f>
        <v/>
      </c>
      <c r="O191" s="1655" t="s">
        <v>1472</v>
      </c>
      <c r="P191" s="1655" t="str">
        <f>IF(TC_DateLastPIS1="","",TC_DateLastPIS1)</f>
        <v/>
      </c>
      <c r="Q191" s="1655" t="str">
        <f>IF(TC_PurchaseDate1="","",TC_PurchaseDate1)</f>
        <v/>
      </c>
      <c r="R191" s="1655" t="str">
        <f>IF(TC_YearsPISPurchase1="","",TC_YearsPISPurchase1)</f>
        <v/>
      </c>
      <c r="T191" s="1655" t="s">
        <v>1473</v>
      </c>
      <c r="U191" s="1655" t="str">
        <f t="shared" ref="U191:U210" si="9">IF(B191="","",B191)</f>
        <v/>
      </c>
      <c r="V191" s="1659" t="str">
        <f t="shared" ref="V191:X206" si="10">IF(C191="","",C191)</f>
        <v/>
      </c>
      <c r="W191" s="1657" t="str">
        <f t="shared" si="10"/>
        <v/>
      </c>
      <c r="X191" s="1659" t="str">
        <f t="shared" si="10"/>
        <v/>
      </c>
      <c r="Y191" s="1674" t="str">
        <f t="shared" ref="Y191:Y210" si="11">IF(F191="","",F191)</f>
        <v/>
      </c>
      <c r="Z191" s="1655" t="str">
        <f t="shared" ref="Z191:Z210" si="12">IF(G191="","",G191)</f>
        <v/>
      </c>
      <c r="AA191" s="1655" t="str">
        <f t="shared" ref="AA191:AA210" si="13">IF(H191="","",H191)</f>
        <v/>
      </c>
      <c r="AB191" s="1655" t="str">
        <f t="shared" ref="AB191:AB210" si="14">IF(I191="","",I191)</f>
        <v/>
      </c>
      <c r="AC191" s="1655" t="str">
        <f t="shared" ref="AC191:AC210" si="15">IF(J191="","",J191)</f>
        <v/>
      </c>
      <c r="AD191" s="1675" t="str">
        <f t="shared" ref="AD191:AD210" si="16">IF(K191="","",K191)</f>
        <v/>
      </c>
      <c r="AE191" s="1674" t="str">
        <f t="shared" ref="AE191:AE210" si="17">IF(L191="","",L191)</f>
        <v/>
      </c>
      <c r="AF191" s="1657" t="str">
        <f t="shared" ref="AF191:AF254" si="18">IF(M191="","",M191)</f>
        <v/>
      </c>
      <c r="AG191" s="1655" t="str">
        <f t="shared" ref="AG191:AG210" si="19">IFERROR(IF(Z191="","",Z191-AA191),"")</f>
        <v/>
      </c>
      <c r="AH191" s="1665" t="str">
        <f t="shared" ref="AH191:AH210" si="20">IF(P191="","",P191)</f>
        <v/>
      </c>
      <c r="AI191" s="1665" t="str">
        <f t="shared" ref="AI191:AI210" si="21">IF(Q191="","",Q191)</f>
        <v/>
      </c>
      <c r="AJ191" s="1655" t="str">
        <f t="shared" ref="AJ191:AJ210" si="22">IF(R191="","",R191)</f>
        <v/>
      </c>
      <c r="AK191" s="1659" t="str">
        <f t="shared" ref="AK191:AK222" si="23">IF(U191="","",$M$673)</f>
        <v/>
      </c>
    </row>
    <row r="192" spans="1:37" x14ac:dyDescent="0.25">
      <c r="A192" s="1655" t="s">
        <v>1471</v>
      </c>
      <c r="B192" s="1655" t="str">
        <f>IF(BUILDING!D11="","",BUILDING!D11)</f>
        <v/>
      </c>
      <c r="C192" s="1655" t="str">
        <f>IF(BUILDING!E11="","",BUILDING!E11)</f>
        <v/>
      </c>
      <c r="D192" s="1655" t="str">
        <f>IF(BUILDING!F11="","",BUILDING!F11)</f>
        <v/>
      </c>
      <c r="E192" s="1655" t="str">
        <f>IF(BUILDING!G11="","",BUILDING!G11)</f>
        <v/>
      </c>
      <c r="F192" s="1674" t="str">
        <f>IF(BUILDING!C11="","",BUILDING!C11)</f>
        <v/>
      </c>
      <c r="G192" s="1655" t="str">
        <f>IF(BUILDING!H11="","",BUILDING!H11)</f>
        <v/>
      </c>
      <c r="H192" s="1655" t="str">
        <f>IF(BUILDING!I11="","",BUILDING!I11)</f>
        <v/>
      </c>
      <c r="I192" s="1659" t="str">
        <f>IF(BUILDING!K11="","",BUILDING!K11)</f>
        <v/>
      </c>
      <c r="J192" s="1659" t="str">
        <f>IF(BUILDING!L11="","",BUILDING!L11)</f>
        <v/>
      </c>
      <c r="K192" s="1675" t="str">
        <f>IF(BUILDING!N11=0,"",BUILDING!N11)</f>
        <v/>
      </c>
      <c r="L192" s="1674" t="str">
        <f>IF(BUILDING!O11="","",BUILDING!O11)</f>
        <v/>
      </c>
      <c r="M192" s="1655" t="str">
        <f>IF(BUILDING!P11="","",BUILDING!P11)</f>
        <v/>
      </c>
      <c r="O192" s="1655" t="s">
        <v>1472</v>
      </c>
      <c r="P192" s="1655" t="str">
        <f>IF(TC_DateLastPIS2="","",TC_DateLastPIS2)</f>
        <v/>
      </c>
      <c r="Q192" s="1655" t="str">
        <f>IF(TC_PurchaseDate2="","",TC_PurchaseDate2)</f>
        <v/>
      </c>
      <c r="R192" s="1655" t="str">
        <f>IF(TC_YearsPISPurchase2="","",TC_YearsPISPurchase2)</f>
        <v/>
      </c>
      <c r="T192" s="1655" t="s">
        <v>1473</v>
      </c>
      <c r="U192" s="1655" t="str">
        <f t="shared" si="9"/>
        <v/>
      </c>
      <c r="V192" s="1659" t="str">
        <f t="shared" si="10"/>
        <v/>
      </c>
      <c r="W192" s="1657" t="str">
        <f t="shared" si="10"/>
        <v/>
      </c>
      <c r="X192" s="1659" t="str">
        <f t="shared" si="10"/>
        <v/>
      </c>
      <c r="Y192" s="1674" t="str">
        <f t="shared" si="11"/>
        <v/>
      </c>
      <c r="Z192" s="1655" t="str">
        <f t="shared" si="12"/>
        <v/>
      </c>
      <c r="AA192" s="1655" t="str">
        <f t="shared" si="13"/>
        <v/>
      </c>
      <c r="AB192" s="1655" t="str">
        <f t="shared" si="14"/>
        <v/>
      </c>
      <c r="AC192" s="1655" t="str">
        <f t="shared" si="15"/>
        <v/>
      </c>
      <c r="AD192" s="1675" t="str">
        <f t="shared" si="16"/>
        <v/>
      </c>
      <c r="AE192" s="1674" t="str">
        <f t="shared" si="17"/>
        <v/>
      </c>
      <c r="AF192" s="1657" t="str">
        <f t="shared" si="18"/>
        <v/>
      </c>
      <c r="AG192" s="1655" t="str">
        <f t="shared" si="19"/>
        <v/>
      </c>
      <c r="AH192" s="1665" t="str">
        <f t="shared" si="20"/>
        <v/>
      </c>
      <c r="AI192" s="1665" t="str">
        <f t="shared" si="21"/>
        <v/>
      </c>
      <c r="AJ192" s="1655" t="str">
        <f t="shared" si="22"/>
        <v/>
      </c>
      <c r="AK192" s="1659" t="str">
        <f t="shared" si="23"/>
        <v/>
      </c>
    </row>
    <row r="193" spans="1:37" x14ac:dyDescent="0.25">
      <c r="A193" s="1655" t="s">
        <v>1471</v>
      </c>
      <c r="B193" s="1655" t="str">
        <f>IF(BUILDING!D12="","",BUILDING!D12)</f>
        <v/>
      </c>
      <c r="C193" s="1655" t="str">
        <f>IF(BUILDING!E12="","",BUILDING!E12)</f>
        <v/>
      </c>
      <c r="D193" s="1655" t="str">
        <f>IF(BUILDING!F12="","",BUILDING!F12)</f>
        <v/>
      </c>
      <c r="E193" s="1655" t="str">
        <f>IF(BUILDING!G12="","",BUILDING!G12)</f>
        <v/>
      </c>
      <c r="F193" s="1674" t="str">
        <f>IF(BUILDING!C12="","",BUILDING!C12)</f>
        <v/>
      </c>
      <c r="G193" s="1655" t="str">
        <f>IF(BUILDING!H12="","",BUILDING!H12)</f>
        <v/>
      </c>
      <c r="H193" s="1655" t="str">
        <f>IF(BUILDING!I12="","",BUILDING!I12)</f>
        <v/>
      </c>
      <c r="I193" s="1659" t="str">
        <f>IF(BUILDING!K12="","",BUILDING!K12)</f>
        <v/>
      </c>
      <c r="J193" s="1659" t="str">
        <f>IF(BUILDING!L12="","",BUILDING!L12)</f>
        <v/>
      </c>
      <c r="K193" s="1675" t="str">
        <f>IF(BUILDING!N12=0,"",BUILDING!N12)</f>
        <v/>
      </c>
      <c r="L193" s="1674" t="str">
        <f>IF(BUILDING!O12="","",BUILDING!O12)</f>
        <v/>
      </c>
      <c r="M193" s="1655" t="str">
        <f>IF(BUILDING!P12="","",BUILDING!P12)</f>
        <v/>
      </c>
      <c r="O193" s="1655" t="s">
        <v>1472</v>
      </c>
      <c r="P193" s="1655" t="str">
        <f>IF(TC_DateLastPIS3="","",TC_DateLastPIS3)</f>
        <v/>
      </c>
      <c r="Q193" s="1655" t="str">
        <f>IF(TC_PurchaseDate3="","",TC_PurchaseDate3)</f>
        <v/>
      </c>
      <c r="R193" s="1655" t="str">
        <f>IF(TC_YearsPISPurchase3="","",TC_YearsPISPurchase3)</f>
        <v/>
      </c>
      <c r="T193" s="1655" t="s">
        <v>1473</v>
      </c>
      <c r="U193" s="1655" t="str">
        <f t="shared" si="9"/>
        <v/>
      </c>
      <c r="V193" s="1659" t="str">
        <f t="shared" si="10"/>
        <v/>
      </c>
      <c r="W193" s="1657" t="str">
        <f t="shared" si="10"/>
        <v/>
      </c>
      <c r="X193" s="1659" t="str">
        <f t="shared" si="10"/>
        <v/>
      </c>
      <c r="Y193" s="1674" t="str">
        <f t="shared" si="11"/>
        <v/>
      </c>
      <c r="Z193" s="1655" t="str">
        <f t="shared" si="12"/>
        <v/>
      </c>
      <c r="AA193" s="1655" t="str">
        <f t="shared" si="13"/>
        <v/>
      </c>
      <c r="AB193" s="1655" t="str">
        <f t="shared" si="14"/>
        <v/>
      </c>
      <c r="AC193" s="1655" t="str">
        <f t="shared" si="15"/>
        <v/>
      </c>
      <c r="AD193" s="1675" t="str">
        <f t="shared" si="16"/>
        <v/>
      </c>
      <c r="AE193" s="1674" t="str">
        <f t="shared" si="17"/>
        <v/>
      </c>
      <c r="AF193" s="1657" t="str">
        <f t="shared" si="18"/>
        <v/>
      </c>
      <c r="AG193" s="1655" t="str">
        <f t="shared" si="19"/>
        <v/>
      </c>
      <c r="AH193" s="1665" t="str">
        <f t="shared" si="20"/>
        <v/>
      </c>
      <c r="AI193" s="1665" t="str">
        <f t="shared" si="21"/>
        <v/>
      </c>
      <c r="AJ193" s="1655" t="str">
        <f t="shared" si="22"/>
        <v/>
      </c>
      <c r="AK193" s="1659" t="str">
        <f t="shared" si="23"/>
        <v/>
      </c>
    </row>
    <row r="194" spans="1:37" x14ac:dyDescent="0.25">
      <c r="A194" s="1655" t="s">
        <v>1471</v>
      </c>
      <c r="B194" s="1655" t="str">
        <f>IF(BUILDING!D13="","",BUILDING!D13)</f>
        <v/>
      </c>
      <c r="C194" s="1655" t="str">
        <f>IF(BUILDING!E13="","",BUILDING!E13)</f>
        <v/>
      </c>
      <c r="D194" s="1655" t="str">
        <f>IF(BUILDING!F13="","",BUILDING!F13)</f>
        <v/>
      </c>
      <c r="E194" s="1655" t="str">
        <f>IF(BUILDING!G13="","",BUILDING!G13)</f>
        <v/>
      </c>
      <c r="F194" s="1674" t="str">
        <f>IF(BUILDING!C13="","",BUILDING!C13)</f>
        <v/>
      </c>
      <c r="G194" s="1655" t="str">
        <f>IF(BUILDING!H13="","",BUILDING!H13)</f>
        <v/>
      </c>
      <c r="H194" s="1655" t="str">
        <f>IF(BUILDING!I13="","",BUILDING!I13)</f>
        <v/>
      </c>
      <c r="I194" s="1659" t="str">
        <f>IF(BUILDING!K13="","",BUILDING!K13)</f>
        <v/>
      </c>
      <c r="J194" s="1659" t="str">
        <f>IF(BUILDING!L13="","",BUILDING!L13)</f>
        <v/>
      </c>
      <c r="K194" s="1675" t="str">
        <f>IF(BUILDING!N13=0,"",BUILDING!N13)</f>
        <v/>
      </c>
      <c r="L194" s="1674" t="str">
        <f>IF(BUILDING!O13="","",BUILDING!O13)</f>
        <v/>
      </c>
      <c r="M194" s="1655" t="str">
        <f>IF(BUILDING!P13="","",BUILDING!P13)</f>
        <v/>
      </c>
      <c r="O194" s="1655" t="s">
        <v>1472</v>
      </c>
      <c r="P194" s="1655" t="str">
        <f>IF(TC_DateLastPIS4="","",TC_DateLastPIS4)</f>
        <v/>
      </c>
      <c r="Q194" s="1655" t="str">
        <f>IF(TC_PurchaseDate4="","",TC_PurchaseDate4)</f>
        <v/>
      </c>
      <c r="R194" s="1655" t="str">
        <f>IF(TC_YearsPISPurchase4="","",TC_YearsPISPurchase4)</f>
        <v/>
      </c>
      <c r="T194" s="1655" t="s">
        <v>1473</v>
      </c>
      <c r="U194" s="1655" t="str">
        <f t="shared" si="9"/>
        <v/>
      </c>
      <c r="V194" s="1659" t="str">
        <f t="shared" si="10"/>
        <v/>
      </c>
      <c r="W194" s="1657" t="str">
        <f t="shared" si="10"/>
        <v/>
      </c>
      <c r="X194" s="1659" t="str">
        <f t="shared" si="10"/>
        <v/>
      </c>
      <c r="Y194" s="1674" t="str">
        <f t="shared" si="11"/>
        <v/>
      </c>
      <c r="Z194" s="1655" t="str">
        <f t="shared" si="12"/>
        <v/>
      </c>
      <c r="AA194" s="1655" t="str">
        <f t="shared" si="13"/>
        <v/>
      </c>
      <c r="AB194" s="1655" t="str">
        <f t="shared" si="14"/>
        <v/>
      </c>
      <c r="AC194" s="1655" t="str">
        <f t="shared" si="15"/>
        <v/>
      </c>
      <c r="AD194" s="1675" t="str">
        <f t="shared" si="16"/>
        <v/>
      </c>
      <c r="AE194" s="1674" t="str">
        <f t="shared" si="17"/>
        <v/>
      </c>
      <c r="AF194" s="1657" t="str">
        <f t="shared" si="18"/>
        <v/>
      </c>
      <c r="AG194" s="1655" t="str">
        <f t="shared" si="19"/>
        <v/>
      </c>
      <c r="AH194" s="1665" t="str">
        <f t="shared" si="20"/>
        <v/>
      </c>
      <c r="AI194" s="1665" t="str">
        <f t="shared" si="21"/>
        <v/>
      </c>
      <c r="AJ194" s="1655" t="str">
        <f t="shared" si="22"/>
        <v/>
      </c>
      <c r="AK194" s="1659" t="str">
        <f t="shared" si="23"/>
        <v/>
      </c>
    </row>
    <row r="195" spans="1:37" x14ac:dyDescent="0.25">
      <c r="A195" s="1655" t="s">
        <v>1471</v>
      </c>
      <c r="B195" s="1655" t="str">
        <f>IF(BUILDING!D14="","",BUILDING!D14)</f>
        <v/>
      </c>
      <c r="C195" s="1655" t="str">
        <f>IF(BUILDING!E14="","",BUILDING!E14)</f>
        <v/>
      </c>
      <c r="D195" s="1655" t="str">
        <f>IF(BUILDING!F14="","",BUILDING!F14)</f>
        <v/>
      </c>
      <c r="E195" s="1655" t="str">
        <f>IF(BUILDING!G14="","",BUILDING!G14)</f>
        <v/>
      </c>
      <c r="F195" s="1674" t="str">
        <f>IF(BUILDING!C14="","",BUILDING!C14)</f>
        <v/>
      </c>
      <c r="G195" s="1655" t="str">
        <f>IF(BUILDING!H14="","",BUILDING!H14)</f>
        <v/>
      </c>
      <c r="H195" s="1655" t="str">
        <f>IF(BUILDING!I14="","",BUILDING!I14)</f>
        <v/>
      </c>
      <c r="I195" s="1659" t="str">
        <f>IF(BUILDING!K14="","",BUILDING!K14)</f>
        <v/>
      </c>
      <c r="J195" s="1659" t="str">
        <f>IF(BUILDING!L14="","",BUILDING!L14)</f>
        <v/>
      </c>
      <c r="K195" s="1675" t="str">
        <f>IF(BUILDING!N14=0,"",BUILDING!N14)</f>
        <v/>
      </c>
      <c r="L195" s="1674" t="str">
        <f>IF(BUILDING!O14="","",BUILDING!O14)</f>
        <v/>
      </c>
      <c r="M195" s="1655" t="str">
        <f>IF(BUILDING!P14="","",BUILDING!P14)</f>
        <v/>
      </c>
      <c r="O195" s="1655" t="s">
        <v>1472</v>
      </c>
      <c r="P195" s="1655" t="str">
        <f>IF(TC_DateLastPIS5="","",TC_DateLastPIS5)</f>
        <v/>
      </c>
      <c r="Q195" s="1655" t="str">
        <f>IF(TC_PurchaseDate5="","",TC_PurchaseDate5)</f>
        <v/>
      </c>
      <c r="R195" s="1655" t="str">
        <f>IF(TC_YearsPISPurchase5="","",TC_YearsPISPurchase5)</f>
        <v/>
      </c>
      <c r="T195" s="1655" t="s">
        <v>1473</v>
      </c>
      <c r="U195" s="1655" t="str">
        <f t="shared" si="9"/>
        <v/>
      </c>
      <c r="V195" s="1659" t="str">
        <f t="shared" si="10"/>
        <v/>
      </c>
      <c r="W195" s="1657" t="str">
        <f t="shared" si="10"/>
        <v/>
      </c>
      <c r="X195" s="1659" t="str">
        <f t="shared" si="10"/>
        <v/>
      </c>
      <c r="Y195" s="1674" t="str">
        <f t="shared" si="11"/>
        <v/>
      </c>
      <c r="Z195" s="1655" t="str">
        <f t="shared" si="12"/>
        <v/>
      </c>
      <c r="AA195" s="1655" t="str">
        <f t="shared" si="13"/>
        <v/>
      </c>
      <c r="AB195" s="1655" t="str">
        <f t="shared" si="14"/>
        <v/>
      </c>
      <c r="AC195" s="1655" t="str">
        <f t="shared" si="15"/>
        <v/>
      </c>
      <c r="AD195" s="1675" t="str">
        <f t="shared" si="16"/>
        <v/>
      </c>
      <c r="AE195" s="1674" t="str">
        <f t="shared" si="17"/>
        <v/>
      </c>
      <c r="AF195" s="1657" t="str">
        <f t="shared" si="18"/>
        <v/>
      </c>
      <c r="AG195" s="1655" t="str">
        <f t="shared" si="19"/>
        <v/>
      </c>
      <c r="AH195" s="1665" t="str">
        <f t="shared" si="20"/>
        <v/>
      </c>
      <c r="AI195" s="1665" t="str">
        <f t="shared" si="21"/>
        <v/>
      </c>
      <c r="AJ195" s="1655" t="str">
        <f t="shared" si="22"/>
        <v/>
      </c>
      <c r="AK195" s="1659" t="str">
        <f t="shared" si="23"/>
        <v/>
      </c>
    </row>
    <row r="196" spans="1:37" x14ac:dyDescent="0.25">
      <c r="A196" s="1655" t="s">
        <v>1471</v>
      </c>
      <c r="B196" s="1655" t="str">
        <f>IF(BUILDING!D15="","",BUILDING!D15)</f>
        <v/>
      </c>
      <c r="C196" s="1655" t="str">
        <f>IF(BUILDING!E15="","",BUILDING!E15)</f>
        <v/>
      </c>
      <c r="D196" s="1655" t="str">
        <f>IF(BUILDING!F15="","",BUILDING!F15)</f>
        <v/>
      </c>
      <c r="E196" s="1655" t="str">
        <f>IF(BUILDING!G15="","",BUILDING!G15)</f>
        <v/>
      </c>
      <c r="F196" s="1674" t="str">
        <f>IF(BUILDING!C15="","",BUILDING!C15)</f>
        <v/>
      </c>
      <c r="G196" s="1655" t="str">
        <f>IF(BUILDING!H15="","",BUILDING!H15)</f>
        <v/>
      </c>
      <c r="H196" s="1655" t="str">
        <f>IF(BUILDING!I15="","",BUILDING!I15)</f>
        <v/>
      </c>
      <c r="I196" s="1659" t="str">
        <f>IF(BUILDING!K15="","",BUILDING!K15)</f>
        <v/>
      </c>
      <c r="J196" s="1659" t="str">
        <f>IF(BUILDING!L15="","",BUILDING!L15)</f>
        <v/>
      </c>
      <c r="K196" s="1675" t="str">
        <f>IF(BUILDING!N15=0,"",BUILDING!N15)</f>
        <v/>
      </c>
      <c r="L196" s="1674" t="str">
        <f>IF(BUILDING!O15="","",BUILDING!O15)</f>
        <v/>
      </c>
      <c r="M196" s="1655" t="str">
        <f>IF(BUILDING!P15="","",BUILDING!P15)</f>
        <v/>
      </c>
      <c r="O196" s="1655" t="s">
        <v>1472</v>
      </c>
      <c r="P196" s="1655" t="str">
        <f>IF(TC_DateLastPIS6="","",TC_DateLastPIS6)</f>
        <v/>
      </c>
      <c r="Q196" s="1655" t="str">
        <f>IF(TC_PurchaseDate6="","",TC_PurchaseDate6)</f>
        <v/>
      </c>
      <c r="R196" s="1655" t="str">
        <f>IF(TC_YearsPISPurchase6="","",TC_YearsPISPurchase6)</f>
        <v/>
      </c>
      <c r="T196" s="1655" t="s">
        <v>1473</v>
      </c>
      <c r="U196" s="1655" t="str">
        <f t="shared" si="9"/>
        <v/>
      </c>
      <c r="V196" s="1659" t="str">
        <f t="shared" si="10"/>
        <v/>
      </c>
      <c r="W196" s="1657" t="str">
        <f t="shared" si="10"/>
        <v/>
      </c>
      <c r="X196" s="1659" t="str">
        <f t="shared" si="10"/>
        <v/>
      </c>
      <c r="Y196" s="1674" t="str">
        <f t="shared" si="11"/>
        <v/>
      </c>
      <c r="Z196" s="1655" t="str">
        <f t="shared" si="12"/>
        <v/>
      </c>
      <c r="AA196" s="1655" t="str">
        <f t="shared" si="13"/>
        <v/>
      </c>
      <c r="AB196" s="1655" t="str">
        <f t="shared" si="14"/>
        <v/>
      </c>
      <c r="AC196" s="1655" t="str">
        <f t="shared" si="15"/>
        <v/>
      </c>
      <c r="AD196" s="1675" t="str">
        <f t="shared" si="16"/>
        <v/>
      </c>
      <c r="AE196" s="1674" t="str">
        <f t="shared" si="17"/>
        <v/>
      </c>
      <c r="AF196" s="1657" t="str">
        <f t="shared" si="18"/>
        <v/>
      </c>
      <c r="AG196" s="1655" t="str">
        <f t="shared" si="19"/>
        <v/>
      </c>
      <c r="AH196" s="1665" t="str">
        <f t="shared" si="20"/>
        <v/>
      </c>
      <c r="AI196" s="1665" t="str">
        <f t="shared" si="21"/>
        <v/>
      </c>
      <c r="AJ196" s="1655" t="str">
        <f t="shared" si="22"/>
        <v/>
      </c>
      <c r="AK196" s="1659" t="str">
        <f t="shared" si="23"/>
        <v/>
      </c>
    </row>
    <row r="197" spans="1:37" x14ac:dyDescent="0.25">
      <c r="A197" s="1655" t="s">
        <v>1471</v>
      </c>
      <c r="B197" s="1655" t="str">
        <f>IF(BUILDING!D16="","",BUILDING!D16)</f>
        <v/>
      </c>
      <c r="C197" s="1655" t="str">
        <f>IF(BUILDING!E16="","",BUILDING!E16)</f>
        <v/>
      </c>
      <c r="D197" s="1655" t="str">
        <f>IF(BUILDING!F16="","",BUILDING!F16)</f>
        <v/>
      </c>
      <c r="E197" s="1655" t="str">
        <f>IF(BUILDING!G16="","",BUILDING!G16)</f>
        <v/>
      </c>
      <c r="F197" s="1674" t="str">
        <f>IF(BUILDING!C16="","",BUILDING!C16)</f>
        <v/>
      </c>
      <c r="G197" s="1655" t="str">
        <f>IF(BUILDING!H16="","",BUILDING!H16)</f>
        <v/>
      </c>
      <c r="H197" s="1655" t="str">
        <f>IF(BUILDING!I16="","",BUILDING!I16)</f>
        <v/>
      </c>
      <c r="I197" s="1659" t="str">
        <f>IF(BUILDING!K16="","",BUILDING!K16)</f>
        <v/>
      </c>
      <c r="J197" s="1659" t="str">
        <f>IF(BUILDING!L16="","",BUILDING!L16)</f>
        <v/>
      </c>
      <c r="K197" s="1675" t="str">
        <f>IF(BUILDING!N16=0,"",BUILDING!N16)</f>
        <v/>
      </c>
      <c r="L197" s="1674" t="str">
        <f>IF(BUILDING!O16="","",BUILDING!O16)</f>
        <v/>
      </c>
      <c r="M197" s="1655" t="str">
        <f>IF(BUILDING!P16="","",BUILDING!P16)</f>
        <v/>
      </c>
      <c r="O197" s="1655" t="s">
        <v>1472</v>
      </c>
      <c r="P197" s="1655" t="str">
        <f>IF(TC_DateLastPIS7="","",TC_DateLastPIS7)</f>
        <v/>
      </c>
      <c r="Q197" s="1655" t="str">
        <f>IF(TC_PurchaseDate7="","",TC_PurchaseDate7)</f>
        <v/>
      </c>
      <c r="R197" s="1655" t="str">
        <f>IF(TC_YearsPISPurchase7="","",TC_YearsPISPurchase7)</f>
        <v/>
      </c>
      <c r="T197" s="1655" t="s">
        <v>1473</v>
      </c>
      <c r="U197" s="1655" t="str">
        <f t="shared" si="9"/>
        <v/>
      </c>
      <c r="V197" s="1659" t="str">
        <f t="shared" si="10"/>
        <v/>
      </c>
      <c r="W197" s="1657" t="str">
        <f t="shared" si="10"/>
        <v/>
      </c>
      <c r="X197" s="1659" t="str">
        <f t="shared" si="10"/>
        <v/>
      </c>
      <c r="Y197" s="1674" t="str">
        <f t="shared" si="11"/>
        <v/>
      </c>
      <c r="Z197" s="1655" t="str">
        <f t="shared" si="12"/>
        <v/>
      </c>
      <c r="AA197" s="1655" t="str">
        <f t="shared" si="13"/>
        <v/>
      </c>
      <c r="AB197" s="1655" t="str">
        <f t="shared" si="14"/>
        <v/>
      </c>
      <c r="AC197" s="1655" t="str">
        <f t="shared" si="15"/>
        <v/>
      </c>
      <c r="AD197" s="1675" t="str">
        <f t="shared" si="16"/>
        <v/>
      </c>
      <c r="AE197" s="1674" t="str">
        <f t="shared" si="17"/>
        <v/>
      </c>
      <c r="AF197" s="1657" t="str">
        <f t="shared" si="18"/>
        <v/>
      </c>
      <c r="AG197" s="1655" t="str">
        <f t="shared" si="19"/>
        <v/>
      </c>
      <c r="AH197" s="1665" t="str">
        <f t="shared" si="20"/>
        <v/>
      </c>
      <c r="AI197" s="1665" t="str">
        <f t="shared" si="21"/>
        <v/>
      </c>
      <c r="AJ197" s="1655" t="str">
        <f t="shared" si="22"/>
        <v/>
      </c>
      <c r="AK197" s="1659" t="str">
        <f t="shared" si="23"/>
        <v/>
      </c>
    </row>
    <row r="198" spans="1:37" x14ac:dyDescent="0.25">
      <c r="A198" s="1655" t="s">
        <v>1471</v>
      </c>
      <c r="B198" s="1655" t="str">
        <f>IF(BUILDING!D17="","",BUILDING!D17)</f>
        <v/>
      </c>
      <c r="C198" s="1655" t="str">
        <f>IF(BUILDING!E17="","",BUILDING!E17)</f>
        <v/>
      </c>
      <c r="D198" s="1655" t="str">
        <f>IF(BUILDING!F17="","",BUILDING!F17)</f>
        <v/>
      </c>
      <c r="E198" s="1655" t="str">
        <f>IF(BUILDING!G17="","",BUILDING!G17)</f>
        <v/>
      </c>
      <c r="F198" s="1674" t="str">
        <f>IF(BUILDING!C17="","",BUILDING!C17)</f>
        <v/>
      </c>
      <c r="G198" s="1655" t="str">
        <f>IF(BUILDING!H17="","",BUILDING!H17)</f>
        <v/>
      </c>
      <c r="H198" s="1655" t="str">
        <f>IF(BUILDING!I17="","",BUILDING!I17)</f>
        <v/>
      </c>
      <c r="I198" s="1659" t="str">
        <f>IF(BUILDING!K17="","",BUILDING!K17)</f>
        <v/>
      </c>
      <c r="J198" s="1659" t="str">
        <f>IF(BUILDING!L17="","",BUILDING!L17)</f>
        <v/>
      </c>
      <c r="K198" s="1675" t="str">
        <f>IF(BUILDING!N17=0,"",BUILDING!N17)</f>
        <v/>
      </c>
      <c r="L198" s="1674" t="str">
        <f>IF(BUILDING!O17="","",BUILDING!O17)</f>
        <v/>
      </c>
      <c r="M198" s="1655" t="str">
        <f>IF(BUILDING!P17="","",BUILDING!P17)</f>
        <v/>
      </c>
      <c r="O198" s="1655" t="s">
        <v>1472</v>
      </c>
      <c r="P198" s="1655" t="str">
        <f>IF(TC_DateLastPIS8="","",TC_DateLastPIS8)</f>
        <v/>
      </c>
      <c r="Q198" s="1655" t="str">
        <f>IF(TC_PurchaseDate8="","",TC_PurchaseDate8)</f>
        <v/>
      </c>
      <c r="R198" s="1655" t="str">
        <f>IF(TC_YearsPISPurchase8="","",TC_YearsPISPurchase8)</f>
        <v/>
      </c>
      <c r="T198" s="1655" t="s">
        <v>1473</v>
      </c>
      <c r="U198" s="1655" t="str">
        <f t="shared" si="9"/>
        <v/>
      </c>
      <c r="V198" s="1659" t="str">
        <f t="shared" si="10"/>
        <v/>
      </c>
      <c r="W198" s="1657" t="str">
        <f t="shared" si="10"/>
        <v/>
      </c>
      <c r="X198" s="1659" t="str">
        <f t="shared" si="10"/>
        <v/>
      </c>
      <c r="Y198" s="1674" t="str">
        <f t="shared" si="11"/>
        <v/>
      </c>
      <c r="Z198" s="1655" t="str">
        <f t="shared" si="12"/>
        <v/>
      </c>
      <c r="AA198" s="1655" t="str">
        <f t="shared" si="13"/>
        <v/>
      </c>
      <c r="AB198" s="1655" t="str">
        <f t="shared" si="14"/>
        <v/>
      </c>
      <c r="AC198" s="1655" t="str">
        <f t="shared" si="15"/>
        <v/>
      </c>
      <c r="AD198" s="1675" t="str">
        <f t="shared" si="16"/>
        <v/>
      </c>
      <c r="AE198" s="1674" t="str">
        <f t="shared" si="17"/>
        <v/>
      </c>
      <c r="AF198" s="1657" t="str">
        <f t="shared" si="18"/>
        <v/>
      </c>
      <c r="AG198" s="1655" t="str">
        <f t="shared" si="19"/>
        <v/>
      </c>
      <c r="AH198" s="1665" t="str">
        <f t="shared" si="20"/>
        <v/>
      </c>
      <c r="AI198" s="1665" t="str">
        <f t="shared" si="21"/>
        <v/>
      </c>
      <c r="AJ198" s="1655" t="str">
        <f t="shared" si="22"/>
        <v/>
      </c>
      <c r="AK198" s="1659" t="str">
        <f t="shared" si="23"/>
        <v/>
      </c>
    </row>
    <row r="199" spans="1:37" x14ac:dyDescent="0.25">
      <c r="A199" s="1655" t="s">
        <v>1471</v>
      </c>
      <c r="B199" s="1655" t="str">
        <f>IF(BUILDING!D18="","",BUILDING!D18)</f>
        <v/>
      </c>
      <c r="C199" s="1655" t="str">
        <f>IF(BUILDING!E18="","",BUILDING!E18)</f>
        <v/>
      </c>
      <c r="D199" s="1655" t="str">
        <f>IF(BUILDING!F18="","",BUILDING!F18)</f>
        <v/>
      </c>
      <c r="E199" s="1655" t="str">
        <f>IF(BUILDING!G18="","",BUILDING!G18)</f>
        <v/>
      </c>
      <c r="F199" s="1674" t="str">
        <f>IF(BUILDING!C18="","",BUILDING!C18)</f>
        <v/>
      </c>
      <c r="G199" s="1655" t="str">
        <f>IF(BUILDING!H18="","",BUILDING!H18)</f>
        <v/>
      </c>
      <c r="H199" s="1655" t="str">
        <f>IF(BUILDING!I18="","",BUILDING!I18)</f>
        <v/>
      </c>
      <c r="I199" s="1659" t="str">
        <f>IF(BUILDING!K18="","",BUILDING!K18)</f>
        <v/>
      </c>
      <c r="J199" s="1659" t="str">
        <f>IF(BUILDING!L18="","",BUILDING!L18)</f>
        <v/>
      </c>
      <c r="K199" s="1675" t="str">
        <f>IF(BUILDING!N18=0,"",BUILDING!N18)</f>
        <v/>
      </c>
      <c r="L199" s="1674" t="str">
        <f>IF(BUILDING!O18="","",BUILDING!O18)</f>
        <v/>
      </c>
      <c r="M199" s="1655" t="str">
        <f>IF(BUILDING!P18="","",BUILDING!P18)</f>
        <v/>
      </c>
      <c r="O199" s="1655" t="s">
        <v>1472</v>
      </c>
      <c r="P199" s="1655" t="str">
        <f>IF(TC_DateLastPIS9="","",TC_DateLastPIS9)</f>
        <v/>
      </c>
      <c r="Q199" s="1655" t="str">
        <f>IF(TC_PurchaseDate9="","",TC_PurchaseDate9)</f>
        <v/>
      </c>
      <c r="R199" s="1655" t="str">
        <f>IF(TC_YearsPISPurchase9="","",TC_YearsPISPurchase9)</f>
        <v/>
      </c>
      <c r="T199" s="1655" t="s">
        <v>1473</v>
      </c>
      <c r="U199" s="1655" t="str">
        <f t="shared" si="9"/>
        <v/>
      </c>
      <c r="V199" s="1659" t="str">
        <f t="shared" si="10"/>
        <v/>
      </c>
      <c r="W199" s="1657" t="str">
        <f t="shared" si="10"/>
        <v/>
      </c>
      <c r="X199" s="1659" t="str">
        <f t="shared" si="10"/>
        <v/>
      </c>
      <c r="Y199" s="1674" t="str">
        <f t="shared" si="11"/>
        <v/>
      </c>
      <c r="Z199" s="1655" t="str">
        <f t="shared" si="12"/>
        <v/>
      </c>
      <c r="AA199" s="1655" t="str">
        <f t="shared" si="13"/>
        <v/>
      </c>
      <c r="AB199" s="1655" t="str">
        <f t="shared" si="14"/>
        <v/>
      </c>
      <c r="AC199" s="1655" t="str">
        <f t="shared" si="15"/>
        <v/>
      </c>
      <c r="AD199" s="1675" t="str">
        <f t="shared" si="16"/>
        <v/>
      </c>
      <c r="AE199" s="1674" t="str">
        <f t="shared" si="17"/>
        <v/>
      </c>
      <c r="AF199" s="1657" t="str">
        <f t="shared" si="18"/>
        <v/>
      </c>
      <c r="AG199" s="1655" t="str">
        <f t="shared" si="19"/>
        <v/>
      </c>
      <c r="AH199" s="1665" t="str">
        <f t="shared" si="20"/>
        <v/>
      </c>
      <c r="AI199" s="1665" t="str">
        <f t="shared" si="21"/>
        <v/>
      </c>
      <c r="AJ199" s="1655" t="str">
        <f t="shared" si="22"/>
        <v/>
      </c>
      <c r="AK199" s="1659" t="str">
        <f t="shared" si="23"/>
        <v/>
      </c>
    </row>
    <row r="200" spans="1:37" x14ac:dyDescent="0.25">
      <c r="A200" s="1655" t="s">
        <v>1471</v>
      </c>
      <c r="B200" s="1655" t="str">
        <f>IF(BUILDING!D19="","",BUILDING!D19)</f>
        <v/>
      </c>
      <c r="C200" s="1655" t="str">
        <f>IF(BUILDING!E19="","",BUILDING!E19)</f>
        <v/>
      </c>
      <c r="D200" s="1655" t="str">
        <f>IF(BUILDING!F19="","",BUILDING!F19)</f>
        <v/>
      </c>
      <c r="E200" s="1655" t="str">
        <f>IF(BUILDING!G19="","",BUILDING!G19)</f>
        <v/>
      </c>
      <c r="F200" s="1674" t="str">
        <f>IF(BUILDING!C19="","",BUILDING!C19)</f>
        <v/>
      </c>
      <c r="G200" s="1655" t="str">
        <f>IF(BUILDING!H19="","",BUILDING!H19)</f>
        <v/>
      </c>
      <c r="H200" s="1655" t="str">
        <f>IF(BUILDING!I19="","",BUILDING!I19)</f>
        <v/>
      </c>
      <c r="I200" s="1659" t="str">
        <f>IF(BUILDING!K19="","",BUILDING!K19)</f>
        <v/>
      </c>
      <c r="J200" s="1659" t="str">
        <f>IF(BUILDING!L19="","",BUILDING!L19)</f>
        <v/>
      </c>
      <c r="K200" s="1675" t="str">
        <f>IF(BUILDING!N19=0,"",BUILDING!N19)</f>
        <v/>
      </c>
      <c r="L200" s="1674" t="str">
        <f>IF(BUILDING!O19="","",BUILDING!O19)</f>
        <v/>
      </c>
      <c r="M200" s="1655" t="str">
        <f>IF(BUILDING!P19="","",BUILDING!P19)</f>
        <v/>
      </c>
      <c r="O200" s="1655" t="s">
        <v>1472</v>
      </c>
      <c r="P200" s="1655" t="str">
        <f>IF(TC_DateLastPIS10="","",TC_DateLastPIS10)</f>
        <v/>
      </c>
      <c r="Q200" s="1655" t="str">
        <f>IF(TC_PurchaseDate10="","",TC_PurchaseDate10)</f>
        <v/>
      </c>
      <c r="R200" s="1655" t="str">
        <f>IF(TC_YearsPISPurchase10="","",TC_YearsPISPurchase10)</f>
        <v/>
      </c>
      <c r="T200" s="1655" t="s">
        <v>1473</v>
      </c>
      <c r="U200" s="1655" t="str">
        <f t="shared" si="9"/>
        <v/>
      </c>
      <c r="V200" s="1659" t="str">
        <f t="shared" si="10"/>
        <v/>
      </c>
      <c r="W200" s="1657" t="str">
        <f t="shared" si="10"/>
        <v/>
      </c>
      <c r="X200" s="1659" t="str">
        <f t="shared" si="10"/>
        <v/>
      </c>
      <c r="Y200" s="1674" t="str">
        <f t="shared" si="11"/>
        <v/>
      </c>
      <c r="Z200" s="1655" t="str">
        <f t="shared" si="12"/>
        <v/>
      </c>
      <c r="AA200" s="1655" t="str">
        <f t="shared" si="13"/>
        <v/>
      </c>
      <c r="AB200" s="1655" t="str">
        <f t="shared" si="14"/>
        <v/>
      </c>
      <c r="AC200" s="1655" t="str">
        <f t="shared" si="15"/>
        <v/>
      </c>
      <c r="AD200" s="1675" t="str">
        <f t="shared" si="16"/>
        <v/>
      </c>
      <c r="AE200" s="1674" t="str">
        <f t="shared" si="17"/>
        <v/>
      </c>
      <c r="AF200" s="1657" t="str">
        <f t="shared" si="18"/>
        <v/>
      </c>
      <c r="AG200" s="1655" t="str">
        <f t="shared" si="19"/>
        <v/>
      </c>
      <c r="AH200" s="1665" t="str">
        <f t="shared" si="20"/>
        <v/>
      </c>
      <c r="AI200" s="1665" t="str">
        <f t="shared" si="21"/>
        <v/>
      </c>
      <c r="AJ200" s="1655" t="str">
        <f t="shared" si="22"/>
        <v/>
      </c>
      <c r="AK200" s="1659" t="str">
        <f t="shared" si="23"/>
        <v/>
      </c>
    </row>
    <row r="201" spans="1:37" x14ac:dyDescent="0.25">
      <c r="A201" s="1655" t="s">
        <v>1471</v>
      </c>
      <c r="B201" s="1655" t="str">
        <f>IF(BUILDING!D20="","",BUILDING!D20)</f>
        <v/>
      </c>
      <c r="C201" s="1655" t="str">
        <f>IF(BUILDING!E20="","",BUILDING!E20)</f>
        <v/>
      </c>
      <c r="D201" s="1655" t="str">
        <f>IF(BUILDING!F20="","",BUILDING!F20)</f>
        <v/>
      </c>
      <c r="E201" s="1655" t="str">
        <f>IF(BUILDING!G20="","",BUILDING!G20)</f>
        <v/>
      </c>
      <c r="F201" s="1674" t="str">
        <f>IF(BUILDING!C20="","",BUILDING!C20)</f>
        <v/>
      </c>
      <c r="G201" s="1655" t="str">
        <f>IF(BUILDING!H20="","",BUILDING!H20)</f>
        <v/>
      </c>
      <c r="H201" s="1655" t="str">
        <f>IF(BUILDING!I20="","",BUILDING!I20)</f>
        <v/>
      </c>
      <c r="I201" s="1659" t="str">
        <f>IF(BUILDING!K20="","",BUILDING!K20)</f>
        <v/>
      </c>
      <c r="J201" s="1659" t="str">
        <f>IF(BUILDING!L20="","",BUILDING!L20)</f>
        <v/>
      </c>
      <c r="K201" s="1675" t="str">
        <f>IF(BUILDING!N20=0,"",BUILDING!N20)</f>
        <v/>
      </c>
      <c r="L201" s="1674" t="str">
        <f>IF(BUILDING!O20="","",BUILDING!O20)</f>
        <v/>
      </c>
      <c r="M201" s="1655" t="str">
        <f>IF(BUILDING!P20="","",BUILDING!P20)</f>
        <v/>
      </c>
      <c r="O201" s="1655" t="s">
        <v>1472</v>
      </c>
      <c r="P201" s="1655" t="str">
        <f>IF(TC_DateLastPIS11="","",TC_DateLastPIS11)</f>
        <v/>
      </c>
      <c r="Q201" s="1655" t="str">
        <f>IF(TC_PurchaseDate11="","",TC_PurchaseDate11)</f>
        <v/>
      </c>
      <c r="R201" s="1655" t="str">
        <f>IF(TC_YearsPISPurchase11="","",TC_YearsPISPurchase11)</f>
        <v/>
      </c>
      <c r="T201" s="1655" t="s">
        <v>1473</v>
      </c>
      <c r="U201" s="1655" t="str">
        <f t="shared" si="9"/>
        <v/>
      </c>
      <c r="V201" s="1659" t="str">
        <f t="shared" si="10"/>
        <v/>
      </c>
      <c r="W201" s="1657" t="str">
        <f t="shared" si="10"/>
        <v/>
      </c>
      <c r="X201" s="1659" t="str">
        <f t="shared" si="10"/>
        <v/>
      </c>
      <c r="Y201" s="1674" t="str">
        <f t="shared" si="11"/>
        <v/>
      </c>
      <c r="Z201" s="1655" t="str">
        <f t="shared" si="12"/>
        <v/>
      </c>
      <c r="AA201" s="1655" t="str">
        <f t="shared" si="13"/>
        <v/>
      </c>
      <c r="AB201" s="1655" t="str">
        <f t="shared" si="14"/>
        <v/>
      </c>
      <c r="AC201" s="1655" t="str">
        <f t="shared" si="15"/>
        <v/>
      </c>
      <c r="AD201" s="1675" t="str">
        <f t="shared" si="16"/>
        <v/>
      </c>
      <c r="AE201" s="1674" t="str">
        <f t="shared" si="17"/>
        <v/>
      </c>
      <c r="AF201" s="1657" t="str">
        <f t="shared" si="18"/>
        <v/>
      </c>
      <c r="AG201" s="1655" t="str">
        <f t="shared" si="19"/>
        <v/>
      </c>
      <c r="AH201" s="1665" t="str">
        <f t="shared" si="20"/>
        <v/>
      </c>
      <c r="AI201" s="1665" t="str">
        <f t="shared" si="21"/>
        <v/>
      </c>
      <c r="AJ201" s="1655" t="str">
        <f t="shared" si="22"/>
        <v/>
      </c>
      <c r="AK201" s="1659" t="str">
        <f t="shared" si="23"/>
        <v/>
      </c>
    </row>
    <row r="202" spans="1:37" x14ac:dyDescent="0.25">
      <c r="A202" s="1655" t="s">
        <v>1471</v>
      </c>
      <c r="B202" s="1655" t="str">
        <f>IF(BUILDING!D21="","",BUILDING!D21)</f>
        <v/>
      </c>
      <c r="C202" s="1655" t="str">
        <f>IF(BUILDING!E21="","",BUILDING!E21)</f>
        <v/>
      </c>
      <c r="D202" s="1655" t="str">
        <f>IF(BUILDING!F21="","",BUILDING!F21)</f>
        <v/>
      </c>
      <c r="E202" s="1655" t="str">
        <f>IF(BUILDING!G21="","",BUILDING!G21)</f>
        <v/>
      </c>
      <c r="F202" s="1674" t="str">
        <f>IF(BUILDING!C21="","",BUILDING!C21)</f>
        <v/>
      </c>
      <c r="G202" s="1655" t="str">
        <f>IF(BUILDING!H21="","",BUILDING!H21)</f>
        <v/>
      </c>
      <c r="H202" s="1655" t="str">
        <f>IF(BUILDING!I21="","",BUILDING!I21)</f>
        <v/>
      </c>
      <c r="I202" s="1659" t="str">
        <f>IF(BUILDING!K21="","",BUILDING!K21)</f>
        <v/>
      </c>
      <c r="J202" s="1659" t="str">
        <f>IF(BUILDING!L21="","",BUILDING!L21)</f>
        <v/>
      </c>
      <c r="K202" s="1675" t="str">
        <f>IF(BUILDING!N21=0,"",BUILDING!N21)</f>
        <v/>
      </c>
      <c r="L202" s="1674" t="str">
        <f>IF(BUILDING!O21="","",BUILDING!O21)</f>
        <v/>
      </c>
      <c r="M202" s="1655" t="str">
        <f>IF(BUILDING!P21="","",BUILDING!P21)</f>
        <v/>
      </c>
      <c r="O202" s="1655" t="s">
        <v>1472</v>
      </c>
      <c r="P202" s="1655" t="str">
        <f>IF(TC_DateLastPIS12="","",TC_DateLastPIS12)</f>
        <v/>
      </c>
      <c r="Q202" s="1655" t="str">
        <f>IF(TC_PurchaseDate12="","",TC_PurchaseDate12)</f>
        <v/>
      </c>
      <c r="R202" s="1655" t="str">
        <f>IF(TC_YearsPISPurchase12="","",TC_YearsPISPurchase12)</f>
        <v/>
      </c>
      <c r="T202" s="1655" t="s">
        <v>1473</v>
      </c>
      <c r="U202" s="1655" t="str">
        <f t="shared" si="9"/>
        <v/>
      </c>
      <c r="V202" s="1659" t="str">
        <f t="shared" si="10"/>
        <v/>
      </c>
      <c r="W202" s="1657" t="str">
        <f t="shared" si="10"/>
        <v/>
      </c>
      <c r="X202" s="1659" t="str">
        <f t="shared" si="10"/>
        <v/>
      </c>
      <c r="Y202" s="1674" t="str">
        <f t="shared" si="11"/>
        <v/>
      </c>
      <c r="Z202" s="1655" t="str">
        <f t="shared" si="12"/>
        <v/>
      </c>
      <c r="AA202" s="1655" t="str">
        <f t="shared" si="13"/>
        <v/>
      </c>
      <c r="AB202" s="1655" t="str">
        <f t="shared" si="14"/>
        <v/>
      </c>
      <c r="AC202" s="1655" t="str">
        <f t="shared" si="15"/>
        <v/>
      </c>
      <c r="AD202" s="1675" t="str">
        <f t="shared" si="16"/>
        <v/>
      </c>
      <c r="AE202" s="1674" t="str">
        <f t="shared" si="17"/>
        <v/>
      </c>
      <c r="AF202" s="1657" t="str">
        <f t="shared" si="18"/>
        <v/>
      </c>
      <c r="AG202" s="1655" t="str">
        <f t="shared" si="19"/>
        <v/>
      </c>
      <c r="AH202" s="1665" t="str">
        <f t="shared" si="20"/>
        <v/>
      </c>
      <c r="AI202" s="1665" t="str">
        <f t="shared" si="21"/>
        <v/>
      </c>
      <c r="AJ202" s="1655" t="str">
        <f t="shared" si="22"/>
        <v/>
      </c>
      <c r="AK202" s="1659" t="str">
        <f t="shared" si="23"/>
        <v/>
      </c>
    </row>
    <row r="203" spans="1:37" x14ac:dyDescent="0.25">
      <c r="A203" s="1655" t="s">
        <v>1471</v>
      </c>
      <c r="B203" s="1655" t="str">
        <f>IF(BUILDING!D22="","",BUILDING!D22)</f>
        <v/>
      </c>
      <c r="C203" s="1655" t="str">
        <f>IF(BUILDING!E22="","",BUILDING!E22)</f>
        <v/>
      </c>
      <c r="D203" s="1655" t="str">
        <f>IF(BUILDING!F22="","",BUILDING!F22)</f>
        <v/>
      </c>
      <c r="E203" s="1655" t="str">
        <f>IF(BUILDING!G22="","",BUILDING!G22)</f>
        <v/>
      </c>
      <c r="F203" s="1674" t="str">
        <f>IF(BUILDING!C22="","",BUILDING!C22)</f>
        <v/>
      </c>
      <c r="G203" s="1655" t="str">
        <f>IF(BUILDING!H22="","",BUILDING!H22)</f>
        <v/>
      </c>
      <c r="H203" s="1655" t="str">
        <f>IF(BUILDING!I22="","",BUILDING!I22)</f>
        <v/>
      </c>
      <c r="I203" s="1659" t="str">
        <f>IF(BUILDING!K22="","",BUILDING!K22)</f>
        <v/>
      </c>
      <c r="J203" s="1659" t="str">
        <f>IF(BUILDING!L22="","",BUILDING!L22)</f>
        <v/>
      </c>
      <c r="K203" s="1675" t="str">
        <f>IF(BUILDING!N22=0,"",BUILDING!N22)</f>
        <v/>
      </c>
      <c r="L203" s="1674" t="str">
        <f>IF(BUILDING!O22="","",BUILDING!O22)</f>
        <v/>
      </c>
      <c r="M203" s="1655" t="str">
        <f>IF(BUILDING!P22="","",BUILDING!P22)</f>
        <v/>
      </c>
      <c r="O203" s="1655" t="s">
        <v>1472</v>
      </c>
      <c r="P203" s="1655" t="str">
        <f>IF(TC_DateLastPIS13="","",TC_DateLastPIS13)</f>
        <v/>
      </c>
      <c r="Q203" s="1655" t="str">
        <f>IF(TC_PurchaseDate13="","",TC_PurchaseDate13)</f>
        <v/>
      </c>
      <c r="R203" s="1655" t="str">
        <f>IF(TC_YearsPISPurchase13="","",TC_YearsPISPurchase13)</f>
        <v/>
      </c>
      <c r="T203" s="1655" t="s">
        <v>1473</v>
      </c>
      <c r="U203" s="1655" t="str">
        <f t="shared" si="9"/>
        <v/>
      </c>
      <c r="V203" s="1659" t="str">
        <f t="shared" si="10"/>
        <v/>
      </c>
      <c r="W203" s="1657" t="str">
        <f t="shared" si="10"/>
        <v/>
      </c>
      <c r="X203" s="1659" t="str">
        <f t="shared" si="10"/>
        <v/>
      </c>
      <c r="Y203" s="1674" t="str">
        <f t="shared" si="11"/>
        <v/>
      </c>
      <c r="Z203" s="1655" t="str">
        <f t="shared" si="12"/>
        <v/>
      </c>
      <c r="AA203" s="1655" t="str">
        <f t="shared" si="13"/>
        <v/>
      </c>
      <c r="AB203" s="1655" t="str">
        <f t="shared" si="14"/>
        <v/>
      </c>
      <c r="AC203" s="1655" t="str">
        <f t="shared" si="15"/>
        <v/>
      </c>
      <c r="AD203" s="1675" t="str">
        <f t="shared" si="16"/>
        <v/>
      </c>
      <c r="AE203" s="1674" t="str">
        <f t="shared" si="17"/>
        <v/>
      </c>
      <c r="AF203" s="1657" t="str">
        <f t="shared" si="18"/>
        <v/>
      </c>
      <c r="AG203" s="1655" t="str">
        <f t="shared" si="19"/>
        <v/>
      </c>
      <c r="AH203" s="1665" t="str">
        <f t="shared" si="20"/>
        <v/>
      </c>
      <c r="AI203" s="1665" t="str">
        <f t="shared" si="21"/>
        <v/>
      </c>
      <c r="AJ203" s="1655" t="str">
        <f t="shared" si="22"/>
        <v/>
      </c>
      <c r="AK203" s="1659" t="str">
        <f t="shared" si="23"/>
        <v/>
      </c>
    </row>
    <row r="204" spans="1:37" x14ac:dyDescent="0.25">
      <c r="A204" s="1655" t="s">
        <v>1471</v>
      </c>
      <c r="B204" s="1655" t="str">
        <f>IF(BUILDING!D23="","",BUILDING!D23)</f>
        <v/>
      </c>
      <c r="C204" s="1655" t="str">
        <f>IF(BUILDING!E23="","",BUILDING!E23)</f>
        <v/>
      </c>
      <c r="D204" s="1655" t="str">
        <f>IF(BUILDING!F23="","",BUILDING!F23)</f>
        <v/>
      </c>
      <c r="E204" s="1655" t="str">
        <f>IF(BUILDING!G23="","",BUILDING!G23)</f>
        <v/>
      </c>
      <c r="F204" s="1674" t="str">
        <f>IF(BUILDING!C23="","",BUILDING!C23)</f>
        <v/>
      </c>
      <c r="G204" s="1655" t="str">
        <f>IF(BUILDING!H23="","",BUILDING!H23)</f>
        <v/>
      </c>
      <c r="H204" s="1655" t="str">
        <f>IF(BUILDING!I23="","",BUILDING!I23)</f>
        <v/>
      </c>
      <c r="I204" s="1659" t="str">
        <f>IF(BUILDING!K23="","",BUILDING!K23)</f>
        <v/>
      </c>
      <c r="J204" s="1659" t="str">
        <f>IF(BUILDING!L23="","",BUILDING!L23)</f>
        <v/>
      </c>
      <c r="K204" s="1675" t="str">
        <f>IF(BUILDING!N23=0,"",BUILDING!N23)</f>
        <v/>
      </c>
      <c r="L204" s="1674" t="str">
        <f>IF(BUILDING!O23="","",BUILDING!O23)</f>
        <v/>
      </c>
      <c r="M204" s="1655" t="str">
        <f>IF(BUILDING!P23="","",BUILDING!P23)</f>
        <v/>
      </c>
      <c r="O204" s="1655" t="s">
        <v>1472</v>
      </c>
      <c r="P204" s="1655" t="str">
        <f>IF(TC_DateLastPIS14="","",TC_DateLastPIS14)</f>
        <v/>
      </c>
      <c r="Q204" s="1655" t="str">
        <f>IF(TC_PurchaseDate14="","",TC_PurchaseDate14)</f>
        <v/>
      </c>
      <c r="R204" s="1655" t="str">
        <f>IF(TC_YearsPISPurchase14="","",TC_YearsPISPurchase14)</f>
        <v/>
      </c>
      <c r="T204" s="1655" t="s">
        <v>1473</v>
      </c>
      <c r="U204" s="1655" t="str">
        <f t="shared" si="9"/>
        <v/>
      </c>
      <c r="V204" s="1659" t="str">
        <f t="shared" si="10"/>
        <v/>
      </c>
      <c r="W204" s="1657" t="str">
        <f t="shared" si="10"/>
        <v/>
      </c>
      <c r="X204" s="1659" t="str">
        <f t="shared" si="10"/>
        <v/>
      </c>
      <c r="Y204" s="1674" t="str">
        <f t="shared" si="11"/>
        <v/>
      </c>
      <c r="Z204" s="1655" t="str">
        <f t="shared" si="12"/>
        <v/>
      </c>
      <c r="AA204" s="1655" t="str">
        <f t="shared" si="13"/>
        <v/>
      </c>
      <c r="AB204" s="1655" t="str">
        <f t="shared" si="14"/>
        <v/>
      </c>
      <c r="AC204" s="1655" t="str">
        <f t="shared" si="15"/>
        <v/>
      </c>
      <c r="AD204" s="1675" t="str">
        <f t="shared" si="16"/>
        <v/>
      </c>
      <c r="AE204" s="1674" t="str">
        <f t="shared" si="17"/>
        <v/>
      </c>
      <c r="AF204" s="1657" t="str">
        <f t="shared" si="18"/>
        <v/>
      </c>
      <c r="AG204" s="1655" t="str">
        <f t="shared" si="19"/>
        <v/>
      </c>
      <c r="AH204" s="1665" t="str">
        <f t="shared" si="20"/>
        <v/>
      </c>
      <c r="AI204" s="1665" t="str">
        <f t="shared" si="21"/>
        <v/>
      </c>
      <c r="AJ204" s="1655" t="str">
        <f t="shared" si="22"/>
        <v/>
      </c>
      <c r="AK204" s="1659" t="str">
        <f t="shared" si="23"/>
        <v/>
      </c>
    </row>
    <row r="205" spans="1:37" x14ac:dyDescent="0.25">
      <c r="A205" s="1655" t="s">
        <v>1471</v>
      </c>
      <c r="B205" s="1655" t="str">
        <f>IF(BUILDING!D24="","",BUILDING!D24)</f>
        <v/>
      </c>
      <c r="C205" s="1655" t="str">
        <f>IF(BUILDING!E24="","",BUILDING!E24)</f>
        <v/>
      </c>
      <c r="D205" s="1655" t="str">
        <f>IF(BUILDING!F24="","",BUILDING!F24)</f>
        <v/>
      </c>
      <c r="E205" s="1655" t="str">
        <f>IF(BUILDING!G24="","",BUILDING!G24)</f>
        <v/>
      </c>
      <c r="F205" s="1674" t="str">
        <f>IF(BUILDING!C24="","",BUILDING!C24)</f>
        <v/>
      </c>
      <c r="G205" s="1655" t="str">
        <f>IF(BUILDING!H24="","",BUILDING!H24)</f>
        <v/>
      </c>
      <c r="H205" s="1655" t="str">
        <f>IF(BUILDING!I24="","",BUILDING!I24)</f>
        <v/>
      </c>
      <c r="I205" s="1659" t="str">
        <f>IF(BUILDING!K24="","",BUILDING!K24)</f>
        <v/>
      </c>
      <c r="J205" s="1659" t="str">
        <f>IF(BUILDING!L24="","",BUILDING!L24)</f>
        <v/>
      </c>
      <c r="K205" s="1675" t="str">
        <f>IF(BUILDING!N24=0,"",BUILDING!N24)</f>
        <v/>
      </c>
      <c r="L205" s="1674" t="str">
        <f>IF(BUILDING!O24="","",BUILDING!O24)</f>
        <v/>
      </c>
      <c r="M205" s="1655" t="str">
        <f>IF(BUILDING!P24="","",BUILDING!P24)</f>
        <v/>
      </c>
      <c r="O205" s="1655" t="s">
        <v>1472</v>
      </c>
      <c r="P205" s="1655" t="str">
        <f>IF(TC_DateLastPIS15="","",TC_DateLastPIS15)</f>
        <v/>
      </c>
      <c r="Q205" s="1655" t="str">
        <f>IF(TC_PurchaseDate15="","",TC_PurchaseDate15)</f>
        <v/>
      </c>
      <c r="R205" s="1655" t="str">
        <f>IF(TC_YearsPISPurchase15="","",TC_YearsPISPurchase15)</f>
        <v/>
      </c>
      <c r="T205" s="1655" t="s">
        <v>1473</v>
      </c>
      <c r="U205" s="1655" t="str">
        <f t="shared" si="9"/>
        <v/>
      </c>
      <c r="V205" s="1659" t="str">
        <f t="shared" si="10"/>
        <v/>
      </c>
      <c r="W205" s="1657" t="str">
        <f t="shared" si="10"/>
        <v/>
      </c>
      <c r="X205" s="1659" t="str">
        <f t="shared" si="10"/>
        <v/>
      </c>
      <c r="Y205" s="1674" t="str">
        <f t="shared" si="11"/>
        <v/>
      </c>
      <c r="Z205" s="1655" t="str">
        <f t="shared" si="12"/>
        <v/>
      </c>
      <c r="AA205" s="1655" t="str">
        <f t="shared" si="13"/>
        <v/>
      </c>
      <c r="AB205" s="1655" t="str">
        <f t="shared" si="14"/>
        <v/>
      </c>
      <c r="AC205" s="1655" t="str">
        <f t="shared" si="15"/>
        <v/>
      </c>
      <c r="AD205" s="1675" t="str">
        <f t="shared" si="16"/>
        <v/>
      </c>
      <c r="AE205" s="1674" t="str">
        <f t="shared" si="17"/>
        <v/>
      </c>
      <c r="AF205" s="1657" t="str">
        <f t="shared" si="18"/>
        <v/>
      </c>
      <c r="AG205" s="1655" t="str">
        <f t="shared" si="19"/>
        <v/>
      </c>
      <c r="AH205" s="1665" t="str">
        <f t="shared" si="20"/>
        <v/>
      </c>
      <c r="AI205" s="1665" t="str">
        <f t="shared" si="21"/>
        <v/>
      </c>
      <c r="AJ205" s="1655" t="str">
        <f t="shared" si="22"/>
        <v/>
      </c>
      <c r="AK205" s="1659" t="str">
        <f t="shared" si="23"/>
        <v/>
      </c>
    </row>
    <row r="206" spans="1:37" x14ac:dyDescent="0.25">
      <c r="A206" s="1655" t="s">
        <v>1471</v>
      </c>
      <c r="B206" s="1655" t="str">
        <f>IF(BUILDING!D25="","",BUILDING!D25)</f>
        <v/>
      </c>
      <c r="C206" s="1655" t="str">
        <f>IF(BUILDING!E25="","",BUILDING!E25)</f>
        <v/>
      </c>
      <c r="D206" s="1655" t="str">
        <f>IF(BUILDING!F25="","",BUILDING!F25)</f>
        <v/>
      </c>
      <c r="E206" s="1655" t="str">
        <f>IF(BUILDING!G25="","",BUILDING!G25)</f>
        <v/>
      </c>
      <c r="F206" s="1674" t="str">
        <f>IF(BUILDING!C25="","",BUILDING!C25)</f>
        <v/>
      </c>
      <c r="G206" s="1655" t="str">
        <f>IF(BUILDING!H25="","",BUILDING!H25)</f>
        <v/>
      </c>
      <c r="H206" s="1655" t="str">
        <f>IF(BUILDING!I25="","",BUILDING!I25)</f>
        <v/>
      </c>
      <c r="I206" s="1659" t="str">
        <f>IF(BUILDING!K25="","",BUILDING!K25)</f>
        <v/>
      </c>
      <c r="J206" s="1659" t="str">
        <f>IF(BUILDING!L25="","",BUILDING!L25)</f>
        <v/>
      </c>
      <c r="K206" s="1675" t="str">
        <f>IF(BUILDING!N25=0,"",BUILDING!N25)</f>
        <v/>
      </c>
      <c r="L206" s="1674" t="str">
        <f>IF(BUILDING!O25="","",BUILDING!O25)</f>
        <v/>
      </c>
      <c r="M206" s="1655" t="str">
        <f>IF(BUILDING!P25="","",BUILDING!P25)</f>
        <v/>
      </c>
      <c r="O206" s="1655" t="s">
        <v>1472</v>
      </c>
      <c r="P206" s="1655" t="str">
        <f>IF(TC_DateLastPIS16="","",TC_DateLastPIS16)</f>
        <v/>
      </c>
      <c r="Q206" s="1655" t="str">
        <f>IF(TC_PurchaseDate16="","",TC_PurchaseDate16)</f>
        <v/>
      </c>
      <c r="R206" s="1655" t="str">
        <f>IF(TC_YearsPISPurchase16="","",TC_YearsPISPurchase16)</f>
        <v/>
      </c>
      <c r="T206" s="1655" t="s">
        <v>1473</v>
      </c>
      <c r="U206" s="1655" t="str">
        <f t="shared" si="9"/>
        <v/>
      </c>
      <c r="V206" s="1659" t="str">
        <f t="shared" si="10"/>
        <v/>
      </c>
      <c r="W206" s="1657" t="str">
        <f t="shared" si="10"/>
        <v/>
      </c>
      <c r="X206" s="1659" t="str">
        <f t="shared" si="10"/>
        <v/>
      </c>
      <c r="Y206" s="1674" t="str">
        <f t="shared" si="11"/>
        <v/>
      </c>
      <c r="Z206" s="1655" t="str">
        <f t="shared" si="12"/>
        <v/>
      </c>
      <c r="AA206" s="1655" t="str">
        <f t="shared" si="13"/>
        <v/>
      </c>
      <c r="AB206" s="1655" t="str">
        <f t="shared" si="14"/>
        <v/>
      </c>
      <c r="AC206" s="1655" t="str">
        <f t="shared" si="15"/>
        <v/>
      </c>
      <c r="AD206" s="1675" t="str">
        <f t="shared" si="16"/>
        <v/>
      </c>
      <c r="AE206" s="1674" t="str">
        <f t="shared" si="17"/>
        <v/>
      </c>
      <c r="AF206" s="1657" t="str">
        <f t="shared" si="18"/>
        <v/>
      </c>
      <c r="AG206" s="1655" t="str">
        <f t="shared" si="19"/>
        <v/>
      </c>
      <c r="AH206" s="1665" t="str">
        <f t="shared" si="20"/>
        <v/>
      </c>
      <c r="AI206" s="1665" t="str">
        <f t="shared" si="21"/>
        <v/>
      </c>
      <c r="AJ206" s="1655" t="str">
        <f t="shared" si="22"/>
        <v/>
      </c>
      <c r="AK206" s="1659" t="str">
        <f t="shared" si="23"/>
        <v/>
      </c>
    </row>
    <row r="207" spans="1:37" x14ac:dyDescent="0.25">
      <c r="A207" s="1655" t="s">
        <v>1471</v>
      </c>
      <c r="B207" s="1655" t="str">
        <f>IF(BUILDING!D26="","",BUILDING!D26)</f>
        <v/>
      </c>
      <c r="C207" s="1655" t="str">
        <f>IF(BUILDING!E26="","",BUILDING!E26)</f>
        <v/>
      </c>
      <c r="D207" s="1655" t="str">
        <f>IF(BUILDING!F26="","",BUILDING!F26)</f>
        <v/>
      </c>
      <c r="E207" s="1655" t="str">
        <f>IF(BUILDING!G26="","",BUILDING!G26)</f>
        <v/>
      </c>
      <c r="F207" s="1674" t="str">
        <f>IF(BUILDING!C26="","",BUILDING!C26)</f>
        <v/>
      </c>
      <c r="G207" s="1655" t="str">
        <f>IF(BUILDING!H26="","",BUILDING!H26)</f>
        <v/>
      </c>
      <c r="H207" s="1655" t="str">
        <f>IF(BUILDING!I26="","",BUILDING!I26)</f>
        <v/>
      </c>
      <c r="I207" s="1659" t="str">
        <f>IF(BUILDING!K26="","",BUILDING!K26)</f>
        <v/>
      </c>
      <c r="J207" s="1659" t="str">
        <f>IF(BUILDING!L26="","",BUILDING!L26)</f>
        <v/>
      </c>
      <c r="K207" s="1675" t="str">
        <f>IF(BUILDING!N26=0,"",BUILDING!N26)</f>
        <v/>
      </c>
      <c r="L207" s="1674" t="str">
        <f>IF(BUILDING!O26="","",BUILDING!O26)</f>
        <v/>
      </c>
      <c r="M207" s="1655" t="str">
        <f>IF(BUILDING!P26="","",BUILDING!P26)</f>
        <v/>
      </c>
      <c r="O207" s="1655" t="s">
        <v>1472</v>
      </c>
      <c r="P207" s="1655" t="str">
        <f>IF(TC_DateLastPIS17="","",TC_DateLastPIS17)</f>
        <v/>
      </c>
      <c r="Q207" s="1655" t="str">
        <f>IF(TC_PurchaseDate17="","",TC_PurchaseDate17)</f>
        <v/>
      </c>
      <c r="R207" s="1655" t="str">
        <f>IF(TC_YearsPISPurchase17="","",TC_YearsPISPurchase17)</f>
        <v/>
      </c>
      <c r="T207" s="1655" t="s">
        <v>1473</v>
      </c>
      <c r="U207" s="1655" t="str">
        <f t="shared" si="9"/>
        <v/>
      </c>
      <c r="V207" s="1659" t="str">
        <f t="shared" ref="V207:X222" si="24">IF(C207="","",C207)</f>
        <v/>
      </c>
      <c r="W207" s="1657" t="str">
        <f t="shared" si="24"/>
        <v/>
      </c>
      <c r="X207" s="1659" t="str">
        <f t="shared" si="24"/>
        <v/>
      </c>
      <c r="Y207" s="1674" t="str">
        <f t="shared" si="11"/>
        <v/>
      </c>
      <c r="Z207" s="1655" t="str">
        <f t="shared" si="12"/>
        <v/>
      </c>
      <c r="AA207" s="1655" t="str">
        <f t="shared" si="13"/>
        <v/>
      </c>
      <c r="AB207" s="1655" t="str">
        <f t="shared" si="14"/>
        <v/>
      </c>
      <c r="AC207" s="1655" t="str">
        <f t="shared" si="15"/>
        <v/>
      </c>
      <c r="AD207" s="1675" t="str">
        <f t="shared" si="16"/>
        <v/>
      </c>
      <c r="AE207" s="1674" t="str">
        <f t="shared" si="17"/>
        <v/>
      </c>
      <c r="AF207" s="1657" t="str">
        <f t="shared" si="18"/>
        <v/>
      </c>
      <c r="AG207" s="1655" t="str">
        <f t="shared" si="19"/>
        <v/>
      </c>
      <c r="AH207" s="1665" t="str">
        <f t="shared" si="20"/>
        <v/>
      </c>
      <c r="AI207" s="1665" t="str">
        <f t="shared" si="21"/>
        <v/>
      </c>
      <c r="AJ207" s="1655" t="str">
        <f t="shared" si="22"/>
        <v/>
      </c>
      <c r="AK207" s="1659" t="str">
        <f t="shared" si="23"/>
        <v/>
      </c>
    </row>
    <row r="208" spans="1:37" x14ac:dyDescent="0.25">
      <c r="A208" s="1655" t="s">
        <v>1471</v>
      </c>
      <c r="B208" s="1655" t="str">
        <f>IF(BUILDING!D27="","",BUILDING!D27)</f>
        <v/>
      </c>
      <c r="C208" s="1655" t="str">
        <f>IF(BUILDING!E27="","",BUILDING!E27)</f>
        <v/>
      </c>
      <c r="D208" s="1655" t="str">
        <f>IF(BUILDING!F27="","",BUILDING!F27)</f>
        <v/>
      </c>
      <c r="E208" s="1655" t="str">
        <f>IF(BUILDING!G27="","",BUILDING!G27)</f>
        <v/>
      </c>
      <c r="F208" s="1674" t="str">
        <f>IF(BUILDING!C27="","",BUILDING!C27)</f>
        <v/>
      </c>
      <c r="G208" s="1655" t="str">
        <f>IF(BUILDING!H27="","",BUILDING!H27)</f>
        <v/>
      </c>
      <c r="H208" s="1655" t="str">
        <f>IF(BUILDING!I27="","",BUILDING!I27)</f>
        <v/>
      </c>
      <c r="I208" s="1659" t="str">
        <f>IF(BUILDING!K27="","",BUILDING!K27)</f>
        <v/>
      </c>
      <c r="J208" s="1659" t="str">
        <f>IF(BUILDING!L27="","",BUILDING!L27)</f>
        <v/>
      </c>
      <c r="K208" s="1675" t="str">
        <f>IF(BUILDING!N27=0,"",BUILDING!N27)</f>
        <v/>
      </c>
      <c r="L208" s="1674" t="str">
        <f>IF(BUILDING!O27="","",BUILDING!O27)</f>
        <v/>
      </c>
      <c r="M208" s="1655" t="str">
        <f>IF(BUILDING!P27="","",BUILDING!P27)</f>
        <v/>
      </c>
      <c r="O208" s="1655" t="s">
        <v>1472</v>
      </c>
      <c r="P208" s="1655" t="str">
        <f>IF(TC_DateLastPIS18="","",TC_DateLastPIS18)</f>
        <v/>
      </c>
      <c r="Q208" s="1655" t="str">
        <f>IF(TC_PurchaseDate18="","",TC_PurchaseDate18)</f>
        <v/>
      </c>
      <c r="R208" s="1655" t="str">
        <f>IF(TC_YearsPISPurchase18="","",TC_YearsPISPurchase18)</f>
        <v/>
      </c>
      <c r="T208" s="1655" t="s">
        <v>1473</v>
      </c>
      <c r="U208" s="1655" t="str">
        <f t="shared" si="9"/>
        <v/>
      </c>
      <c r="V208" s="1659" t="str">
        <f t="shared" si="24"/>
        <v/>
      </c>
      <c r="W208" s="1657" t="str">
        <f t="shared" si="24"/>
        <v/>
      </c>
      <c r="X208" s="1659" t="str">
        <f t="shared" si="24"/>
        <v/>
      </c>
      <c r="Y208" s="1674" t="str">
        <f t="shared" si="11"/>
        <v/>
      </c>
      <c r="Z208" s="1655" t="str">
        <f t="shared" si="12"/>
        <v/>
      </c>
      <c r="AA208" s="1655" t="str">
        <f t="shared" si="13"/>
        <v/>
      </c>
      <c r="AB208" s="1655" t="str">
        <f t="shared" si="14"/>
        <v/>
      </c>
      <c r="AC208" s="1655" t="str">
        <f t="shared" si="15"/>
        <v/>
      </c>
      <c r="AD208" s="1675" t="str">
        <f t="shared" si="16"/>
        <v/>
      </c>
      <c r="AE208" s="1674" t="str">
        <f t="shared" si="17"/>
        <v/>
      </c>
      <c r="AF208" s="1657" t="str">
        <f t="shared" si="18"/>
        <v/>
      </c>
      <c r="AG208" s="1655" t="str">
        <f t="shared" si="19"/>
        <v/>
      </c>
      <c r="AH208" s="1665" t="str">
        <f t="shared" si="20"/>
        <v/>
      </c>
      <c r="AI208" s="1665" t="str">
        <f t="shared" si="21"/>
        <v/>
      </c>
      <c r="AJ208" s="1655" t="str">
        <f t="shared" si="22"/>
        <v/>
      </c>
      <c r="AK208" s="1659" t="str">
        <f t="shared" si="23"/>
        <v/>
      </c>
    </row>
    <row r="209" spans="1:37" x14ac:dyDescent="0.25">
      <c r="A209" s="1655" t="s">
        <v>1471</v>
      </c>
      <c r="B209" s="1655" t="str">
        <f>IF(BUILDING!D28="","",BUILDING!D28)</f>
        <v/>
      </c>
      <c r="C209" s="1655" t="str">
        <f>IF(BUILDING!E28="","",BUILDING!E28)</f>
        <v/>
      </c>
      <c r="D209" s="1655" t="str">
        <f>IF(BUILDING!F28="","",BUILDING!F28)</f>
        <v/>
      </c>
      <c r="E209" s="1655" t="str">
        <f>IF(BUILDING!G28="","",BUILDING!G28)</f>
        <v/>
      </c>
      <c r="F209" s="1674" t="str">
        <f>IF(BUILDING!C28="","",BUILDING!C28)</f>
        <v/>
      </c>
      <c r="G209" s="1655" t="str">
        <f>IF(BUILDING!H28="","",BUILDING!H28)</f>
        <v/>
      </c>
      <c r="H209" s="1655" t="str">
        <f>IF(BUILDING!I28="","",BUILDING!I28)</f>
        <v/>
      </c>
      <c r="I209" s="1659" t="str">
        <f>IF(BUILDING!K28="","",BUILDING!K28)</f>
        <v/>
      </c>
      <c r="J209" s="1659" t="str">
        <f>IF(BUILDING!L28="","",BUILDING!L28)</f>
        <v/>
      </c>
      <c r="K209" s="1675" t="str">
        <f>IF(BUILDING!N28=0,"",BUILDING!N28)</f>
        <v/>
      </c>
      <c r="L209" s="1674" t="str">
        <f>IF(BUILDING!O28="","",BUILDING!O28)</f>
        <v/>
      </c>
      <c r="M209" s="1655" t="str">
        <f>IF(BUILDING!P28="","",BUILDING!P28)</f>
        <v/>
      </c>
      <c r="O209" s="1655" t="s">
        <v>1472</v>
      </c>
      <c r="P209" s="1655" t="str">
        <f>IF(TC_DateLastPIS19="","",TC_DateLastPIS19)</f>
        <v/>
      </c>
      <c r="Q209" s="1655" t="str">
        <f>IF(TC_PurchaseDate19="","",TC_PurchaseDate19)</f>
        <v/>
      </c>
      <c r="R209" s="1655" t="str">
        <f>IF(TC_YearsPISPurchase19="","",TC_YearsPISPurchase19)</f>
        <v/>
      </c>
      <c r="T209" s="1655" t="s">
        <v>1473</v>
      </c>
      <c r="U209" s="1655" t="str">
        <f t="shared" si="9"/>
        <v/>
      </c>
      <c r="V209" s="1659" t="str">
        <f t="shared" si="24"/>
        <v/>
      </c>
      <c r="W209" s="1657" t="str">
        <f t="shared" si="24"/>
        <v/>
      </c>
      <c r="X209" s="1659" t="str">
        <f t="shared" si="24"/>
        <v/>
      </c>
      <c r="Y209" s="1674" t="str">
        <f t="shared" si="11"/>
        <v/>
      </c>
      <c r="Z209" s="1655" t="str">
        <f t="shared" si="12"/>
        <v/>
      </c>
      <c r="AA209" s="1655" t="str">
        <f t="shared" si="13"/>
        <v/>
      </c>
      <c r="AB209" s="1655" t="str">
        <f t="shared" si="14"/>
        <v/>
      </c>
      <c r="AC209" s="1655" t="str">
        <f t="shared" si="15"/>
        <v/>
      </c>
      <c r="AD209" s="1675" t="str">
        <f t="shared" si="16"/>
        <v/>
      </c>
      <c r="AE209" s="1674" t="str">
        <f t="shared" si="17"/>
        <v/>
      </c>
      <c r="AF209" s="1657" t="str">
        <f t="shared" si="18"/>
        <v/>
      </c>
      <c r="AG209" s="1655" t="str">
        <f t="shared" si="19"/>
        <v/>
      </c>
      <c r="AH209" s="1665" t="str">
        <f t="shared" si="20"/>
        <v/>
      </c>
      <c r="AI209" s="1665" t="str">
        <f t="shared" si="21"/>
        <v/>
      </c>
      <c r="AJ209" s="1655" t="str">
        <f t="shared" si="22"/>
        <v/>
      </c>
      <c r="AK209" s="1659" t="str">
        <f t="shared" si="23"/>
        <v/>
      </c>
    </row>
    <row r="210" spans="1:37" x14ac:dyDescent="0.25">
      <c r="A210" s="1655" t="s">
        <v>1471</v>
      </c>
      <c r="B210" s="1655" t="str">
        <f>IF(BUILDING!D29="","",BUILDING!D29)</f>
        <v/>
      </c>
      <c r="C210" s="1655" t="str">
        <f>IF(BUILDING!E29="","",BUILDING!E29)</f>
        <v/>
      </c>
      <c r="D210" s="1655" t="str">
        <f>IF(BUILDING!F29="","",BUILDING!F29)</f>
        <v/>
      </c>
      <c r="E210" s="1655" t="str">
        <f>IF(BUILDING!G29="","",BUILDING!G29)</f>
        <v/>
      </c>
      <c r="F210" s="1674" t="str">
        <f>IF(BUILDING!C29="","",BUILDING!C29)</f>
        <v/>
      </c>
      <c r="G210" s="1655" t="str">
        <f>IF(BUILDING!H29="","",BUILDING!H29)</f>
        <v/>
      </c>
      <c r="H210" s="1655" t="str">
        <f>IF(BUILDING!I29="","",BUILDING!I29)</f>
        <v/>
      </c>
      <c r="I210" s="1659" t="str">
        <f>IF(BUILDING!K29="","",BUILDING!K29)</f>
        <v/>
      </c>
      <c r="J210" s="1659" t="str">
        <f>IF(BUILDING!L29="","",BUILDING!L29)</f>
        <v/>
      </c>
      <c r="K210" s="1675" t="str">
        <f>IF(BUILDING!N29=0,"",BUILDING!N29)</f>
        <v/>
      </c>
      <c r="L210" s="1674" t="str">
        <f>IF(BUILDING!O29="","",BUILDING!O29)</f>
        <v/>
      </c>
      <c r="M210" s="1655" t="str">
        <f>IF(BUILDING!P29="","",BUILDING!P29)</f>
        <v/>
      </c>
      <c r="O210" s="1655" t="s">
        <v>1472</v>
      </c>
      <c r="P210" s="1655" t="str">
        <f t="shared" ref="P210:P241" si="25">IF(TC_DateLastPIS20="","",TC_DateLastPIS20)</f>
        <v/>
      </c>
      <c r="Q210" s="1655" t="str">
        <f t="shared" ref="Q210:Q241" si="26">IF(TC_PurchaseDate20="","",TC_PurchaseDate20)</f>
        <v/>
      </c>
      <c r="R210" s="1655" t="str">
        <f t="shared" ref="R210:R241" si="27">IF(TC_YearsPISPurchase20="","",TC_YearsPISPurchase20)</f>
        <v/>
      </c>
      <c r="T210" s="1655" t="s">
        <v>1473</v>
      </c>
      <c r="U210" s="1655" t="str">
        <f t="shared" si="9"/>
        <v/>
      </c>
      <c r="V210" s="1659" t="str">
        <f t="shared" si="24"/>
        <v/>
      </c>
      <c r="W210" s="1657" t="str">
        <f t="shared" si="24"/>
        <v/>
      </c>
      <c r="X210" s="1659" t="str">
        <f t="shared" si="24"/>
        <v/>
      </c>
      <c r="Y210" s="1674" t="str">
        <f t="shared" si="11"/>
        <v/>
      </c>
      <c r="Z210" s="1655" t="str">
        <f t="shared" si="12"/>
        <v/>
      </c>
      <c r="AA210" s="1655" t="str">
        <f t="shared" si="13"/>
        <v/>
      </c>
      <c r="AB210" s="1655" t="str">
        <f t="shared" si="14"/>
        <v/>
      </c>
      <c r="AC210" s="1655" t="str">
        <f t="shared" si="15"/>
        <v/>
      </c>
      <c r="AD210" s="1675" t="str">
        <f t="shared" si="16"/>
        <v/>
      </c>
      <c r="AE210" s="1674" t="str">
        <f t="shared" si="17"/>
        <v/>
      </c>
      <c r="AF210" s="1657" t="str">
        <f t="shared" si="18"/>
        <v/>
      </c>
      <c r="AG210" s="1655" t="str">
        <f t="shared" si="19"/>
        <v/>
      </c>
      <c r="AH210" s="1665" t="str">
        <f t="shared" si="20"/>
        <v/>
      </c>
      <c r="AI210" s="1665" t="str">
        <f t="shared" si="21"/>
        <v/>
      </c>
      <c r="AJ210" s="1655" t="str">
        <f t="shared" si="22"/>
        <v/>
      </c>
      <c r="AK210" s="1659" t="str">
        <f t="shared" si="23"/>
        <v/>
      </c>
    </row>
    <row r="211" spans="1:37" x14ac:dyDescent="0.25">
      <c r="A211" s="1655" t="s">
        <v>1471</v>
      </c>
      <c r="B211" s="1655" t="str">
        <f>IF(BUILDING!D30="","",BUILDING!D30)</f>
        <v/>
      </c>
      <c r="C211" s="1655" t="str">
        <f>IF(BUILDING!E30="","",BUILDING!E30)</f>
        <v/>
      </c>
      <c r="D211" s="1655" t="str">
        <f>IF(BUILDING!F30="","",BUILDING!F30)</f>
        <v/>
      </c>
      <c r="E211" s="1655" t="str">
        <f>IF(BUILDING!G30="","",BUILDING!G30)</f>
        <v/>
      </c>
      <c r="F211" s="1674" t="str">
        <f>IF(BUILDING!C30="","",BUILDING!C30)</f>
        <v/>
      </c>
      <c r="G211" s="1655" t="str">
        <f>IF(BUILDING!H30="","",BUILDING!H30)</f>
        <v/>
      </c>
      <c r="H211" s="1655" t="str">
        <f>IF(BUILDING!I30="","",BUILDING!I30)</f>
        <v/>
      </c>
      <c r="I211" s="1659" t="str">
        <f>IF(BUILDING!K30="","",BUILDING!K30)</f>
        <v/>
      </c>
      <c r="J211" s="1659" t="str">
        <f>IF(BUILDING!L30="","",BUILDING!L30)</f>
        <v/>
      </c>
      <c r="K211" s="1675" t="str">
        <f>IF(BUILDING!N30=0,"",BUILDING!N30)</f>
        <v/>
      </c>
      <c r="L211" s="1674" t="str">
        <f>IF(BUILDING!O30="","",BUILDING!O30)</f>
        <v/>
      </c>
      <c r="M211" s="1655" t="str">
        <f>IF(BUILDING!P30="","",BUILDING!P30)</f>
        <v/>
      </c>
      <c r="O211" s="1655" t="s">
        <v>1472</v>
      </c>
      <c r="P211" s="1655" t="str">
        <f t="shared" si="25"/>
        <v/>
      </c>
      <c r="Q211" s="1655" t="str">
        <f t="shared" si="26"/>
        <v/>
      </c>
      <c r="R211" s="1655" t="str">
        <f t="shared" si="27"/>
        <v/>
      </c>
      <c r="T211" s="1655" t="s">
        <v>1473</v>
      </c>
      <c r="U211" s="1655" t="str">
        <f t="shared" ref="U211:U274" si="28">IF(B211="","",B211)</f>
        <v/>
      </c>
      <c r="V211" s="1659" t="str">
        <f t="shared" ref="V211:W274" si="29">IF(C211="","",C211)</f>
        <v/>
      </c>
      <c r="W211" s="1676" t="str">
        <f t="shared" si="24"/>
        <v/>
      </c>
      <c r="X211" s="1659" t="str">
        <f t="shared" ref="X211:X274" si="30">IF(E211="","",E211)</f>
        <v/>
      </c>
      <c r="Y211" s="1674" t="str">
        <f t="shared" ref="Y211:Y274" si="31">IF(F211="","",F211)</f>
        <v/>
      </c>
      <c r="Z211" s="1655" t="str">
        <f t="shared" ref="Z211:Z274" si="32">IF(G211="","",G211)</f>
        <v/>
      </c>
      <c r="AA211" s="1655" t="str">
        <f t="shared" ref="AA211:AA274" si="33">IF(H211="","",H211)</f>
        <v/>
      </c>
      <c r="AB211" s="1655" t="str">
        <f t="shared" ref="AB211:AB274" si="34">IF(I211="","",I211)</f>
        <v/>
      </c>
      <c r="AC211" s="1655" t="str">
        <f t="shared" ref="AC211:AC274" si="35">IF(J211="","",J211)</f>
        <v/>
      </c>
      <c r="AD211" s="1675" t="str">
        <f t="shared" ref="AD211:AD274" si="36">IF(K211="","",K211)</f>
        <v/>
      </c>
      <c r="AE211" s="1674" t="str">
        <f t="shared" ref="AE211:AF274" si="37">IF(L211="","",L211)</f>
        <v/>
      </c>
      <c r="AF211" s="1657" t="str">
        <f t="shared" si="18"/>
        <v/>
      </c>
      <c r="AG211" s="1655" t="str">
        <f t="shared" ref="AG211:AG274" si="38">IFERROR(IF(Z211="","",Z211-AA211),"")</f>
        <v/>
      </c>
      <c r="AH211" s="1665" t="str">
        <f t="shared" ref="AH211:AH274" si="39">IF(P211="","",P211)</f>
        <v/>
      </c>
      <c r="AI211" s="1665" t="str">
        <f t="shared" ref="AI211:AI274" si="40">IF(Q211="","",Q211)</f>
        <v/>
      </c>
      <c r="AJ211" s="1655" t="str">
        <f t="shared" ref="AJ211:AJ274" si="41">IF(R211="","",R211)</f>
        <v/>
      </c>
      <c r="AK211" s="1659" t="str">
        <f t="shared" si="23"/>
        <v/>
      </c>
    </row>
    <row r="212" spans="1:37" x14ac:dyDescent="0.25">
      <c r="A212" s="1655" t="s">
        <v>1471</v>
      </c>
      <c r="B212" s="1655" t="str">
        <f>IF(BUILDING!D31="","",BUILDING!D31)</f>
        <v/>
      </c>
      <c r="C212" s="1655" t="str">
        <f>IF(BUILDING!E31="","",BUILDING!E31)</f>
        <v/>
      </c>
      <c r="D212" s="1655" t="str">
        <f>IF(BUILDING!F31="","",BUILDING!F31)</f>
        <v/>
      </c>
      <c r="E212" s="1655" t="str">
        <f>IF(BUILDING!G31="","",BUILDING!G31)</f>
        <v/>
      </c>
      <c r="F212" s="1674" t="str">
        <f>IF(BUILDING!C31="","",BUILDING!C31)</f>
        <v/>
      </c>
      <c r="G212" s="1655" t="str">
        <f>IF(BUILDING!H31="","",BUILDING!H31)</f>
        <v/>
      </c>
      <c r="H212" s="1655" t="str">
        <f>IF(BUILDING!I31="","",BUILDING!I31)</f>
        <v/>
      </c>
      <c r="I212" s="1659" t="str">
        <f>IF(BUILDING!K31="","",BUILDING!K31)</f>
        <v/>
      </c>
      <c r="J212" s="1659" t="str">
        <f>IF(BUILDING!L31="","",BUILDING!L31)</f>
        <v/>
      </c>
      <c r="K212" s="1675" t="str">
        <f>IF(BUILDING!N31=0,"",BUILDING!N31)</f>
        <v/>
      </c>
      <c r="L212" s="1674" t="str">
        <f>IF(BUILDING!O31="","",BUILDING!O31)</f>
        <v/>
      </c>
      <c r="M212" s="1655" t="str">
        <f>IF(BUILDING!P31="","",BUILDING!P31)</f>
        <v/>
      </c>
      <c r="O212" s="1655" t="s">
        <v>1472</v>
      </c>
      <c r="P212" s="1655" t="str">
        <f t="shared" si="25"/>
        <v/>
      </c>
      <c r="Q212" s="1655" t="str">
        <f t="shared" si="26"/>
        <v/>
      </c>
      <c r="R212" s="1655" t="str">
        <f t="shared" si="27"/>
        <v/>
      </c>
      <c r="T212" s="1655" t="s">
        <v>1473</v>
      </c>
      <c r="U212" s="1655" t="str">
        <f t="shared" si="28"/>
        <v/>
      </c>
      <c r="V212" s="1659" t="str">
        <f t="shared" si="29"/>
        <v/>
      </c>
      <c r="W212" s="1676" t="str">
        <f t="shared" si="24"/>
        <v/>
      </c>
      <c r="X212" s="1659" t="str">
        <f t="shared" si="30"/>
        <v/>
      </c>
      <c r="Y212" s="1674" t="str">
        <f t="shared" si="31"/>
        <v/>
      </c>
      <c r="Z212" s="1655" t="str">
        <f t="shared" si="32"/>
        <v/>
      </c>
      <c r="AA212" s="1655" t="str">
        <f t="shared" si="33"/>
        <v/>
      </c>
      <c r="AB212" s="1655" t="str">
        <f t="shared" si="34"/>
        <v/>
      </c>
      <c r="AC212" s="1655" t="str">
        <f t="shared" si="35"/>
        <v/>
      </c>
      <c r="AD212" s="1675" t="str">
        <f t="shared" si="36"/>
        <v/>
      </c>
      <c r="AE212" s="1674" t="str">
        <f t="shared" si="37"/>
        <v/>
      </c>
      <c r="AF212" s="1657" t="str">
        <f t="shared" si="18"/>
        <v/>
      </c>
      <c r="AG212" s="1655" t="str">
        <f t="shared" si="38"/>
        <v/>
      </c>
      <c r="AH212" s="1665" t="str">
        <f t="shared" si="39"/>
        <v/>
      </c>
      <c r="AI212" s="1665" t="str">
        <f t="shared" si="40"/>
        <v/>
      </c>
      <c r="AJ212" s="1655" t="str">
        <f t="shared" si="41"/>
        <v/>
      </c>
      <c r="AK212" s="1659" t="str">
        <f t="shared" si="23"/>
        <v/>
      </c>
    </row>
    <row r="213" spans="1:37" x14ac:dyDescent="0.25">
      <c r="A213" s="1655" t="s">
        <v>1471</v>
      </c>
      <c r="B213" s="1655" t="str">
        <f>IF(BUILDING!D32="","",BUILDING!D32)</f>
        <v/>
      </c>
      <c r="C213" s="1655" t="str">
        <f>IF(BUILDING!E32="","",BUILDING!E32)</f>
        <v/>
      </c>
      <c r="D213" s="1655" t="str">
        <f>IF(BUILDING!F32="","",BUILDING!F32)</f>
        <v/>
      </c>
      <c r="E213" s="1655" t="str">
        <f>IF(BUILDING!G32="","",BUILDING!G32)</f>
        <v/>
      </c>
      <c r="F213" s="1674" t="str">
        <f>IF(BUILDING!C32="","",BUILDING!C32)</f>
        <v/>
      </c>
      <c r="G213" s="1655" t="str">
        <f>IF(BUILDING!H32="","",BUILDING!H32)</f>
        <v/>
      </c>
      <c r="H213" s="1655" t="str">
        <f>IF(BUILDING!I32="","",BUILDING!I32)</f>
        <v/>
      </c>
      <c r="I213" s="1659" t="str">
        <f>IF(BUILDING!K32="","",BUILDING!K32)</f>
        <v/>
      </c>
      <c r="J213" s="1659" t="str">
        <f>IF(BUILDING!L32="","",BUILDING!L32)</f>
        <v/>
      </c>
      <c r="K213" s="1675" t="str">
        <f>IF(BUILDING!N32=0,"",BUILDING!N32)</f>
        <v/>
      </c>
      <c r="L213" s="1674" t="str">
        <f>IF(BUILDING!O32="","",BUILDING!O32)</f>
        <v/>
      </c>
      <c r="M213" s="1655" t="str">
        <f>IF(BUILDING!P32="","",BUILDING!P32)</f>
        <v/>
      </c>
      <c r="O213" s="1655" t="s">
        <v>1472</v>
      </c>
      <c r="P213" s="1655" t="str">
        <f t="shared" si="25"/>
        <v/>
      </c>
      <c r="Q213" s="1655" t="str">
        <f t="shared" si="26"/>
        <v/>
      </c>
      <c r="R213" s="1655" t="str">
        <f t="shared" si="27"/>
        <v/>
      </c>
      <c r="T213" s="1655" t="s">
        <v>1473</v>
      </c>
      <c r="U213" s="1655" t="str">
        <f t="shared" si="28"/>
        <v/>
      </c>
      <c r="V213" s="1659" t="str">
        <f t="shared" si="29"/>
        <v/>
      </c>
      <c r="W213" s="1676" t="str">
        <f t="shared" si="24"/>
        <v/>
      </c>
      <c r="X213" s="1659" t="str">
        <f t="shared" si="30"/>
        <v/>
      </c>
      <c r="Y213" s="1674" t="str">
        <f t="shared" si="31"/>
        <v/>
      </c>
      <c r="Z213" s="1655" t="str">
        <f t="shared" si="32"/>
        <v/>
      </c>
      <c r="AA213" s="1655" t="str">
        <f t="shared" si="33"/>
        <v/>
      </c>
      <c r="AB213" s="1655" t="str">
        <f t="shared" si="34"/>
        <v/>
      </c>
      <c r="AC213" s="1655" t="str">
        <f t="shared" si="35"/>
        <v/>
      </c>
      <c r="AD213" s="1675" t="str">
        <f t="shared" si="36"/>
        <v/>
      </c>
      <c r="AE213" s="1674" t="str">
        <f t="shared" si="37"/>
        <v/>
      </c>
      <c r="AF213" s="1657" t="str">
        <f t="shared" si="18"/>
        <v/>
      </c>
      <c r="AG213" s="1655" t="str">
        <f t="shared" si="38"/>
        <v/>
      </c>
      <c r="AH213" s="1665" t="str">
        <f t="shared" si="39"/>
        <v/>
      </c>
      <c r="AI213" s="1665" t="str">
        <f t="shared" si="40"/>
        <v/>
      </c>
      <c r="AJ213" s="1655" t="str">
        <f t="shared" si="41"/>
        <v/>
      </c>
      <c r="AK213" s="1659" t="str">
        <f t="shared" si="23"/>
        <v/>
      </c>
    </row>
    <row r="214" spans="1:37" x14ac:dyDescent="0.25">
      <c r="A214" s="1655" t="s">
        <v>1471</v>
      </c>
      <c r="B214" s="1655" t="str">
        <f>IF(BUILDING!D33="","",BUILDING!D33)</f>
        <v/>
      </c>
      <c r="C214" s="1655" t="str">
        <f>IF(BUILDING!E33="","",BUILDING!E33)</f>
        <v/>
      </c>
      <c r="D214" s="1655" t="str">
        <f>IF(BUILDING!F33="","",BUILDING!F33)</f>
        <v/>
      </c>
      <c r="E214" s="1655" t="str">
        <f>IF(BUILDING!G33="","",BUILDING!G33)</f>
        <v/>
      </c>
      <c r="F214" s="1674" t="str">
        <f>IF(BUILDING!C33="","",BUILDING!C33)</f>
        <v/>
      </c>
      <c r="G214" s="1655" t="str">
        <f>IF(BUILDING!H33="","",BUILDING!H33)</f>
        <v/>
      </c>
      <c r="H214" s="1655" t="str">
        <f>IF(BUILDING!I33="","",BUILDING!I33)</f>
        <v/>
      </c>
      <c r="I214" s="1659" t="str">
        <f>IF(BUILDING!K33="","",BUILDING!K33)</f>
        <v/>
      </c>
      <c r="J214" s="1659" t="str">
        <f>IF(BUILDING!L33="","",BUILDING!L33)</f>
        <v/>
      </c>
      <c r="K214" s="1675" t="str">
        <f>IF(BUILDING!N33=0,"",BUILDING!N33)</f>
        <v/>
      </c>
      <c r="L214" s="1674" t="str">
        <f>IF(BUILDING!O33="","",BUILDING!O33)</f>
        <v/>
      </c>
      <c r="M214" s="1655" t="str">
        <f>IF(BUILDING!P33="","",BUILDING!P33)</f>
        <v/>
      </c>
      <c r="O214" s="1655" t="s">
        <v>1472</v>
      </c>
      <c r="P214" s="1655" t="str">
        <f t="shared" si="25"/>
        <v/>
      </c>
      <c r="Q214" s="1655" t="str">
        <f t="shared" si="26"/>
        <v/>
      </c>
      <c r="R214" s="1655" t="str">
        <f t="shared" si="27"/>
        <v/>
      </c>
      <c r="T214" s="1655" t="s">
        <v>1473</v>
      </c>
      <c r="U214" s="1655" t="str">
        <f t="shared" si="28"/>
        <v/>
      </c>
      <c r="V214" s="1659" t="str">
        <f t="shared" si="29"/>
        <v/>
      </c>
      <c r="W214" s="1676" t="str">
        <f t="shared" si="24"/>
        <v/>
      </c>
      <c r="X214" s="1659" t="str">
        <f t="shared" si="30"/>
        <v/>
      </c>
      <c r="Y214" s="1674" t="str">
        <f t="shared" si="31"/>
        <v/>
      </c>
      <c r="Z214" s="1655" t="str">
        <f t="shared" si="32"/>
        <v/>
      </c>
      <c r="AA214" s="1655" t="str">
        <f t="shared" si="33"/>
        <v/>
      </c>
      <c r="AB214" s="1655" t="str">
        <f t="shared" si="34"/>
        <v/>
      </c>
      <c r="AC214" s="1655" t="str">
        <f t="shared" si="35"/>
        <v/>
      </c>
      <c r="AD214" s="1675" t="str">
        <f t="shared" si="36"/>
        <v/>
      </c>
      <c r="AE214" s="1674" t="str">
        <f t="shared" si="37"/>
        <v/>
      </c>
      <c r="AF214" s="1657" t="str">
        <f t="shared" si="18"/>
        <v/>
      </c>
      <c r="AG214" s="1655" t="str">
        <f t="shared" si="38"/>
        <v/>
      </c>
      <c r="AH214" s="1665" t="str">
        <f t="shared" si="39"/>
        <v/>
      </c>
      <c r="AI214" s="1665" t="str">
        <f t="shared" si="40"/>
        <v/>
      </c>
      <c r="AJ214" s="1655" t="str">
        <f t="shared" si="41"/>
        <v/>
      </c>
      <c r="AK214" s="1659" t="str">
        <f t="shared" si="23"/>
        <v/>
      </c>
    </row>
    <row r="215" spans="1:37" x14ac:dyDescent="0.25">
      <c r="A215" s="1655" t="s">
        <v>1471</v>
      </c>
      <c r="B215" s="1655" t="str">
        <f>IF(BUILDING!D34="","",BUILDING!D34)</f>
        <v/>
      </c>
      <c r="C215" s="1655" t="str">
        <f>IF(BUILDING!E34="","",BUILDING!E34)</f>
        <v/>
      </c>
      <c r="D215" s="1655" t="str">
        <f>IF(BUILDING!F34="","",BUILDING!F34)</f>
        <v/>
      </c>
      <c r="E215" s="1655" t="str">
        <f>IF(BUILDING!G34="","",BUILDING!G34)</f>
        <v/>
      </c>
      <c r="F215" s="1674" t="str">
        <f>IF(BUILDING!C34="","",BUILDING!C34)</f>
        <v/>
      </c>
      <c r="G215" s="1655" t="str">
        <f>IF(BUILDING!H34="","",BUILDING!H34)</f>
        <v/>
      </c>
      <c r="H215" s="1655" t="str">
        <f>IF(BUILDING!I34="","",BUILDING!I34)</f>
        <v/>
      </c>
      <c r="I215" s="1659" t="str">
        <f>IF(BUILDING!K34="","",BUILDING!K34)</f>
        <v/>
      </c>
      <c r="J215" s="1659" t="str">
        <f>IF(BUILDING!L34="","",BUILDING!L34)</f>
        <v/>
      </c>
      <c r="K215" s="1675" t="str">
        <f>IF(BUILDING!N34=0,"",BUILDING!N34)</f>
        <v/>
      </c>
      <c r="L215" s="1674" t="str">
        <f>IF(BUILDING!O34="","",BUILDING!O34)</f>
        <v/>
      </c>
      <c r="M215" s="1655" t="str">
        <f>IF(BUILDING!P34="","",BUILDING!P34)</f>
        <v/>
      </c>
      <c r="O215" s="1655" t="s">
        <v>1472</v>
      </c>
      <c r="P215" s="1655" t="str">
        <f t="shared" si="25"/>
        <v/>
      </c>
      <c r="Q215" s="1655" t="str">
        <f t="shared" si="26"/>
        <v/>
      </c>
      <c r="R215" s="1655" t="str">
        <f t="shared" si="27"/>
        <v/>
      </c>
      <c r="T215" s="1655" t="s">
        <v>1473</v>
      </c>
      <c r="U215" s="1655" t="str">
        <f t="shared" si="28"/>
        <v/>
      </c>
      <c r="V215" s="1659" t="str">
        <f t="shared" si="29"/>
        <v/>
      </c>
      <c r="W215" s="1676" t="str">
        <f t="shared" si="24"/>
        <v/>
      </c>
      <c r="X215" s="1659" t="str">
        <f t="shared" si="30"/>
        <v/>
      </c>
      <c r="Y215" s="1674" t="str">
        <f t="shared" si="31"/>
        <v/>
      </c>
      <c r="Z215" s="1655" t="str">
        <f t="shared" si="32"/>
        <v/>
      </c>
      <c r="AA215" s="1655" t="str">
        <f t="shared" si="33"/>
        <v/>
      </c>
      <c r="AB215" s="1655" t="str">
        <f t="shared" si="34"/>
        <v/>
      </c>
      <c r="AC215" s="1655" t="str">
        <f t="shared" si="35"/>
        <v/>
      </c>
      <c r="AD215" s="1675" t="str">
        <f t="shared" si="36"/>
        <v/>
      </c>
      <c r="AE215" s="1674" t="str">
        <f t="shared" si="37"/>
        <v/>
      </c>
      <c r="AF215" s="1657" t="str">
        <f t="shared" si="18"/>
        <v/>
      </c>
      <c r="AG215" s="1655" t="str">
        <f t="shared" si="38"/>
        <v/>
      </c>
      <c r="AH215" s="1665" t="str">
        <f t="shared" si="39"/>
        <v/>
      </c>
      <c r="AI215" s="1665" t="str">
        <f t="shared" si="40"/>
        <v/>
      </c>
      <c r="AJ215" s="1655" t="str">
        <f t="shared" si="41"/>
        <v/>
      </c>
      <c r="AK215" s="1659" t="str">
        <f t="shared" si="23"/>
        <v/>
      </c>
    </row>
    <row r="216" spans="1:37" x14ac:dyDescent="0.25">
      <c r="A216" s="1655" t="s">
        <v>1471</v>
      </c>
      <c r="B216" s="1655" t="str">
        <f>IF(BUILDING!D35="","",BUILDING!D35)</f>
        <v/>
      </c>
      <c r="C216" s="1655" t="str">
        <f>IF(BUILDING!E35="","",BUILDING!E35)</f>
        <v/>
      </c>
      <c r="D216" s="1655" t="str">
        <f>IF(BUILDING!F35="","",BUILDING!F35)</f>
        <v/>
      </c>
      <c r="E216" s="1655" t="str">
        <f>IF(BUILDING!G35="","",BUILDING!G35)</f>
        <v/>
      </c>
      <c r="F216" s="1674" t="str">
        <f>IF(BUILDING!C35="","",BUILDING!C35)</f>
        <v/>
      </c>
      <c r="G216" s="1655" t="str">
        <f>IF(BUILDING!H35="","",BUILDING!H35)</f>
        <v/>
      </c>
      <c r="H216" s="1655" t="str">
        <f>IF(BUILDING!I35="","",BUILDING!I35)</f>
        <v/>
      </c>
      <c r="I216" s="1659" t="str">
        <f>IF(BUILDING!K35="","",BUILDING!K35)</f>
        <v/>
      </c>
      <c r="J216" s="1659" t="str">
        <f>IF(BUILDING!L35="","",BUILDING!L35)</f>
        <v/>
      </c>
      <c r="K216" s="1675" t="str">
        <f>IF(BUILDING!N35=0,"",BUILDING!N35)</f>
        <v/>
      </c>
      <c r="L216" s="1674" t="str">
        <f>IF(BUILDING!O35="","",BUILDING!O35)</f>
        <v/>
      </c>
      <c r="M216" s="1655" t="str">
        <f>IF(BUILDING!P35="","",BUILDING!P35)</f>
        <v/>
      </c>
      <c r="O216" s="1655" t="s">
        <v>1472</v>
      </c>
      <c r="P216" s="1655" t="str">
        <f t="shared" si="25"/>
        <v/>
      </c>
      <c r="Q216" s="1655" t="str">
        <f t="shared" si="26"/>
        <v/>
      </c>
      <c r="R216" s="1655" t="str">
        <f t="shared" si="27"/>
        <v/>
      </c>
      <c r="T216" s="1655" t="s">
        <v>1473</v>
      </c>
      <c r="U216" s="1655" t="str">
        <f t="shared" si="28"/>
        <v/>
      </c>
      <c r="V216" s="1659" t="str">
        <f t="shared" si="29"/>
        <v/>
      </c>
      <c r="W216" s="1676" t="str">
        <f t="shared" si="24"/>
        <v/>
      </c>
      <c r="X216" s="1659" t="str">
        <f t="shared" si="30"/>
        <v/>
      </c>
      <c r="Y216" s="1674" t="str">
        <f t="shared" si="31"/>
        <v/>
      </c>
      <c r="Z216" s="1655" t="str">
        <f t="shared" si="32"/>
        <v/>
      </c>
      <c r="AA216" s="1655" t="str">
        <f t="shared" si="33"/>
        <v/>
      </c>
      <c r="AB216" s="1655" t="str">
        <f t="shared" si="34"/>
        <v/>
      </c>
      <c r="AC216" s="1655" t="str">
        <f t="shared" si="35"/>
        <v/>
      </c>
      <c r="AD216" s="1675" t="str">
        <f t="shared" si="36"/>
        <v/>
      </c>
      <c r="AE216" s="1674" t="str">
        <f t="shared" si="37"/>
        <v/>
      </c>
      <c r="AF216" s="1657" t="str">
        <f t="shared" si="18"/>
        <v/>
      </c>
      <c r="AG216" s="1655" t="str">
        <f t="shared" si="38"/>
        <v/>
      </c>
      <c r="AH216" s="1665" t="str">
        <f t="shared" si="39"/>
        <v/>
      </c>
      <c r="AI216" s="1665" t="str">
        <f t="shared" si="40"/>
        <v/>
      </c>
      <c r="AJ216" s="1655" t="str">
        <f t="shared" si="41"/>
        <v/>
      </c>
      <c r="AK216" s="1659" t="str">
        <f t="shared" si="23"/>
        <v/>
      </c>
    </row>
    <row r="217" spans="1:37" x14ac:dyDescent="0.25">
      <c r="A217" s="1655" t="s">
        <v>1471</v>
      </c>
      <c r="B217" s="1655" t="str">
        <f>IF(BUILDING!D36="","",BUILDING!D36)</f>
        <v/>
      </c>
      <c r="C217" s="1655" t="str">
        <f>IF(BUILDING!E36="","",BUILDING!E36)</f>
        <v/>
      </c>
      <c r="D217" s="1655" t="str">
        <f>IF(BUILDING!F36="","",BUILDING!F36)</f>
        <v/>
      </c>
      <c r="E217" s="1655" t="str">
        <f>IF(BUILDING!G36="","",BUILDING!G36)</f>
        <v/>
      </c>
      <c r="F217" s="1674" t="str">
        <f>IF(BUILDING!C36="","",BUILDING!C36)</f>
        <v/>
      </c>
      <c r="G217" s="1655" t="str">
        <f>IF(BUILDING!H36="","",BUILDING!H36)</f>
        <v/>
      </c>
      <c r="H217" s="1655" t="str">
        <f>IF(BUILDING!I36="","",BUILDING!I36)</f>
        <v/>
      </c>
      <c r="I217" s="1659" t="str">
        <f>IF(BUILDING!K36="","",BUILDING!K36)</f>
        <v/>
      </c>
      <c r="J217" s="1659" t="str">
        <f>IF(BUILDING!L36="","",BUILDING!L36)</f>
        <v/>
      </c>
      <c r="K217" s="1675" t="str">
        <f>IF(BUILDING!N36=0,"",BUILDING!N36)</f>
        <v/>
      </c>
      <c r="L217" s="1674" t="str">
        <f>IF(BUILDING!O36="","",BUILDING!O36)</f>
        <v/>
      </c>
      <c r="M217" s="1655" t="str">
        <f>IF(BUILDING!P36="","",BUILDING!P36)</f>
        <v/>
      </c>
      <c r="O217" s="1655" t="s">
        <v>1472</v>
      </c>
      <c r="P217" s="1655" t="str">
        <f t="shared" si="25"/>
        <v/>
      </c>
      <c r="Q217" s="1655" t="str">
        <f t="shared" si="26"/>
        <v/>
      </c>
      <c r="R217" s="1655" t="str">
        <f t="shared" si="27"/>
        <v/>
      </c>
      <c r="T217" s="1655" t="s">
        <v>1473</v>
      </c>
      <c r="U217" s="1655" t="str">
        <f t="shared" si="28"/>
        <v/>
      </c>
      <c r="V217" s="1659" t="str">
        <f t="shared" si="29"/>
        <v/>
      </c>
      <c r="W217" s="1676" t="str">
        <f t="shared" si="24"/>
        <v/>
      </c>
      <c r="X217" s="1659" t="str">
        <f t="shared" si="30"/>
        <v/>
      </c>
      <c r="Y217" s="1674" t="str">
        <f t="shared" si="31"/>
        <v/>
      </c>
      <c r="Z217" s="1655" t="str">
        <f t="shared" si="32"/>
        <v/>
      </c>
      <c r="AA217" s="1655" t="str">
        <f t="shared" si="33"/>
        <v/>
      </c>
      <c r="AB217" s="1655" t="str">
        <f t="shared" si="34"/>
        <v/>
      </c>
      <c r="AC217" s="1655" t="str">
        <f t="shared" si="35"/>
        <v/>
      </c>
      <c r="AD217" s="1675" t="str">
        <f t="shared" si="36"/>
        <v/>
      </c>
      <c r="AE217" s="1674" t="str">
        <f t="shared" si="37"/>
        <v/>
      </c>
      <c r="AF217" s="1657" t="str">
        <f t="shared" si="18"/>
        <v/>
      </c>
      <c r="AG217" s="1655" t="str">
        <f t="shared" si="38"/>
        <v/>
      </c>
      <c r="AH217" s="1665" t="str">
        <f t="shared" si="39"/>
        <v/>
      </c>
      <c r="AI217" s="1665" t="str">
        <f t="shared" si="40"/>
        <v/>
      </c>
      <c r="AJ217" s="1655" t="str">
        <f t="shared" si="41"/>
        <v/>
      </c>
      <c r="AK217" s="1659" t="str">
        <f t="shared" si="23"/>
        <v/>
      </c>
    </row>
    <row r="218" spans="1:37" x14ac:dyDescent="0.25">
      <c r="A218" s="1655" t="s">
        <v>1471</v>
      </c>
      <c r="B218" s="1655" t="str">
        <f>IF(BUILDING!D37="","",BUILDING!D37)</f>
        <v/>
      </c>
      <c r="C218" s="1655" t="str">
        <f>IF(BUILDING!E37="","",BUILDING!E37)</f>
        <v/>
      </c>
      <c r="D218" s="1655" t="str">
        <f>IF(BUILDING!F37="","",BUILDING!F37)</f>
        <v/>
      </c>
      <c r="E218" s="1655" t="str">
        <f>IF(BUILDING!G37="","",BUILDING!G37)</f>
        <v/>
      </c>
      <c r="F218" s="1674" t="str">
        <f>IF(BUILDING!C37="","",BUILDING!C37)</f>
        <v/>
      </c>
      <c r="G218" s="1655" t="str">
        <f>IF(BUILDING!H37="","",BUILDING!H37)</f>
        <v/>
      </c>
      <c r="H218" s="1655" t="str">
        <f>IF(BUILDING!I37="","",BUILDING!I37)</f>
        <v/>
      </c>
      <c r="I218" s="1659" t="str">
        <f>IF(BUILDING!K37="","",BUILDING!K37)</f>
        <v/>
      </c>
      <c r="J218" s="1659" t="str">
        <f>IF(BUILDING!L37="","",BUILDING!L37)</f>
        <v/>
      </c>
      <c r="K218" s="1675" t="str">
        <f>IF(BUILDING!N37=0,"",BUILDING!N37)</f>
        <v/>
      </c>
      <c r="L218" s="1674" t="str">
        <f>IF(BUILDING!O37="","",BUILDING!O37)</f>
        <v/>
      </c>
      <c r="M218" s="1655" t="str">
        <f>IF(BUILDING!P37="","",BUILDING!P37)</f>
        <v/>
      </c>
      <c r="O218" s="1655" t="s">
        <v>1472</v>
      </c>
      <c r="P218" s="1655" t="str">
        <f t="shared" si="25"/>
        <v/>
      </c>
      <c r="Q218" s="1655" t="str">
        <f t="shared" si="26"/>
        <v/>
      </c>
      <c r="R218" s="1655" t="str">
        <f t="shared" si="27"/>
        <v/>
      </c>
      <c r="T218" s="1655" t="s">
        <v>1473</v>
      </c>
      <c r="U218" s="1655" t="str">
        <f t="shared" si="28"/>
        <v/>
      </c>
      <c r="V218" s="1659" t="str">
        <f t="shared" si="29"/>
        <v/>
      </c>
      <c r="W218" s="1676" t="str">
        <f t="shared" si="24"/>
        <v/>
      </c>
      <c r="X218" s="1659" t="str">
        <f t="shared" si="30"/>
        <v/>
      </c>
      <c r="Y218" s="1674" t="str">
        <f t="shared" si="31"/>
        <v/>
      </c>
      <c r="Z218" s="1655" t="str">
        <f t="shared" si="32"/>
        <v/>
      </c>
      <c r="AA218" s="1655" t="str">
        <f t="shared" si="33"/>
        <v/>
      </c>
      <c r="AB218" s="1655" t="str">
        <f t="shared" si="34"/>
        <v/>
      </c>
      <c r="AC218" s="1655" t="str">
        <f t="shared" si="35"/>
        <v/>
      </c>
      <c r="AD218" s="1675" t="str">
        <f t="shared" si="36"/>
        <v/>
      </c>
      <c r="AE218" s="1674" t="str">
        <f t="shared" si="37"/>
        <v/>
      </c>
      <c r="AF218" s="1657" t="str">
        <f t="shared" si="18"/>
        <v/>
      </c>
      <c r="AG218" s="1655" t="str">
        <f t="shared" si="38"/>
        <v/>
      </c>
      <c r="AH218" s="1665" t="str">
        <f t="shared" si="39"/>
        <v/>
      </c>
      <c r="AI218" s="1665" t="str">
        <f t="shared" si="40"/>
        <v/>
      </c>
      <c r="AJ218" s="1655" t="str">
        <f t="shared" si="41"/>
        <v/>
      </c>
      <c r="AK218" s="1659" t="str">
        <f t="shared" si="23"/>
        <v/>
      </c>
    </row>
    <row r="219" spans="1:37" x14ac:dyDescent="0.25">
      <c r="A219" s="1655" t="s">
        <v>1471</v>
      </c>
      <c r="B219" s="1655" t="str">
        <f>IF(BUILDING!D38="","",BUILDING!D38)</f>
        <v/>
      </c>
      <c r="C219" s="1655" t="str">
        <f>IF(BUILDING!E38="","",BUILDING!E38)</f>
        <v/>
      </c>
      <c r="D219" s="1655" t="str">
        <f>IF(BUILDING!F38="","",BUILDING!F38)</f>
        <v/>
      </c>
      <c r="E219" s="1655" t="str">
        <f>IF(BUILDING!G38="","",BUILDING!G38)</f>
        <v/>
      </c>
      <c r="F219" s="1674" t="str">
        <f>IF(BUILDING!C38="","",BUILDING!C38)</f>
        <v/>
      </c>
      <c r="G219" s="1655" t="str">
        <f>IF(BUILDING!H38="","",BUILDING!H38)</f>
        <v/>
      </c>
      <c r="H219" s="1655" t="str">
        <f>IF(BUILDING!I38="","",BUILDING!I38)</f>
        <v/>
      </c>
      <c r="I219" s="1659" t="str">
        <f>IF(BUILDING!K38="","",BUILDING!K38)</f>
        <v/>
      </c>
      <c r="J219" s="1659" t="str">
        <f>IF(BUILDING!L38="","",BUILDING!L38)</f>
        <v/>
      </c>
      <c r="K219" s="1675" t="str">
        <f>IF(BUILDING!N38=0,"",BUILDING!N38)</f>
        <v/>
      </c>
      <c r="L219" s="1674" t="str">
        <f>IF(BUILDING!O38="","",BUILDING!O38)</f>
        <v/>
      </c>
      <c r="M219" s="1655" t="str">
        <f>IF(BUILDING!P38="","",BUILDING!P38)</f>
        <v/>
      </c>
      <c r="O219" s="1655" t="s">
        <v>1472</v>
      </c>
      <c r="P219" s="1655" t="str">
        <f t="shared" si="25"/>
        <v/>
      </c>
      <c r="Q219" s="1655" t="str">
        <f t="shared" si="26"/>
        <v/>
      </c>
      <c r="R219" s="1655" t="str">
        <f t="shared" si="27"/>
        <v/>
      </c>
      <c r="T219" s="1655" t="s">
        <v>1473</v>
      </c>
      <c r="U219" s="1655" t="str">
        <f t="shared" si="28"/>
        <v/>
      </c>
      <c r="V219" s="1659" t="str">
        <f t="shared" si="29"/>
        <v/>
      </c>
      <c r="W219" s="1676" t="str">
        <f t="shared" si="24"/>
        <v/>
      </c>
      <c r="X219" s="1659" t="str">
        <f t="shared" si="30"/>
        <v/>
      </c>
      <c r="Y219" s="1674" t="str">
        <f t="shared" si="31"/>
        <v/>
      </c>
      <c r="Z219" s="1655" t="str">
        <f t="shared" si="32"/>
        <v/>
      </c>
      <c r="AA219" s="1655" t="str">
        <f t="shared" si="33"/>
        <v/>
      </c>
      <c r="AB219" s="1655" t="str">
        <f t="shared" si="34"/>
        <v/>
      </c>
      <c r="AC219" s="1655" t="str">
        <f t="shared" si="35"/>
        <v/>
      </c>
      <c r="AD219" s="1675" t="str">
        <f t="shared" si="36"/>
        <v/>
      </c>
      <c r="AE219" s="1674" t="str">
        <f t="shared" si="37"/>
        <v/>
      </c>
      <c r="AF219" s="1657" t="str">
        <f t="shared" si="18"/>
        <v/>
      </c>
      <c r="AG219" s="1655" t="str">
        <f t="shared" si="38"/>
        <v/>
      </c>
      <c r="AH219" s="1665" t="str">
        <f t="shared" si="39"/>
        <v/>
      </c>
      <c r="AI219" s="1665" t="str">
        <f t="shared" si="40"/>
        <v/>
      </c>
      <c r="AJ219" s="1655" t="str">
        <f t="shared" si="41"/>
        <v/>
      </c>
      <c r="AK219" s="1659" t="str">
        <f t="shared" si="23"/>
        <v/>
      </c>
    </row>
    <row r="220" spans="1:37" x14ac:dyDescent="0.25">
      <c r="A220" s="1655" t="s">
        <v>1471</v>
      </c>
      <c r="B220" s="1655" t="str">
        <f>IF(BUILDING!D39="","",BUILDING!D39)</f>
        <v/>
      </c>
      <c r="C220" s="1655" t="str">
        <f>IF(BUILDING!E39="","",BUILDING!E39)</f>
        <v/>
      </c>
      <c r="D220" s="1655" t="str">
        <f>IF(BUILDING!F39="","",BUILDING!F39)</f>
        <v/>
      </c>
      <c r="E220" s="1655" t="str">
        <f>IF(BUILDING!G39="","",BUILDING!G39)</f>
        <v/>
      </c>
      <c r="F220" s="1674" t="str">
        <f>IF(BUILDING!C39="","",BUILDING!C39)</f>
        <v/>
      </c>
      <c r="G220" s="1655" t="str">
        <f>IF(BUILDING!H39="","",BUILDING!H39)</f>
        <v/>
      </c>
      <c r="H220" s="1655" t="str">
        <f>IF(BUILDING!I39="","",BUILDING!I39)</f>
        <v/>
      </c>
      <c r="I220" s="1659" t="str">
        <f>IF(BUILDING!K39="","",BUILDING!K39)</f>
        <v/>
      </c>
      <c r="J220" s="1659" t="str">
        <f>IF(BUILDING!L39="","",BUILDING!L39)</f>
        <v/>
      </c>
      <c r="K220" s="1675" t="str">
        <f>IF(BUILDING!N39=0,"",BUILDING!N39)</f>
        <v/>
      </c>
      <c r="L220" s="1674" t="str">
        <f>IF(BUILDING!O39="","",BUILDING!O39)</f>
        <v/>
      </c>
      <c r="M220" s="1655" t="str">
        <f>IF(BUILDING!P39="","",BUILDING!P39)</f>
        <v/>
      </c>
      <c r="O220" s="1655" t="s">
        <v>1472</v>
      </c>
      <c r="P220" s="1655" t="str">
        <f t="shared" si="25"/>
        <v/>
      </c>
      <c r="Q220" s="1655" t="str">
        <f t="shared" si="26"/>
        <v/>
      </c>
      <c r="R220" s="1655" t="str">
        <f t="shared" si="27"/>
        <v/>
      </c>
      <c r="T220" s="1655" t="s">
        <v>1473</v>
      </c>
      <c r="U220" s="1655" t="str">
        <f t="shared" si="28"/>
        <v/>
      </c>
      <c r="V220" s="1659" t="str">
        <f t="shared" si="29"/>
        <v/>
      </c>
      <c r="W220" s="1676" t="str">
        <f t="shared" si="24"/>
        <v/>
      </c>
      <c r="X220" s="1659" t="str">
        <f t="shared" si="30"/>
        <v/>
      </c>
      <c r="Y220" s="1674" t="str">
        <f t="shared" si="31"/>
        <v/>
      </c>
      <c r="Z220" s="1655" t="str">
        <f t="shared" si="32"/>
        <v/>
      </c>
      <c r="AA220" s="1655" t="str">
        <f t="shared" si="33"/>
        <v/>
      </c>
      <c r="AB220" s="1655" t="str">
        <f t="shared" si="34"/>
        <v/>
      </c>
      <c r="AC220" s="1655" t="str">
        <f t="shared" si="35"/>
        <v/>
      </c>
      <c r="AD220" s="1675" t="str">
        <f t="shared" si="36"/>
        <v/>
      </c>
      <c r="AE220" s="1674" t="str">
        <f t="shared" si="37"/>
        <v/>
      </c>
      <c r="AF220" s="1657" t="str">
        <f t="shared" si="18"/>
        <v/>
      </c>
      <c r="AG220" s="1655" t="str">
        <f t="shared" si="38"/>
        <v/>
      </c>
      <c r="AH220" s="1665" t="str">
        <f t="shared" si="39"/>
        <v/>
      </c>
      <c r="AI220" s="1665" t="str">
        <f t="shared" si="40"/>
        <v/>
      </c>
      <c r="AJ220" s="1655" t="str">
        <f t="shared" si="41"/>
        <v/>
      </c>
      <c r="AK220" s="1659" t="str">
        <f t="shared" si="23"/>
        <v/>
      </c>
    </row>
    <row r="221" spans="1:37" x14ac:dyDescent="0.25">
      <c r="A221" s="1655" t="s">
        <v>1471</v>
      </c>
      <c r="B221" s="1655" t="str">
        <f>IF(BUILDING!D40="","",BUILDING!D40)</f>
        <v/>
      </c>
      <c r="C221" s="1655" t="str">
        <f>IF(BUILDING!E40="","",BUILDING!E40)</f>
        <v/>
      </c>
      <c r="D221" s="1655" t="str">
        <f>IF(BUILDING!F40="","",BUILDING!F40)</f>
        <v/>
      </c>
      <c r="E221" s="1655" t="str">
        <f>IF(BUILDING!G40="","",BUILDING!G40)</f>
        <v/>
      </c>
      <c r="F221" s="1674" t="str">
        <f>IF(BUILDING!C40="","",BUILDING!C40)</f>
        <v/>
      </c>
      <c r="G221" s="1655" t="str">
        <f>IF(BUILDING!H40="","",BUILDING!H40)</f>
        <v/>
      </c>
      <c r="H221" s="1655" t="str">
        <f>IF(BUILDING!I40="","",BUILDING!I40)</f>
        <v/>
      </c>
      <c r="I221" s="1659" t="str">
        <f>IF(BUILDING!K40="","",BUILDING!K40)</f>
        <v/>
      </c>
      <c r="J221" s="1659" t="str">
        <f>IF(BUILDING!L40="","",BUILDING!L40)</f>
        <v/>
      </c>
      <c r="K221" s="1675" t="str">
        <f>IF(BUILDING!N40=0,"",BUILDING!N40)</f>
        <v/>
      </c>
      <c r="L221" s="1674" t="str">
        <f>IF(BUILDING!O40="","",BUILDING!O40)</f>
        <v/>
      </c>
      <c r="M221" s="1655" t="str">
        <f>IF(BUILDING!P40="","",BUILDING!P40)</f>
        <v/>
      </c>
      <c r="O221" s="1655" t="s">
        <v>1472</v>
      </c>
      <c r="P221" s="1655" t="str">
        <f t="shared" si="25"/>
        <v/>
      </c>
      <c r="Q221" s="1655" t="str">
        <f t="shared" si="26"/>
        <v/>
      </c>
      <c r="R221" s="1655" t="str">
        <f t="shared" si="27"/>
        <v/>
      </c>
      <c r="T221" s="1655" t="s">
        <v>1473</v>
      </c>
      <c r="U221" s="1655" t="str">
        <f t="shared" si="28"/>
        <v/>
      </c>
      <c r="V221" s="1659" t="str">
        <f t="shared" si="29"/>
        <v/>
      </c>
      <c r="W221" s="1676" t="str">
        <f t="shared" si="24"/>
        <v/>
      </c>
      <c r="X221" s="1659" t="str">
        <f t="shared" si="30"/>
        <v/>
      </c>
      <c r="Y221" s="1674" t="str">
        <f t="shared" si="31"/>
        <v/>
      </c>
      <c r="Z221" s="1655" t="str">
        <f t="shared" si="32"/>
        <v/>
      </c>
      <c r="AA221" s="1655" t="str">
        <f t="shared" si="33"/>
        <v/>
      </c>
      <c r="AB221" s="1655" t="str">
        <f t="shared" si="34"/>
        <v/>
      </c>
      <c r="AC221" s="1655" t="str">
        <f t="shared" si="35"/>
        <v/>
      </c>
      <c r="AD221" s="1675" t="str">
        <f t="shared" si="36"/>
        <v/>
      </c>
      <c r="AE221" s="1674" t="str">
        <f t="shared" si="37"/>
        <v/>
      </c>
      <c r="AF221" s="1657" t="str">
        <f t="shared" si="18"/>
        <v/>
      </c>
      <c r="AG221" s="1655" t="str">
        <f t="shared" si="38"/>
        <v/>
      </c>
      <c r="AH221" s="1665" t="str">
        <f t="shared" si="39"/>
        <v/>
      </c>
      <c r="AI221" s="1665" t="str">
        <f t="shared" si="40"/>
        <v/>
      </c>
      <c r="AJ221" s="1655" t="str">
        <f t="shared" si="41"/>
        <v/>
      </c>
      <c r="AK221" s="1659" t="str">
        <f t="shared" si="23"/>
        <v/>
      </c>
    </row>
    <row r="222" spans="1:37" x14ac:dyDescent="0.25">
      <c r="A222" s="1655" t="s">
        <v>1471</v>
      </c>
      <c r="B222" s="1655" t="str">
        <f>IF(BUILDING!D41="","",BUILDING!D41)</f>
        <v/>
      </c>
      <c r="C222" s="1655" t="str">
        <f>IF(BUILDING!E41="","",BUILDING!E41)</f>
        <v/>
      </c>
      <c r="D222" s="1655" t="str">
        <f>IF(BUILDING!F41="","",BUILDING!F41)</f>
        <v/>
      </c>
      <c r="E222" s="1655" t="str">
        <f>IF(BUILDING!G41="","",BUILDING!G41)</f>
        <v/>
      </c>
      <c r="F222" s="1674" t="str">
        <f>IF(BUILDING!C41="","",BUILDING!C41)</f>
        <v/>
      </c>
      <c r="G222" s="1655" t="str">
        <f>IF(BUILDING!H41="","",BUILDING!H41)</f>
        <v/>
      </c>
      <c r="H222" s="1655" t="str">
        <f>IF(BUILDING!I41="","",BUILDING!I41)</f>
        <v/>
      </c>
      <c r="I222" s="1659" t="str">
        <f>IF(BUILDING!K41="","",BUILDING!K41)</f>
        <v/>
      </c>
      <c r="J222" s="1659" t="str">
        <f>IF(BUILDING!L41="","",BUILDING!L41)</f>
        <v/>
      </c>
      <c r="K222" s="1675" t="str">
        <f>IF(BUILDING!N41=0,"",BUILDING!N41)</f>
        <v/>
      </c>
      <c r="L222" s="1674" t="str">
        <f>IF(BUILDING!O41="","",BUILDING!O41)</f>
        <v/>
      </c>
      <c r="M222" s="1655" t="str">
        <f>IF(BUILDING!P41="","",BUILDING!P41)</f>
        <v/>
      </c>
      <c r="O222" s="1655" t="s">
        <v>1472</v>
      </c>
      <c r="P222" s="1655" t="str">
        <f t="shared" si="25"/>
        <v/>
      </c>
      <c r="Q222" s="1655" t="str">
        <f t="shared" si="26"/>
        <v/>
      </c>
      <c r="R222" s="1655" t="str">
        <f t="shared" si="27"/>
        <v/>
      </c>
      <c r="T222" s="1655" t="s">
        <v>1473</v>
      </c>
      <c r="U222" s="1655" t="str">
        <f t="shared" si="28"/>
        <v/>
      </c>
      <c r="V222" s="1659" t="str">
        <f t="shared" si="29"/>
        <v/>
      </c>
      <c r="W222" s="1676" t="str">
        <f t="shared" si="24"/>
        <v/>
      </c>
      <c r="X222" s="1659" t="str">
        <f t="shared" si="30"/>
        <v/>
      </c>
      <c r="Y222" s="1674" t="str">
        <f t="shared" si="31"/>
        <v/>
      </c>
      <c r="Z222" s="1655" t="str">
        <f t="shared" si="32"/>
        <v/>
      </c>
      <c r="AA222" s="1655" t="str">
        <f t="shared" si="33"/>
        <v/>
      </c>
      <c r="AB222" s="1655" t="str">
        <f t="shared" si="34"/>
        <v/>
      </c>
      <c r="AC222" s="1655" t="str">
        <f t="shared" si="35"/>
        <v/>
      </c>
      <c r="AD222" s="1675" t="str">
        <f t="shared" si="36"/>
        <v/>
      </c>
      <c r="AE222" s="1674" t="str">
        <f t="shared" si="37"/>
        <v/>
      </c>
      <c r="AF222" s="1657" t="str">
        <f t="shared" si="18"/>
        <v/>
      </c>
      <c r="AG222" s="1655" t="str">
        <f t="shared" si="38"/>
        <v/>
      </c>
      <c r="AH222" s="1665" t="str">
        <f t="shared" si="39"/>
        <v/>
      </c>
      <c r="AI222" s="1665" t="str">
        <f t="shared" si="40"/>
        <v/>
      </c>
      <c r="AJ222" s="1655" t="str">
        <f t="shared" si="41"/>
        <v/>
      </c>
      <c r="AK222" s="1659" t="str">
        <f t="shared" si="23"/>
        <v/>
      </c>
    </row>
    <row r="223" spans="1:37" x14ac:dyDescent="0.25">
      <c r="A223" s="1655" t="s">
        <v>1471</v>
      </c>
      <c r="B223" s="1655" t="str">
        <f>IF(BUILDING!D42="","",BUILDING!D42)</f>
        <v/>
      </c>
      <c r="C223" s="1655" t="str">
        <f>IF(BUILDING!E42="","",BUILDING!E42)</f>
        <v/>
      </c>
      <c r="D223" s="1655" t="str">
        <f>IF(BUILDING!F42="","",BUILDING!F42)</f>
        <v/>
      </c>
      <c r="E223" s="1655" t="str">
        <f>IF(BUILDING!G42="","",BUILDING!G42)</f>
        <v/>
      </c>
      <c r="F223" s="1674" t="str">
        <f>IF(BUILDING!C42="","",BUILDING!C42)</f>
        <v/>
      </c>
      <c r="G223" s="1655" t="str">
        <f>IF(BUILDING!H42="","",BUILDING!H42)</f>
        <v/>
      </c>
      <c r="H223" s="1655" t="str">
        <f>IF(BUILDING!I42="","",BUILDING!I42)</f>
        <v/>
      </c>
      <c r="I223" s="1659" t="str">
        <f>IF(BUILDING!K42="","",BUILDING!K42)</f>
        <v/>
      </c>
      <c r="J223" s="1659" t="str">
        <f>IF(BUILDING!L42="","",BUILDING!L42)</f>
        <v/>
      </c>
      <c r="K223" s="1675" t="str">
        <f>IF(BUILDING!N42=0,"",BUILDING!N42)</f>
        <v/>
      </c>
      <c r="L223" s="1674" t="str">
        <f>IF(BUILDING!O42="","",BUILDING!O42)</f>
        <v/>
      </c>
      <c r="M223" s="1655" t="str">
        <f>IF(BUILDING!P42="","",BUILDING!P42)</f>
        <v/>
      </c>
      <c r="O223" s="1655" t="s">
        <v>1472</v>
      </c>
      <c r="P223" s="1655" t="str">
        <f t="shared" si="25"/>
        <v/>
      </c>
      <c r="Q223" s="1655" t="str">
        <f t="shared" si="26"/>
        <v/>
      </c>
      <c r="R223" s="1655" t="str">
        <f t="shared" si="27"/>
        <v/>
      </c>
      <c r="T223" s="1655" t="s">
        <v>1473</v>
      </c>
      <c r="U223" s="1655" t="str">
        <f t="shared" si="28"/>
        <v/>
      </c>
      <c r="V223" s="1659" t="str">
        <f t="shared" si="29"/>
        <v/>
      </c>
      <c r="W223" s="1676" t="str">
        <f t="shared" si="29"/>
        <v/>
      </c>
      <c r="X223" s="1659" t="str">
        <f t="shared" si="30"/>
        <v/>
      </c>
      <c r="Y223" s="1674" t="str">
        <f t="shared" si="31"/>
        <v/>
      </c>
      <c r="Z223" s="1655" t="str">
        <f t="shared" si="32"/>
        <v/>
      </c>
      <c r="AA223" s="1655" t="str">
        <f t="shared" si="33"/>
        <v/>
      </c>
      <c r="AB223" s="1655" t="str">
        <f t="shared" si="34"/>
        <v/>
      </c>
      <c r="AC223" s="1655" t="str">
        <f t="shared" si="35"/>
        <v/>
      </c>
      <c r="AD223" s="1675" t="str">
        <f t="shared" si="36"/>
        <v/>
      </c>
      <c r="AE223" s="1674" t="str">
        <f t="shared" si="37"/>
        <v/>
      </c>
      <c r="AF223" s="1657" t="str">
        <f t="shared" si="18"/>
        <v/>
      </c>
      <c r="AG223" s="1655" t="str">
        <f t="shared" si="38"/>
        <v/>
      </c>
      <c r="AH223" s="1665" t="str">
        <f t="shared" si="39"/>
        <v/>
      </c>
      <c r="AI223" s="1665" t="str">
        <f t="shared" si="40"/>
        <v/>
      </c>
      <c r="AJ223" s="1655" t="str">
        <f t="shared" si="41"/>
        <v/>
      </c>
      <c r="AK223" s="1659" t="str">
        <f t="shared" ref="AK223:AK254" si="42">IF(U223="","",$M$673)</f>
        <v/>
      </c>
    </row>
    <row r="224" spans="1:37" x14ac:dyDescent="0.25">
      <c r="A224" s="1655" t="s">
        <v>1471</v>
      </c>
      <c r="B224" s="1655" t="str">
        <f>IF(BUILDING!D43="","",BUILDING!D43)</f>
        <v/>
      </c>
      <c r="C224" s="1655" t="str">
        <f>IF(BUILDING!E43="","",BUILDING!E43)</f>
        <v/>
      </c>
      <c r="D224" s="1655" t="str">
        <f>IF(BUILDING!F43="","",BUILDING!F43)</f>
        <v/>
      </c>
      <c r="E224" s="1655" t="str">
        <f>IF(BUILDING!G43="","",BUILDING!G43)</f>
        <v/>
      </c>
      <c r="F224" s="1674" t="str">
        <f>IF(BUILDING!C43="","",BUILDING!C43)</f>
        <v/>
      </c>
      <c r="G224" s="1655" t="str">
        <f>IF(BUILDING!H43="","",BUILDING!H43)</f>
        <v/>
      </c>
      <c r="H224" s="1655" t="str">
        <f>IF(BUILDING!I43="","",BUILDING!I43)</f>
        <v/>
      </c>
      <c r="I224" s="1659" t="str">
        <f>IF(BUILDING!K43="","",BUILDING!K43)</f>
        <v/>
      </c>
      <c r="J224" s="1659" t="str">
        <f>IF(BUILDING!L43="","",BUILDING!L43)</f>
        <v/>
      </c>
      <c r="K224" s="1675" t="str">
        <f>IF(BUILDING!N43=0,"",BUILDING!N43)</f>
        <v/>
      </c>
      <c r="L224" s="1674" t="str">
        <f>IF(BUILDING!O43="","",BUILDING!O43)</f>
        <v/>
      </c>
      <c r="M224" s="1655" t="str">
        <f>IF(BUILDING!P43="","",BUILDING!P43)</f>
        <v/>
      </c>
      <c r="O224" s="1655" t="s">
        <v>1472</v>
      </c>
      <c r="P224" s="1655" t="str">
        <f t="shared" si="25"/>
        <v/>
      </c>
      <c r="Q224" s="1655" t="str">
        <f t="shared" si="26"/>
        <v/>
      </c>
      <c r="R224" s="1655" t="str">
        <f t="shared" si="27"/>
        <v/>
      </c>
      <c r="T224" s="1655" t="s">
        <v>1473</v>
      </c>
      <c r="U224" s="1655" t="str">
        <f t="shared" si="28"/>
        <v/>
      </c>
      <c r="V224" s="1659" t="str">
        <f t="shared" si="29"/>
        <v/>
      </c>
      <c r="W224" s="1676" t="str">
        <f t="shared" si="29"/>
        <v/>
      </c>
      <c r="X224" s="1659" t="str">
        <f t="shared" si="30"/>
        <v/>
      </c>
      <c r="Y224" s="1674" t="str">
        <f t="shared" si="31"/>
        <v/>
      </c>
      <c r="Z224" s="1655" t="str">
        <f t="shared" si="32"/>
        <v/>
      </c>
      <c r="AA224" s="1655" t="str">
        <f t="shared" si="33"/>
        <v/>
      </c>
      <c r="AB224" s="1655" t="str">
        <f t="shared" si="34"/>
        <v/>
      </c>
      <c r="AC224" s="1655" t="str">
        <f t="shared" si="35"/>
        <v/>
      </c>
      <c r="AD224" s="1675" t="str">
        <f t="shared" si="36"/>
        <v/>
      </c>
      <c r="AE224" s="1674" t="str">
        <f t="shared" si="37"/>
        <v/>
      </c>
      <c r="AF224" s="1657" t="str">
        <f t="shared" si="18"/>
        <v/>
      </c>
      <c r="AG224" s="1655" t="str">
        <f t="shared" si="38"/>
        <v/>
      </c>
      <c r="AH224" s="1665" t="str">
        <f t="shared" si="39"/>
        <v/>
      </c>
      <c r="AI224" s="1665" t="str">
        <f t="shared" si="40"/>
        <v/>
      </c>
      <c r="AJ224" s="1655" t="str">
        <f t="shared" si="41"/>
        <v/>
      </c>
      <c r="AK224" s="1659" t="str">
        <f t="shared" si="42"/>
        <v/>
      </c>
    </row>
    <row r="225" spans="1:37" x14ac:dyDescent="0.25">
      <c r="A225" s="1655" t="s">
        <v>1471</v>
      </c>
      <c r="B225" s="1655" t="str">
        <f>IF(BUILDING!D44="","",BUILDING!D44)</f>
        <v/>
      </c>
      <c r="C225" s="1655" t="str">
        <f>IF(BUILDING!E44="","",BUILDING!E44)</f>
        <v/>
      </c>
      <c r="D225" s="1655" t="str">
        <f>IF(BUILDING!F44="","",BUILDING!F44)</f>
        <v/>
      </c>
      <c r="E225" s="1655" t="str">
        <f>IF(BUILDING!G44="","",BUILDING!G44)</f>
        <v/>
      </c>
      <c r="F225" s="1674" t="str">
        <f>IF(BUILDING!C44="","",BUILDING!C44)</f>
        <v/>
      </c>
      <c r="G225" s="1655" t="str">
        <f>IF(BUILDING!H44="","",BUILDING!H44)</f>
        <v/>
      </c>
      <c r="H225" s="1655" t="str">
        <f>IF(BUILDING!I44="","",BUILDING!I44)</f>
        <v/>
      </c>
      <c r="I225" s="1659" t="str">
        <f>IF(BUILDING!K44="","",BUILDING!K44)</f>
        <v/>
      </c>
      <c r="J225" s="1659" t="str">
        <f>IF(BUILDING!L44="","",BUILDING!L44)</f>
        <v/>
      </c>
      <c r="K225" s="1675" t="str">
        <f>IF(BUILDING!N44=0,"",BUILDING!N44)</f>
        <v/>
      </c>
      <c r="L225" s="1674" t="str">
        <f>IF(BUILDING!O44="","",BUILDING!O44)</f>
        <v/>
      </c>
      <c r="M225" s="1655" t="str">
        <f>IF(BUILDING!P44="","",BUILDING!P44)</f>
        <v/>
      </c>
      <c r="O225" s="1655" t="s">
        <v>1472</v>
      </c>
      <c r="P225" s="1655" t="str">
        <f t="shared" si="25"/>
        <v/>
      </c>
      <c r="Q225" s="1655" t="str">
        <f t="shared" si="26"/>
        <v/>
      </c>
      <c r="R225" s="1655" t="str">
        <f t="shared" si="27"/>
        <v/>
      </c>
      <c r="T225" s="1655" t="s">
        <v>1473</v>
      </c>
      <c r="U225" s="1655" t="str">
        <f t="shared" si="28"/>
        <v/>
      </c>
      <c r="V225" s="1659" t="str">
        <f t="shared" si="29"/>
        <v/>
      </c>
      <c r="W225" s="1676" t="str">
        <f t="shared" si="29"/>
        <v/>
      </c>
      <c r="X225" s="1659" t="str">
        <f t="shared" si="30"/>
        <v/>
      </c>
      <c r="Y225" s="1674" t="str">
        <f t="shared" si="31"/>
        <v/>
      </c>
      <c r="Z225" s="1655" t="str">
        <f t="shared" si="32"/>
        <v/>
      </c>
      <c r="AA225" s="1655" t="str">
        <f t="shared" si="33"/>
        <v/>
      </c>
      <c r="AB225" s="1655" t="str">
        <f t="shared" si="34"/>
        <v/>
      </c>
      <c r="AC225" s="1655" t="str">
        <f t="shared" si="35"/>
        <v/>
      </c>
      <c r="AD225" s="1675" t="str">
        <f t="shared" si="36"/>
        <v/>
      </c>
      <c r="AE225" s="1674" t="str">
        <f t="shared" si="37"/>
        <v/>
      </c>
      <c r="AF225" s="1657" t="str">
        <f t="shared" si="18"/>
        <v/>
      </c>
      <c r="AG225" s="1655" t="str">
        <f t="shared" si="38"/>
        <v/>
      </c>
      <c r="AH225" s="1665" t="str">
        <f t="shared" si="39"/>
        <v/>
      </c>
      <c r="AI225" s="1665" t="str">
        <f t="shared" si="40"/>
        <v/>
      </c>
      <c r="AJ225" s="1655" t="str">
        <f t="shared" si="41"/>
        <v/>
      </c>
      <c r="AK225" s="1659" t="str">
        <f t="shared" si="42"/>
        <v/>
      </c>
    </row>
    <row r="226" spans="1:37" x14ac:dyDescent="0.25">
      <c r="A226" s="1655" t="s">
        <v>1471</v>
      </c>
      <c r="B226" s="1655" t="str">
        <f>IF(BUILDING!D45="","",BUILDING!D45)</f>
        <v/>
      </c>
      <c r="C226" s="1655" t="str">
        <f>IF(BUILDING!E45="","",BUILDING!E45)</f>
        <v/>
      </c>
      <c r="D226" s="1655" t="str">
        <f>IF(BUILDING!F45="","",BUILDING!F45)</f>
        <v/>
      </c>
      <c r="E226" s="1655" t="str">
        <f>IF(BUILDING!G45="","",BUILDING!G45)</f>
        <v/>
      </c>
      <c r="F226" s="1674" t="str">
        <f>IF(BUILDING!C45="","",BUILDING!C45)</f>
        <v/>
      </c>
      <c r="G226" s="1655" t="str">
        <f>IF(BUILDING!H45="","",BUILDING!H45)</f>
        <v/>
      </c>
      <c r="H226" s="1655" t="str">
        <f>IF(BUILDING!I45="","",BUILDING!I45)</f>
        <v/>
      </c>
      <c r="I226" s="1659" t="str">
        <f>IF(BUILDING!K45="","",BUILDING!K45)</f>
        <v/>
      </c>
      <c r="J226" s="1659" t="str">
        <f>IF(BUILDING!L45="","",BUILDING!L45)</f>
        <v/>
      </c>
      <c r="K226" s="1675" t="str">
        <f>IF(BUILDING!N45=0,"",BUILDING!N45)</f>
        <v/>
      </c>
      <c r="L226" s="1674" t="str">
        <f>IF(BUILDING!O45="","",BUILDING!O45)</f>
        <v/>
      </c>
      <c r="M226" s="1655" t="str">
        <f>IF(BUILDING!P45="","",BUILDING!P45)</f>
        <v/>
      </c>
      <c r="O226" s="1655" t="s">
        <v>1472</v>
      </c>
      <c r="P226" s="1655" t="str">
        <f t="shared" si="25"/>
        <v/>
      </c>
      <c r="Q226" s="1655" t="str">
        <f t="shared" si="26"/>
        <v/>
      </c>
      <c r="R226" s="1655" t="str">
        <f t="shared" si="27"/>
        <v/>
      </c>
      <c r="T226" s="1655" t="s">
        <v>1473</v>
      </c>
      <c r="U226" s="1655" t="str">
        <f t="shared" si="28"/>
        <v/>
      </c>
      <c r="V226" s="1659" t="str">
        <f t="shared" si="29"/>
        <v/>
      </c>
      <c r="W226" s="1676" t="str">
        <f t="shared" si="29"/>
        <v/>
      </c>
      <c r="X226" s="1659" t="str">
        <f t="shared" si="30"/>
        <v/>
      </c>
      <c r="Y226" s="1674" t="str">
        <f t="shared" si="31"/>
        <v/>
      </c>
      <c r="Z226" s="1655" t="str">
        <f t="shared" si="32"/>
        <v/>
      </c>
      <c r="AA226" s="1655" t="str">
        <f t="shared" si="33"/>
        <v/>
      </c>
      <c r="AB226" s="1655" t="str">
        <f t="shared" si="34"/>
        <v/>
      </c>
      <c r="AC226" s="1655" t="str">
        <f t="shared" si="35"/>
        <v/>
      </c>
      <c r="AD226" s="1675" t="str">
        <f t="shared" si="36"/>
        <v/>
      </c>
      <c r="AE226" s="1674" t="str">
        <f t="shared" si="37"/>
        <v/>
      </c>
      <c r="AF226" s="1657" t="str">
        <f t="shared" si="18"/>
        <v/>
      </c>
      <c r="AG226" s="1655" t="str">
        <f t="shared" si="38"/>
        <v/>
      </c>
      <c r="AH226" s="1665" t="str">
        <f t="shared" si="39"/>
        <v/>
      </c>
      <c r="AI226" s="1665" t="str">
        <f t="shared" si="40"/>
        <v/>
      </c>
      <c r="AJ226" s="1655" t="str">
        <f t="shared" si="41"/>
        <v/>
      </c>
      <c r="AK226" s="1659" t="str">
        <f t="shared" si="42"/>
        <v/>
      </c>
    </row>
    <row r="227" spans="1:37" x14ac:dyDescent="0.25">
      <c r="A227" s="1655" t="s">
        <v>1471</v>
      </c>
      <c r="B227" s="1655" t="str">
        <f>IF(BUILDING!D46="","",BUILDING!D46)</f>
        <v/>
      </c>
      <c r="C227" s="1655" t="str">
        <f>IF(BUILDING!E46="","",BUILDING!E46)</f>
        <v/>
      </c>
      <c r="D227" s="1655" t="str">
        <f>IF(BUILDING!F46="","",BUILDING!F46)</f>
        <v/>
      </c>
      <c r="E227" s="1655" t="str">
        <f>IF(BUILDING!G46="","",BUILDING!G46)</f>
        <v/>
      </c>
      <c r="F227" s="1674" t="str">
        <f>IF(BUILDING!C46="","",BUILDING!C46)</f>
        <v/>
      </c>
      <c r="G227" s="1655" t="str">
        <f>IF(BUILDING!H46="","",BUILDING!H46)</f>
        <v/>
      </c>
      <c r="H227" s="1655" t="str">
        <f>IF(BUILDING!I46="","",BUILDING!I46)</f>
        <v/>
      </c>
      <c r="I227" s="1659" t="str">
        <f>IF(BUILDING!K46="","",BUILDING!K46)</f>
        <v/>
      </c>
      <c r="J227" s="1659" t="str">
        <f>IF(BUILDING!L46="","",BUILDING!L46)</f>
        <v/>
      </c>
      <c r="K227" s="1675" t="str">
        <f>IF(BUILDING!N46=0,"",BUILDING!N46)</f>
        <v/>
      </c>
      <c r="L227" s="1674" t="str">
        <f>IF(BUILDING!O46="","",BUILDING!O46)</f>
        <v/>
      </c>
      <c r="M227" s="1655" t="str">
        <f>IF(BUILDING!P46="","",BUILDING!P46)</f>
        <v/>
      </c>
      <c r="O227" s="1655" t="s">
        <v>1472</v>
      </c>
      <c r="P227" s="1655" t="str">
        <f t="shared" si="25"/>
        <v/>
      </c>
      <c r="Q227" s="1655" t="str">
        <f t="shared" si="26"/>
        <v/>
      </c>
      <c r="R227" s="1655" t="str">
        <f t="shared" si="27"/>
        <v/>
      </c>
      <c r="T227" s="1655" t="s">
        <v>1473</v>
      </c>
      <c r="U227" s="1655" t="str">
        <f t="shared" si="28"/>
        <v/>
      </c>
      <c r="V227" s="1659" t="str">
        <f t="shared" si="29"/>
        <v/>
      </c>
      <c r="W227" s="1676" t="str">
        <f t="shared" si="29"/>
        <v/>
      </c>
      <c r="X227" s="1659" t="str">
        <f t="shared" si="30"/>
        <v/>
      </c>
      <c r="Y227" s="1674" t="str">
        <f t="shared" si="31"/>
        <v/>
      </c>
      <c r="Z227" s="1655" t="str">
        <f t="shared" si="32"/>
        <v/>
      </c>
      <c r="AA227" s="1655" t="str">
        <f t="shared" si="33"/>
        <v/>
      </c>
      <c r="AB227" s="1655" t="str">
        <f t="shared" si="34"/>
        <v/>
      </c>
      <c r="AC227" s="1655" t="str">
        <f t="shared" si="35"/>
        <v/>
      </c>
      <c r="AD227" s="1675" t="str">
        <f t="shared" si="36"/>
        <v/>
      </c>
      <c r="AE227" s="1674" t="str">
        <f t="shared" si="37"/>
        <v/>
      </c>
      <c r="AF227" s="1657" t="str">
        <f t="shared" si="18"/>
        <v/>
      </c>
      <c r="AG227" s="1655" t="str">
        <f t="shared" si="38"/>
        <v/>
      </c>
      <c r="AH227" s="1665" t="str">
        <f t="shared" si="39"/>
        <v/>
      </c>
      <c r="AI227" s="1665" t="str">
        <f t="shared" si="40"/>
        <v/>
      </c>
      <c r="AJ227" s="1655" t="str">
        <f t="shared" si="41"/>
        <v/>
      </c>
      <c r="AK227" s="1659" t="str">
        <f t="shared" si="42"/>
        <v/>
      </c>
    </row>
    <row r="228" spans="1:37" x14ac:dyDescent="0.25">
      <c r="A228" s="1655" t="s">
        <v>1471</v>
      </c>
      <c r="B228" s="1655" t="str">
        <f>IF(BUILDING!D47="","",BUILDING!D47)</f>
        <v/>
      </c>
      <c r="C228" s="1655" t="str">
        <f>IF(BUILDING!E47="","",BUILDING!E47)</f>
        <v/>
      </c>
      <c r="D228" s="1655" t="str">
        <f>IF(BUILDING!F47="","",BUILDING!F47)</f>
        <v/>
      </c>
      <c r="E228" s="1655" t="str">
        <f>IF(BUILDING!G47="","",BUILDING!G47)</f>
        <v/>
      </c>
      <c r="F228" s="1674" t="str">
        <f>IF(BUILDING!C47="","",BUILDING!C47)</f>
        <v/>
      </c>
      <c r="G228" s="1655" t="str">
        <f>IF(BUILDING!H47="","",BUILDING!H47)</f>
        <v/>
      </c>
      <c r="H228" s="1655" t="str">
        <f>IF(BUILDING!I47="","",BUILDING!I47)</f>
        <v/>
      </c>
      <c r="I228" s="1659" t="str">
        <f>IF(BUILDING!K47="","",BUILDING!K47)</f>
        <v/>
      </c>
      <c r="J228" s="1659" t="str">
        <f>IF(BUILDING!L47="","",BUILDING!L47)</f>
        <v/>
      </c>
      <c r="K228" s="1675" t="str">
        <f>IF(BUILDING!N47=0,"",BUILDING!N47)</f>
        <v/>
      </c>
      <c r="L228" s="1674" t="str">
        <f>IF(BUILDING!O47="","",BUILDING!O47)</f>
        <v/>
      </c>
      <c r="M228" s="1655" t="str">
        <f>IF(BUILDING!P47="","",BUILDING!P47)</f>
        <v/>
      </c>
      <c r="O228" s="1655" t="s">
        <v>1472</v>
      </c>
      <c r="P228" s="1655" t="str">
        <f t="shared" si="25"/>
        <v/>
      </c>
      <c r="Q228" s="1655" t="str">
        <f t="shared" si="26"/>
        <v/>
      </c>
      <c r="R228" s="1655" t="str">
        <f t="shared" si="27"/>
        <v/>
      </c>
      <c r="T228" s="1655" t="s">
        <v>1473</v>
      </c>
      <c r="U228" s="1655" t="str">
        <f t="shared" si="28"/>
        <v/>
      </c>
      <c r="V228" s="1659" t="str">
        <f t="shared" si="29"/>
        <v/>
      </c>
      <c r="W228" s="1676" t="str">
        <f t="shared" si="29"/>
        <v/>
      </c>
      <c r="X228" s="1659" t="str">
        <f t="shared" si="30"/>
        <v/>
      </c>
      <c r="Y228" s="1674" t="str">
        <f t="shared" si="31"/>
        <v/>
      </c>
      <c r="Z228" s="1655" t="str">
        <f t="shared" si="32"/>
        <v/>
      </c>
      <c r="AA228" s="1655" t="str">
        <f t="shared" si="33"/>
        <v/>
      </c>
      <c r="AB228" s="1655" t="str">
        <f t="shared" si="34"/>
        <v/>
      </c>
      <c r="AC228" s="1655" t="str">
        <f t="shared" si="35"/>
        <v/>
      </c>
      <c r="AD228" s="1675" t="str">
        <f t="shared" si="36"/>
        <v/>
      </c>
      <c r="AE228" s="1674" t="str">
        <f t="shared" si="37"/>
        <v/>
      </c>
      <c r="AF228" s="1657" t="str">
        <f t="shared" si="18"/>
        <v/>
      </c>
      <c r="AG228" s="1655" t="str">
        <f t="shared" si="38"/>
        <v/>
      </c>
      <c r="AH228" s="1665" t="str">
        <f t="shared" si="39"/>
        <v/>
      </c>
      <c r="AI228" s="1665" t="str">
        <f t="shared" si="40"/>
        <v/>
      </c>
      <c r="AJ228" s="1655" t="str">
        <f t="shared" si="41"/>
        <v/>
      </c>
      <c r="AK228" s="1659" t="str">
        <f t="shared" si="42"/>
        <v/>
      </c>
    </row>
    <row r="229" spans="1:37" x14ac:dyDescent="0.25">
      <c r="A229" s="1655" t="s">
        <v>1471</v>
      </c>
      <c r="B229" s="1655" t="str">
        <f>IF(BUILDING!D48="","",BUILDING!D48)</f>
        <v/>
      </c>
      <c r="C229" s="1655" t="str">
        <f>IF(BUILDING!E48="","",BUILDING!E48)</f>
        <v/>
      </c>
      <c r="D229" s="1655" t="str">
        <f>IF(BUILDING!F48="","",BUILDING!F48)</f>
        <v/>
      </c>
      <c r="E229" s="1655" t="str">
        <f>IF(BUILDING!G48="","",BUILDING!G48)</f>
        <v/>
      </c>
      <c r="F229" s="1674" t="str">
        <f>IF(BUILDING!C48="","",BUILDING!C48)</f>
        <v/>
      </c>
      <c r="G229" s="1655" t="str">
        <f>IF(BUILDING!H48="","",BUILDING!H48)</f>
        <v/>
      </c>
      <c r="H229" s="1655" t="str">
        <f>IF(BUILDING!I48="","",BUILDING!I48)</f>
        <v/>
      </c>
      <c r="I229" s="1659" t="str">
        <f>IF(BUILDING!K48="","",BUILDING!K48)</f>
        <v/>
      </c>
      <c r="J229" s="1659" t="str">
        <f>IF(BUILDING!L48="","",BUILDING!L48)</f>
        <v/>
      </c>
      <c r="K229" s="1675" t="str">
        <f>IF(BUILDING!N48=0,"",BUILDING!N48)</f>
        <v/>
      </c>
      <c r="L229" s="1674" t="str">
        <f>IF(BUILDING!O48="","",BUILDING!O48)</f>
        <v/>
      </c>
      <c r="M229" s="1655" t="str">
        <f>IF(BUILDING!P48="","",BUILDING!P48)</f>
        <v/>
      </c>
      <c r="O229" s="1655" t="s">
        <v>1472</v>
      </c>
      <c r="P229" s="1655" t="str">
        <f t="shared" si="25"/>
        <v/>
      </c>
      <c r="Q229" s="1655" t="str">
        <f t="shared" si="26"/>
        <v/>
      </c>
      <c r="R229" s="1655" t="str">
        <f t="shared" si="27"/>
        <v/>
      </c>
      <c r="T229" s="1655" t="s">
        <v>1473</v>
      </c>
      <c r="U229" s="1655" t="str">
        <f t="shared" si="28"/>
        <v/>
      </c>
      <c r="V229" s="1659" t="str">
        <f t="shared" si="29"/>
        <v/>
      </c>
      <c r="W229" s="1676" t="str">
        <f t="shared" si="29"/>
        <v/>
      </c>
      <c r="X229" s="1659" t="str">
        <f t="shared" si="30"/>
        <v/>
      </c>
      <c r="Y229" s="1674" t="str">
        <f t="shared" si="31"/>
        <v/>
      </c>
      <c r="Z229" s="1655" t="str">
        <f t="shared" si="32"/>
        <v/>
      </c>
      <c r="AA229" s="1655" t="str">
        <f t="shared" si="33"/>
        <v/>
      </c>
      <c r="AB229" s="1655" t="str">
        <f t="shared" si="34"/>
        <v/>
      </c>
      <c r="AC229" s="1655" t="str">
        <f t="shared" si="35"/>
        <v/>
      </c>
      <c r="AD229" s="1675" t="str">
        <f t="shared" si="36"/>
        <v/>
      </c>
      <c r="AE229" s="1674" t="str">
        <f t="shared" si="37"/>
        <v/>
      </c>
      <c r="AF229" s="1657" t="str">
        <f t="shared" si="18"/>
        <v/>
      </c>
      <c r="AG229" s="1655" t="str">
        <f t="shared" si="38"/>
        <v/>
      </c>
      <c r="AH229" s="1665" t="str">
        <f t="shared" si="39"/>
        <v/>
      </c>
      <c r="AI229" s="1665" t="str">
        <f t="shared" si="40"/>
        <v/>
      </c>
      <c r="AJ229" s="1655" t="str">
        <f t="shared" si="41"/>
        <v/>
      </c>
      <c r="AK229" s="1659" t="str">
        <f t="shared" si="42"/>
        <v/>
      </c>
    </row>
    <row r="230" spans="1:37" x14ac:dyDescent="0.25">
      <c r="A230" s="1655" t="s">
        <v>1471</v>
      </c>
      <c r="B230" s="1655" t="str">
        <f>IF(BUILDING!D49="","",BUILDING!D49)</f>
        <v/>
      </c>
      <c r="C230" s="1655" t="str">
        <f>IF(BUILDING!E49="","",BUILDING!E49)</f>
        <v/>
      </c>
      <c r="D230" s="1655" t="str">
        <f>IF(BUILDING!F49="","",BUILDING!F49)</f>
        <v/>
      </c>
      <c r="E230" s="1655" t="str">
        <f>IF(BUILDING!G49="","",BUILDING!G49)</f>
        <v/>
      </c>
      <c r="F230" s="1674" t="str">
        <f>IF(BUILDING!C49="","",BUILDING!C49)</f>
        <v/>
      </c>
      <c r="G230" s="1655" t="str">
        <f>IF(BUILDING!H49="","",BUILDING!H49)</f>
        <v/>
      </c>
      <c r="H230" s="1655" t="str">
        <f>IF(BUILDING!I49="","",BUILDING!I49)</f>
        <v/>
      </c>
      <c r="I230" s="1659" t="str">
        <f>IF(BUILDING!K49="","",BUILDING!K49)</f>
        <v/>
      </c>
      <c r="J230" s="1659" t="str">
        <f>IF(BUILDING!L49="","",BUILDING!L49)</f>
        <v/>
      </c>
      <c r="K230" s="1675" t="str">
        <f>IF(BUILDING!N49=0,"",BUILDING!N49)</f>
        <v/>
      </c>
      <c r="L230" s="1674" t="str">
        <f>IF(BUILDING!O49="","",BUILDING!O49)</f>
        <v/>
      </c>
      <c r="M230" s="1655" t="str">
        <f>IF(BUILDING!P49="","",BUILDING!P49)</f>
        <v/>
      </c>
      <c r="O230" s="1655" t="s">
        <v>1472</v>
      </c>
      <c r="P230" s="1655" t="str">
        <f t="shared" si="25"/>
        <v/>
      </c>
      <c r="Q230" s="1655" t="str">
        <f t="shared" si="26"/>
        <v/>
      </c>
      <c r="R230" s="1655" t="str">
        <f t="shared" si="27"/>
        <v/>
      </c>
      <c r="T230" s="1655" t="s">
        <v>1473</v>
      </c>
      <c r="U230" s="1655" t="str">
        <f t="shared" si="28"/>
        <v/>
      </c>
      <c r="V230" s="1659" t="str">
        <f t="shared" si="29"/>
        <v/>
      </c>
      <c r="W230" s="1676" t="str">
        <f t="shared" si="29"/>
        <v/>
      </c>
      <c r="X230" s="1659" t="str">
        <f t="shared" si="30"/>
        <v/>
      </c>
      <c r="Y230" s="1674" t="str">
        <f t="shared" si="31"/>
        <v/>
      </c>
      <c r="Z230" s="1655" t="str">
        <f t="shared" si="32"/>
        <v/>
      </c>
      <c r="AA230" s="1655" t="str">
        <f t="shared" si="33"/>
        <v/>
      </c>
      <c r="AB230" s="1655" t="str">
        <f t="shared" si="34"/>
        <v/>
      </c>
      <c r="AC230" s="1655" t="str">
        <f t="shared" si="35"/>
        <v/>
      </c>
      <c r="AD230" s="1675" t="str">
        <f t="shared" si="36"/>
        <v/>
      </c>
      <c r="AE230" s="1674" t="str">
        <f t="shared" si="37"/>
        <v/>
      </c>
      <c r="AF230" s="1657" t="str">
        <f t="shared" si="18"/>
        <v/>
      </c>
      <c r="AG230" s="1655" t="str">
        <f t="shared" si="38"/>
        <v/>
      </c>
      <c r="AH230" s="1665" t="str">
        <f t="shared" si="39"/>
        <v/>
      </c>
      <c r="AI230" s="1665" t="str">
        <f t="shared" si="40"/>
        <v/>
      </c>
      <c r="AJ230" s="1655" t="str">
        <f t="shared" si="41"/>
        <v/>
      </c>
      <c r="AK230" s="1659" t="str">
        <f t="shared" si="42"/>
        <v/>
      </c>
    </row>
    <row r="231" spans="1:37" x14ac:dyDescent="0.25">
      <c r="A231" s="1655" t="s">
        <v>1471</v>
      </c>
      <c r="B231" s="1655" t="str">
        <f>IF(BUILDING!D50="","",BUILDING!D50)</f>
        <v/>
      </c>
      <c r="C231" s="1655" t="str">
        <f>IF(BUILDING!E50="","",BUILDING!E50)</f>
        <v/>
      </c>
      <c r="D231" s="1655" t="str">
        <f>IF(BUILDING!F50="","",BUILDING!F50)</f>
        <v/>
      </c>
      <c r="E231" s="1655" t="str">
        <f>IF(BUILDING!G50="","",BUILDING!G50)</f>
        <v/>
      </c>
      <c r="F231" s="1674" t="str">
        <f>IF(BUILDING!C50="","",BUILDING!C50)</f>
        <v/>
      </c>
      <c r="G231" s="1655" t="str">
        <f>IF(BUILDING!H50="","",BUILDING!H50)</f>
        <v/>
      </c>
      <c r="H231" s="1655" t="str">
        <f>IF(BUILDING!I50="","",BUILDING!I50)</f>
        <v/>
      </c>
      <c r="I231" s="1659" t="str">
        <f>IF(BUILDING!K50="","",BUILDING!K50)</f>
        <v/>
      </c>
      <c r="J231" s="1659" t="str">
        <f>IF(BUILDING!L50="","",BUILDING!L50)</f>
        <v/>
      </c>
      <c r="K231" s="1675" t="str">
        <f>IF(BUILDING!N50=0,"",BUILDING!N50)</f>
        <v/>
      </c>
      <c r="L231" s="1674" t="str">
        <f>IF(BUILDING!O50="","",BUILDING!O50)</f>
        <v/>
      </c>
      <c r="M231" s="1655" t="str">
        <f>IF(BUILDING!P50="","",BUILDING!P50)</f>
        <v/>
      </c>
      <c r="O231" s="1655" t="s">
        <v>1472</v>
      </c>
      <c r="P231" s="1655" t="str">
        <f t="shared" si="25"/>
        <v/>
      </c>
      <c r="Q231" s="1655" t="str">
        <f t="shared" si="26"/>
        <v/>
      </c>
      <c r="R231" s="1655" t="str">
        <f t="shared" si="27"/>
        <v/>
      </c>
      <c r="T231" s="1655" t="s">
        <v>1473</v>
      </c>
      <c r="U231" s="1655" t="str">
        <f t="shared" si="28"/>
        <v/>
      </c>
      <c r="V231" s="1659" t="str">
        <f t="shared" si="29"/>
        <v/>
      </c>
      <c r="W231" s="1676" t="str">
        <f t="shared" si="29"/>
        <v/>
      </c>
      <c r="X231" s="1659" t="str">
        <f t="shared" si="30"/>
        <v/>
      </c>
      <c r="Y231" s="1674" t="str">
        <f t="shared" si="31"/>
        <v/>
      </c>
      <c r="Z231" s="1655" t="str">
        <f t="shared" si="32"/>
        <v/>
      </c>
      <c r="AA231" s="1655" t="str">
        <f t="shared" si="33"/>
        <v/>
      </c>
      <c r="AB231" s="1655" t="str">
        <f t="shared" si="34"/>
        <v/>
      </c>
      <c r="AC231" s="1655" t="str">
        <f t="shared" si="35"/>
        <v/>
      </c>
      <c r="AD231" s="1675" t="str">
        <f t="shared" si="36"/>
        <v/>
      </c>
      <c r="AE231" s="1674" t="str">
        <f t="shared" si="37"/>
        <v/>
      </c>
      <c r="AF231" s="1657" t="str">
        <f t="shared" si="18"/>
        <v/>
      </c>
      <c r="AG231" s="1655" t="str">
        <f t="shared" si="38"/>
        <v/>
      </c>
      <c r="AH231" s="1665" t="str">
        <f t="shared" si="39"/>
        <v/>
      </c>
      <c r="AI231" s="1665" t="str">
        <f t="shared" si="40"/>
        <v/>
      </c>
      <c r="AJ231" s="1655" t="str">
        <f t="shared" si="41"/>
        <v/>
      </c>
      <c r="AK231" s="1659" t="str">
        <f t="shared" si="42"/>
        <v/>
      </c>
    </row>
    <row r="232" spans="1:37" x14ac:dyDescent="0.25">
      <c r="A232" s="1655" t="s">
        <v>1471</v>
      </c>
      <c r="B232" s="1655" t="str">
        <f>IF(BUILDING!D51="","",BUILDING!D51)</f>
        <v/>
      </c>
      <c r="C232" s="1655" t="str">
        <f>IF(BUILDING!E51="","",BUILDING!E51)</f>
        <v/>
      </c>
      <c r="D232" s="1655" t="str">
        <f>IF(BUILDING!F51="","",BUILDING!F51)</f>
        <v/>
      </c>
      <c r="E232" s="1655" t="str">
        <f>IF(BUILDING!G51="","",BUILDING!G51)</f>
        <v/>
      </c>
      <c r="F232" s="1674" t="str">
        <f>IF(BUILDING!C51="","",BUILDING!C51)</f>
        <v/>
      </c>
      <c r="G232" s="1655" t="str">
        <f>IF(BUILDING!H51="","",BUILDING!H51)</f>
        <v/>
      </c>
      <c r="H232" s="1655" t="str">
        <f>IF(BUILDING!I51="","",BUILDING!I51)</f>
        <v/>
      </c>
      <c r="I232" s="1659" t="str">
        <f>IF(BUILDING!K51="","",BUILDING!K51)</f>
        <v/>
      </c>
      <c r="J232" s="1659" t="str">
        <f>IF(BUILDING!L51="","",BUILDING!L51)</f>
        <v/>
      </c>
      <c r="K232" s="1675" t="str">
        <f>IF(BUILDING!N51=0,"",BUILDING!N51)</f>
        <v/>
      </c>
      <c r="L232" s="1674" t="str">
        <f>IF(BUILDING!O51="","",BUILDING!O51)</f>
        <v/>
      </c>
      <c r="M232" s="1655" t="str">
        <f>IF(BUILDING!P51="","",BUILDING!P51)</f>
        <v/>
      </c>
      <c r="O232" s="1655" t="s">
        <v>1472</v>
      </c>
      <c r="P232" s="1655" t="str">
        <f t="shared" si="25"/>
        <v/>
      </c>
      <c r="Q232" s="1655" t="str">
        <f t="shared" si="26"/>
        <v/>
      </c>
      <c r="R232" s="1655" t="str">
        <f t="shared" si="27"/>
        <v/>
      </c>
      <c r="T232" s="1655" t="s">
        <v>1473</v>
      </c>
      <c r="U232" s="1655" t="str">
        <f t="shared" si="28"/>
        <v/>
      </c>
      <c r="V232" s="1659" t="str">
        <f t="shared" si="29"/>
        <v/>
      </c>
      <c r="W232" s="1676" t="str">
        <f t="shared" si="29"/>
        <v/>
      </c>
      <c r="X232" s="1659" t="str">
        <f t="shared" si="30"/>
        <v/>
      </c>
      <c r="Y232" s="1674" t="str">
        <f t="shared" si="31"/>
        <v/>
      </c>
      <c r="Z232" s="1655" t="str">
        <f t="shared" si="32"/>
        <v/>
      </c>
      <c r="AA232" s="1655" t="str">
        <f t="shared" si="33"/>
        <v/>
      </c>
      <c r="AB232" s="1655" t="str">
        <f t="shared" si="34"/>
        <v/>
      </c>
      <c r="AC232" s="1655" t="str">
        <f t="shared" si="35"/>
        <v/>
      </c>
      <c r="AD232" s="1675" t="str">
        <f t="shared" si="36"/>
        <v/>
      </c>
      <c r="AE232" s="1674" t="str">
        <f t="shared" si="37"/>
        <v/>
      </c>
      <c r="AF232" s="1657" t="str">
        <f t="shared" si="18"/>
        <v/>
      </c>
      <c r="AG232" s="1655" t="str">
        <f t="shared" si="38"/>
        <v/>
      </c>
      <c r="AH232" s="1665" t="str">
        <f t="shared" si="39"/>
        <v/>
      </c>
      <c r="AI232" s="1665" t="str">
        <f t="shared" si="40"/>
        <v/>
      </c>
      <c r="AJ232" s="1655" t="str">
        <f t="shared" si="41"/>
        <v/>
      </c>
      <c r="AK232" s="1659" t="str">
        <f t="shared" si="42"/>
        <v/>
      </c>
    </row>
    <row r="233" spans="1:37" x14ac:dyDescent="0.25">
      <c r="A233" s="1655" t="s">
        <v>1471</v>
      </c>
      <c r="B233" s="1655" t="str">
        <f>IF(BUILDING!D52="","",BUILDING!D52)</f>
        <v/>
      </c>
      <c r="C233" s="1655" t="str">
        <f>IF(BUILDING!E52="","",BUILDING!E52)</f>
        <v/>
      </c>
      <c r="D233" s="1655" t="str">
        <f>IF(BUILDING!F52="","",BUILDING!F52)</f>
        <v/>
      </c>
      <c r="E233" s="1655" t="str">
        <f>IF(BUILDING!G52="","",BUILDING!G52)</f>
        <v/>
      </c>
      <c r="F233" s="1674" t="str">
        <f>IF(BUILDING!C52="","",BUILDING!C52)</f>
        <v/>
      </c>
      <c r="G233" s="1655" t="str">
        <f>IF(BUILDING!H52="","",BUILDING!H52)</f>
        <v/>
      </c>
      <c r="H233" s="1655" t="str">
        <f>IF(BUILDING!I52="","",BUILDING!I52)</f>
        <v/>
      </c>
      <c r="I233" s="1659" t="str">
        <f>IF(BUILDING!K52="","",BUILDING!K52)</f>
        <v/>
      </c>
      <c r="J233" s="1659" t="str">
        <f>IF(BUILDING!L52="","",BUILDING!L52)</f>
        <v/>
      </c>
      <c r="K233" s="1675" t="str">
        <f>IF(BUILDING!N52=0,"",BUILDING!N52)</f>
        <v/>
      </c>
      <c r="L233" s="1674" t="str">
        <f>IF(BUILDING!O52="","",BUILDING!O52)</f>
        <v/>
      </c>
      <c r="M233" s="1655" t="str">
        <f>IF(BUILDING!P52="","",BUILDING!P52)</f>
        <v/>
      </c>
      <c r="O233" s="1655" t="s">
        <v>1472</v>
      </c>
      <c r="P233" s="1655" t="str">
        <f t="shared" si="25"/>
        <v/>
      </c>
      <c r="Q233" s="1655" t="str">
        <f t="shared" si="26"/>
        <v/>
      </c>
      <c r="R233" s="1655" t="str">
        <f t="shared" si="27"/>
        <v/>
      </c>
      <c r="T233" s="1655" t="s">
        <v>1473</v>
      </c>
      <c r="U233" s="1655" t="str">
        <f t="shared" si="28"/>
        <v/>
      </c>
      <c r="V233" s="1659" t="str">
        <f t="shared" si="29"/>
        <v/>
      </c>
      <c r="W233" s="1676" t="str">
        <f t="shared" si="29"/>
        <v/>
      </c>
      <c r="X233" s="1659" t="str">
        <f t="shared" si="30"/>
        <v/>
      </c>
      <c r="Y233" s="1674" t="str">
        <f t="shared" si="31"/>
        <v/>
      </c>
      <c r="Z233" s="1655" t="str">
        <f t="shared" si="32"/>
        <v/>
      </c>
      <c r="AA233" s="1655" t="str">
        <f t="shared" si="33"/>
        <v/>
      </c>
      <c r="AB233" s="1655" t="str">
        <f t="shared" si="34"/>
        <v/>
      </c>
      <c r="AC233" s="1655" t="str">
        <f t="shared" si="35"/>
        <v/>
      </c>
      <c r="AD233" s="1675" t="str">
        <f t="shared" si="36"/>
        <v/>
      </c>
      <c r="AE233" s="1674" t="str">
        <f t="shared" si="37"/>
        <v/>
      </c>
      <c r="AF233" s="1657" t="str">
        <f t="shared" si="18"/>
        <v/>
      </c>
      <c r="AG233" s="1655" t="str">
        <f t="shared" si="38"/>
        <v/>
      </c>
      <c r="AH233" s="1665" t="str">
        <f t="shared" si="39"/>
        <v/>
      </c>
      <c r="AI233" s="1665" t="str">
        <f t="shared" si="40"/>
        <v/>
      </c>
      <c r="AJ233" s="1655" t="str">
        <f t="shared" si="41"/>
        <v/>
      </c>
      <c r="AK233" s="1659" t="str">
        <f t="shared" si="42"/>
        <v/>
      </c>
    </row>
    <row r="234" spans="1:37" x14ac:dyDescent="0.25">
      <c r="A234" s="1655" t="s">
        <v>1471</v>
      </c>
      <c r="B234" s="1655" t="str">
        <f>IF(BUILDING!D53="","",BUILDING!D53)</f>
        <v/>
      </c>
      <c r="C234" s="1655" t="str">
        <f>IF(BUILDING!E53="","",BUILDING!E53)</f>
        <v/>
      </c>
      <c r="D234" s="1655" t="str">
        <f>IF(BUILDING!F53="","",BUILDING!F53)</f>
        <v/>
      </c>
      <c r="E234" s="1655" t="str">
        <f>IF(BUILDING!G53="","",BUILDING!G53)</f>
        <v/>
      </c>
      <c r="F234" s="1674" t="str">
        <f>IF(BUILDING!C53="","",BUILDING!C53)</f>
        <v/>
      </c>
      <c r="G234" s="1655" t="str">
        <f>IF(BUILDING!H53="","",BUILDING!H53)</f>
        <v/>
      </c>
      <c r="H234" s="1655" t="str">
        <f>IF(BUILDING!I53="","",BUILDING!I53)</f>
        <v/>
      </c>
      <c r="I234" s="1659" t="str">
        <f>IF(BUILDING!K53="","",BUILDING!K53)</f>
        <v/>
      </c>
      <c r="J234" s="1659" t="str">
        <f>IF(BUILDING!L53="","",BUILDING!L53)</f>
        <v/>
      </c>
      <c r="K234" s="1675" t="str">
        <f>IF(BUILDING!N53=0,"",BUILDING!N53)</f>
        <v/>
      </c>
      <c r="L234" s="1674" t="str">
        <f>IF(BUILDING!O53="","",BUILDING!O53)</f>
        <v/>
      </c>
      <c r="M234" s="1655" t="str">
        <f>IF(BUILDING!P53="","",BUILDING!P53)</f>
        <v/>
      </c>
      <c r="O234" s="1655" t="s">
        <v>1472</v>
      </c>
      <c r="P234" s="1655" t="str">
        <f t="shared" si="25"/>
        <v/>
      </c>
      <c r="Q234" s="1655" t="str">
        <f t="shared" si="26"/>
        <v/>
      </c>
      <c r="R234" s="1655" t="str">
        <f t="shared" si="27"/>
        <v/>
      </c>
      <c r="T234" s="1655" t="s">
        <v>1473</v>
      </c>
      <c r="U234" s="1655" t="str">
        <f t="shared" si="28"/>
        <v/>
      </c>
      <c r="V234" s="1659" t="str">
        <f t="shared" si="29"/>
        <v/>
      </c>
      <c r="W234" s="1676" t="str">
        <f t="shared" si="29"/>
        <v/>
      </c>
      <c r="X234" s="1659" t="str">
        <f t="shared" si="30"/>
        <v/>
      </c>
      <c r="Y234" s="1674" t="str">
        <f t="shared" si="31"/>
        <v/>
      </c>
      <c r="Z234" s="1655" t="str">
        <f t="shared" si="32"/>
        <v/>
      </c>
      <c r="AA234" s="1655" t="str">
        <f t="shared" si="33"/>
        <v/>
      </c>
      <c r="AB234" s="1655" t="str">
        <f t="shared" si="34"/>
        <v/>
      </c>
      <c r="AC234" s="1655" t="str">
        <f t="shared" si="35"/>
        <v/>
      </c>
      <c r="AD234" s="1675" t="str">
        <f t="shared" si="36"/>
        <v/>
      </c>
      <c r="AE234" s="1674" t="str">
        <f t="shared" si="37"/>
        <v/>
      </c>
      <c r="AF234" s="1657" t="str">
        <f t="shared" si="18"/>
        <v/>
      </c>
      <c r="AG234" s="1655" t="str">
        <f t="shared" si="38"/>
        <v/>
      </c>
      <c r="AH234" s="1665" t="str">
        <f t="shared" si="39"/>
        <v/>
      </c>
      <c r="AI234" s="1665" t="str">
        <f t="shared" si="40"/>
        <v/>
      </c>
      <c r="AJ234" s="1655" t="str">
        <f t="shared" si="41"/>
        <v/>
      </c>
      <c r="AK234" s="1659" t="str">
        <f t="shared" si="42"/>
        <v/>
      </c>
    </row>
    <row r="235" spans="1:37" x14ac:dyDescent="0.25">
      <c r="A235" s="1655" t="s">
        <v>1471</v>
      </c>
      <c r="B235" s="1655" t="str">
        <f>IF(BUILDING!D54="","",BUILDING!D54)</f>
        <v/>
      </c>
      <c r="C235" s="1655" t="str">
        <f>IF(BUILDING!E54="","",BUILDING!E54)</f>
        <v/>
      </c>
      <c r="D235" s="1655" t="str">
        <f>IF(BUILDING!F54="","",BUILDING!F54)</f>
        <v/>
      </c>
      <c r="E235" s="1655" t="str">
        <f>IF(BUILDING!G54="","",BUILDING!G54)</f>
        <v/>
      </c>
      <c r="F235" s="1674" t="str">
        <f>IF(BUILDING!C54="","",BUILDING!C54)</f>
        <v/>
      </c>
      <c r="G235" s="1655" t="str">
        <f>IF(BUILDING!H54="","",BUILDING!H54)</f>
        <v/>
      </c>
      <c r="H235" s="1655" t="str">
        <f>IF(BUILDING!I54="","",BUILDING!I54)</f>
        <v/>
      </c>
      <c r="I235" s="1659" t="str">
        <f>IF(BUILDING!K54="","",BUILDING!K54)</f>
        <v/>
      </c>
      <c r="J235" s="1659" t="str">
        <f>IF(BUILDING!L54="","",BUILDING!L54)</f>
        <v/>
      </c>
      <c r="K235" s="1675" t="str">
        <f>IF(BUILDING!N54=0,"",BUILDING!N54)</f>
        <v/>
      </c>
      <c r="L235" s="1674" t="str">
        <f>IF(BUILDING!O54="","",BUILDING!O54)</f>
        <v/>
      </c>
      <c r="M235" s="1655" t="str">
        <f>IF(BUILDING!P54="","",BUILDING!P54)</f>
        <v/>
      </c>
      <c r="O235" s="1655" t="s">
        <v>1472</v>
      </c>
      <c r="P235" s="1655" t="str">
        <f t="shared" si="25"/>
        <v/>
      </c>
      <c r="Q235" s="1655" t="str">
        <f t="shared" si="26"/>
        <v/>
      </c>
      <c r="R235" s="1655" t="str">
        <f t="shared" si="27"/>
        <v/>
      </c>
      <c r="T235" s="1655" t="s">
        <v>1473</v>
      </c>
      <c r="U235" s="1655" t="str">
        <f t="shared" si="28"/>
        <v/>
      </c>
      <c r="V235" s="1659" t="str">
        <f t="shared" si="29"/>
        <v/>
      </c>
      <c r="W235" s="1676" t="str">
        <f t="shared" si="29"/>
        <v/>
      </c>
      <c r="X235" s="1659" t="str">
        <f t="shared" si="30"/>
        <v/>
      </c>
      <c r="Y235" s="1674" t="str">
        <f t="shared" si="31"/>
        <v/>
      </c>
      <c r="Z235" s="1655" t="str">
        <f t="shared" si="32"/>
        <v/>
      </c>
      <c r="AA235" s="1655" t="str">
        <f t="shared" si="33"/>
        <v/>
      </c>
      <c r="AB235" s="1655" t="str">
        <f t="shared" si="34"/>
        <v/>
      </c>
      <c r="AC235" s="1655" t="str">
        <f t="shared" si="35"/>
        <v/>
      </c>
      <c r="AD235" s="1675" t="str">
        <f t="shared" si="36"/>
        <v/>
      </c>
      <c r="AE235" s="1674" t="str">
        <f t="shared" si="37"/>
        <v/>
      </c>
      <c r="AF235" s="1657" t="str">
        <f t="shared" si="18"/>
        <v/>
      </c>
      <c r="AG235" s="1655" t="str">
        <f t="shared" si="38"/>
        <v/>
      </c>
      <c r="AH235" s="1665" t="str">
        <f t="shared" si="39"/>
        <v/>
      </c>
      <c r="AI235" s="1665" t="str">
        <f t="shared" si="40"/>
        <v/>
      </c>
      <c r="AJ235" s="1655" t="str">
        <f t="shared" si="41"/>
        <v/>
      </c>
      <c r="AK235" s="1659" t="str">
        <f t="shared" si="42"/>
        <v/>
      </c>
    </row>
    <row r="236" spans="1:37" x14ac:dyDescent="0.25">
      <c r="A236" s="1655" t="s">
        <v>1471</v>
      </c>
      <c r="B236" s="1655" t="str">
        <f>IF(BUILDING!D55="","",BUILDING!D55)</f>
        <v/>
      </c>
      <c r="C236" s="1655" t="str">
        <f>IF(BUILDING!E55="","",BUILDING!E55)</f>
        <v/>
      </c>
      <c r="D236" s="1655" t="str">
        <f>IF(BUILDING!F55="","",BUILDING!F55)</f>
        <v/>
      </c>
      <c r="E236" s="1655" t="str">
        <f>IF(BUILDING!G55="","",BUILDING!G55)</f>
        <v/>
      </c>
      <c r="F236" s="1674" t="str">
        <f>IF(BUILDING!C55="","",BUILDING!C55)</f>
        <v/>
      </c>
      <c r="G236" s="1655" t="str">
        <f>IF(BUILDING!H55="","",BUILDING!H55)</f>
        <v/>
      </c>
      <c r="H236" s="1655" t="str">
        <f>IF(BUILDING!I55="","",BUILDING!I55)</f>
        <v/>
      </c>
      <c r="I236" s="1659" t="str">
        <f>IF(BUILDING!K55="","",BUILDING!K55)</f>
        <v/>
      </c>
      <c r="J236" s="1659" t="str">
        <f>IF(BUILDING!L55="","",BUILDING!L55)</f>
        <v/>
      </c>
      <c r="K236" s="1675" t="str">
        <f>IF(BUILDING!N55=0,"",BUILDING!N55)</f>
        <v/>
      </c>
      <c r="L236" s="1674" t="str">
        <f>IF(BUILDING!O55="","",BUILDING!O55)</f>
        <v/>
      </c>
      <c r="M236" s="1655" t="str">
        <f>IF(BUILDING!P55="","",BUILDING!P55)</f>
        <v/>
      </c>
      <c r="O236" s="1655" t="s">
        <v>1472</v>
      </c>
      <c r="P236" s="1655" t="str">
        <f t="shared" si="25"/>
        <v/>
      </c>
      <c r="Q236" s="1655" t="str">
        <f t="shared" si="26"/>
        <v/>
      </c>
      <c r="R236" s="1655" t="str">
        <f t="shared" si="27"/>
        <v/>
      </c>
      <c r="T236" s="1655" t="s">
        <v>1473</v>
      </c>
      <c r="U236" s="1655" t="str">
        <f t="shared" si="28"/>
        <v/>
      </c>
      <c r="V236" s="1659" t="str">
        <f t="shared" si="29"/>
        <v/>
      </c>
      <c r="W236" s="1676" t="str">
        <f t="shared" si="29"/>
        <v/>
      </c>
      <c r="X236" s="1659" t="str">
        <f t="shared" si="30"/>
        <v/>
      </c>
      <c r="Y236" s="1674" t="str">
        <f t="shared" si="31"/>
        <v/>
      </c>
      <c r="Z236" s="1655" t="str">
        <f t="shared" si="32"/>
        <v/>
      </c>
      <c r="AA236" s="1655" t="str">
        <f t="shared" si="33"/>
        <v/>
      </c>
      <c r="AB236" s="1655" t="str">
        <f t="shared" si="34"/>
        <v/>
      </c>
      <c r="AC236" s="1655" t="str">
        <f t="shared" si="35"/>
        <v/>
      </c>
      <c r="AD236" s="1675" t="str">
        <f t="shared" si="36"/>
        <v/>
      </c>
      <c r="AE236" s="1674" t="str">
        <f t="shared" si="37"/>
        <v/>
      </c>
      <c r="AF236" s="1657" t="str">
        <f t="shared" si="18"/>
        <v/>
      </c>
      <c r="AG236" s="1655" t="str">
        <f t="shared" si="38"/>
        <v/>
      </c>
      <c r="AH236" s="1665" t="str">
        <f t="shared" si="39"/>
        <v/>
      </c>
      <c r="AI236" s="1665" t="str">
        <f t="shared" si="40"/>
        <v/>
      </c>
      <c r="AJ236" s="1655" t="str">
        <f t="shared" si="41"/>
        <v/>
      </c>
      <c r="AK236" s="1659" t="str">
        <f t="shared" si="42"/>
        <v/>
      </c>
    </row>
    <row r="237" spans="1:37" x14ac:dyDescent="0.25">
      <c r="A237" s="1655" t="s">
        <v>1471</v>
      </c>
      <c r="B237" s="1655" t="str">
        <f>IF(BUILDING!D56="","",BUILDING!D56)</f>
        <v/>
      </c>
      <c r="C237" s="1655" t="str">
        <f>IF(BUILDING!E56="","",BUILDING!E56)</f>
        <v/>
      </c>
      <c r="D237" s="1655" t="str">
        <f>IF(BUILDING!F56="","",BUILDING!F56)</f>
        <v/>
      </c>
      <c r="E237" s="1655" t="str">
        <f>IF(BUILDING!G56="","",BUILDING!G56)</f>
        <v/>
      </c>
      <c r="F237" s="1674" t="str">
        <f>IF(BUILDING!C56="","",BUILDING!C56)</f>
        <v/>
      </c>
      <c r="G237" s="1655" t="str">
        <f>IF(BUILDING!H56="","",BUILDING!H56)</f>
        <v/>
      </c>
      <c r="H237" s="1655" t="str">
        <f>IF(BUILDING!I56="","",BUILDING!I56)</f>
        <v/>
      </c>
      <c r="I237" s="1659" t="str">
        <f>IF(BUILDING!K56="","",BUILDING!K56)</f>
        <v/>
      </c>
      <c r="J237" s="1659" t="str">
        <f>IF(BUILDING!L56="","",BUILDING!L56)</f>
        <v/>
      </c>
      <c r="K237" s="1675" t="str">
        <f>IF(BUILDING!N56=0,"",BUILDING!N56)</f>
        <v/>
      </c>
      <c r="L237" s="1674" t="str">
        <f>IF(BUILDING!O56="","",BUILDING!O56)</f>
        <v/>
      </c>
      <c r="M237" s="1655" t="str">
        <f>IF(BUILDING!P56="","",BUILDING!P56)</f>
        <v/>
      </c>
      <c r="O237" s="1655" t="s">
        <v>1472</v>
      </c>
      <c r="P237" s="1655" t="str">
        <f t="shared" si="25"/>
        <v/>
      </c>
      <c r="Q237" s="1655" t="str">
        <f t="shared" si="26"/>
        <v/>
      </c>
      <c r="R237" s="1655" t="str">
        <f t="shared" si="27"/>
        <v/>
      </c>
      <c r="T237" s="1655" t="s">
        <v>1473</v>
      </c>
      <c r="U237" s="1655" t="str">
        <f t="shared" si="28"/>
        <v/>
      </c>
      <c r="V237" s="1659" t="str">
        <f t="shared" si="29"/>
        <v/>
      </c>
      <c r="W237" s="1676" t="str">
        <f t="shared" si="29"/>
        <v/>
      </c>
      <c r="X237" s="1659" t="str">
        <f t="shared" si="30"/>
        <v/>
      </c>
      <c r="Y237" s="1674" t="str">
        <f t="shared" si="31"/>
        <v/>
      </c>
      <c r="Z237" s="1655" t="str">
        <f t="shared" si="32"/>
        <v/>
      </c>
      <c r="AA237" s="1655" t="str">
        <f t="shared" si="33"/>
        <v/>
      </c>
      <c r="AB237" s="1655" t="str">
        <f t="shared" si="34"/>
        <v/>
      </c>
      <c r="AC237" s="1655" t="str">
        <f t="shared" si="35"/>
        <v/>
      </c>
      <c r="AD237" s="1675" t="str">
        <f t="shared" si="36"/>
        <v/>
      </c>
      <c r="AE237" s="1674" t="str">
        <f t="shared" si="37"/>
        <v/>
      </c>
      <c r="AF237" s="1657" t="str">
        <f t="shared" si="18"/>
        <v/>
      </c>
      <c r="AG237" s="1655" t="str">
        <f t="shared" si="38"/>
        <v/>
      </c>
      <c r="AH237" s="1665" t="str">
        <f t="shared" si="39"/>
        <v/>
      </c>
      <c r="AI237" s="1665" t="str">
        <f t="shared" si="40"/>
        <v/>
      </c>
      <c r="AJ237" s="1655" t="str">
        <f t="shared" si="41"/>
        <v/>
      </c>
      <c r="AK237" s="1659" t="str">
        <f t="shared" si="42"/>
        <v/>
      </c>
    </row>
    <row r="238" spans="1:37" x14ac:dyDescent="0.25">
      <c r="A238" s="1655" t="s">
        <v>1471</v>
      </c>
      <c r="B238" s="1655" t="str">
        <f>IF(BUILDING!D57="","",BUILDING!D57)</f>
        <v/>
      </c>
      <c r="C238" s="1655" t="str">
        <f>IF(BUILDING!E57="","",BUILDING!E57)</f>
        <v/>
      </c>
      <c r="D238" s="1655" t="str">
        <f>IF(BUILDING!F57="","",BUILDING!F57)</f>
        <v/>
      </c>
      <c r="E238" s="1655" t="str">
        <f>IF(BUILDING!G57="","",BUILDING!G57)</f>
        <v/>
      </c>
      <c r="F238" s="1674" t="str">
        <f>IF(BUILDING!C57="","",BUILDING!C57)</f>
        <v/>
      </c>
      <c r="G238" s="1655" t="str">
        <f>IF(BUILDING!H57="","",BUILDING!H57)</f>
        <v/>
      </c>
      <c r="H238" s="1655" t="str">
        <f>IF(BUILDING!I57="","",BUILDING!I57)</f>
        <v/>
      </c>
      <c r="I238" s="1659" t="str">
        <f>IF(BUILDING!K57="","",BUILDING!K57)</f>
        <v/>
      </c>
      <c r="J238" s="1659" t="str">
        <f>IF(BUILDING!L57="","",BUILDING!L57)</f>
        <v/>
      </c>
      <c r="K238" s="1675" t="str">
        <f>IF(BUILDING!N57=0,"",BUILDING!N57)</f>
        <v/>
      </c>
      <c r="L238" s="1674" t="str">
        <f>IF(BUILDING!O57="","",BUILDING!O57)</f>
        <v/>
      </c>
      <c r="M238" s="1655" t="str">
        <f>IF(BUILDING!P57="","",BUILDING!P57)</f>
        <v/>
      </c>
      <c r="O238" s="1655" t="s">
        <v>1472</v>
      </c>
      <c r="P238" s="1655" t="str">
        <f t="shared" si="25"/>
        <v/>
      </c>
      <c r="Q238" s="1655" t="str">
        <f t="shared" si="26"/>
        <v/>
      </c>
      <c r="R238" s="1655" t="str">
        <f t="shared" si="27"/>
        <v/>
      </c>
      <c r="T238" s="1655" t="s">
        <v>1473</v>
      </c>
      <c r="U238" s="1655" t="str">
        <f t="shared" si="28"/>
        <v/>
      </c>
      <c r="V238" s="1659" t="str">
        <f t="shared" si="29"/>
        <v/>
      </c>
      <c r="W238" s="1676" t="str">
        <f t="shared" si="29"/>
        <v/>
      </c>
      <c r="X238" s="1659" t="str">
        <f t="shared" si="30"/>
        <v/>
      </c>
      <c r="Y238" s="1674" t="str">
        <f t="shared" si="31"/>
        <v/>
      </c>
      <c r="Z238" s="1655" t="str">
        <f t="shared" si="32"/>
        <v/>
      </c>
      <c r="AA238" s="1655" t="str">
        <f t="shared" si="33"/>
        <v/>
      </c>
      <c r="AB238" s="1655" t="str">
        <f t="shared" si="34"/>
        <v/>
      </c>
      <c r="AC238" s="1655" t="str">
        <f t="shared" si="35"/>
        <v/>
      </c>
      <c r="AD238" s="1675" t="str">
        <f t="shared" si="36"/>
        <v/>
      </c>
      <c r="AE238" s="1674" t="str">
        <f t="shared" si="37"/>
        <v/>
      </c>
      <c r="AF238" s="1657" t="str">
        <f t="shared" si="18"/>
        <v/>
      </c>
      <c r="AG238" s="1655" t="str">
        <f t="shared" si="38"/>
        <v/>
      </c>
      <c r="AH238" s="1665" t="str">
        <f t="shared" si="39"/>
        <v/>
      </c>
      <c r="AI238" s="1665" t="str">
        <f t="shared" si="40"/>
        <v/>
      </c>
      <c r="AJ238" s="1655" t="str">
        <f t="shared" si="41"/>
        <v/>
      </c>
      <c r="AK238" s="1659" t="str">
        <f t="shared" si="42"/>
        <v/>
      </c>
    </row>
    <row r="239" spans="1:37" x14ac:dyDescent="0.25">
      <c r="A239" s="1655" t="s">
        <v>1471</v>
      </c>
      <c r="B239" s="1655" t="str">
        <f>IF(BUILDING!D58="","",BUILDING!D58)</f>
        <v/>
      </c>
      <c r="C239" s="1655" t="str">
        <f>IF(BUILDING!E58="","",BUILDING!E58)</f>
        <v/>
      </c>
      <c r="D239" s="1655" t="str">
        <f>IF(BUILDING!F58="","",BUILDING!F58)</f>
        <v/>
      </c>
      <c r="E239" s="1655" t="str">
        <f>IF(BUILDING!G58="","",BUILDING!G58)</f>
        <v/>
      </c>
      <c r="F239" s="1674" t="str">
        <f>IF(BUILDING!C58="","",BUILDING!C58)</f>
        <v/>
      </c>
      <c r="G239" s="1655" t="str">
        <f>IF(BUILDING!H58="","",BUILDING!H58)</f>
        <v/>
      </c>
      <c r="H239" s="1655" t="str">
        <f>IF(BUILDING!I58="","",BUILDING!I58)</f>
        <v/>
      </c>
      <c r="I239" s="1659" t="str">
        <f>IF(BUILDING!K58="","",BUILDING!K58)</f>
        <v/>
      </c>
      <c r="J239" s="1659" t="str">
        <f>IF(BUILDING!L58="","",BUILDING!L58)</f>
        <v/>
      </c>
      <c r="K239" s="1675" t="str">
        <f>IF(BUILDING!N58=0,"",BUILDING!N58)</f>
        <v/>
      </c>
      <c r="L239" s="1674" t="str">
        <f>IF(BUILDING!O58="","",BUILDING!O58)</f>
        <v/>
      </c>
      <c r="M239" s="1655" t="str">
        <f>IF(BUILDING!P58="","",BUILDING!P58)</f>
        <v/>
      </c>
      <c r="O239" s="1655" t="s">
        <v>1472</v>
      </c>
      <c r="P239" s="1655" t="str">
        <f t="shared" si="25"/>
        <v/>
      </c>
      <c r="Q239" s="1655" t="str">
        <f t="shared" si="26"/>
        <v/>
      </c>
      <c r="R239" s="1655" t="str">
        <f t="shared" si="27"/>
        <v/>
      </c>
      <c r="T239" s="1655" t="s">
        <v>1473</v>
      </c>
      <c r="U239" s="1655" t="str">
        <f t="shared" si="28"/>
        <v/>
      </c>
      <c r="V239" s="1659" t="str">
        <f t="shared" si="29"/>
        <v/>
      </c>
      <c r="W239" s="1676" t="str">
        <f t="shared" si="29"/>
        <v/>
      </c>
      <c r="X239" s="1659" t="str">
        <f t="shared" si="30"/>
        <v/>
      </c>
      <c r="Y239" s="1674" t="str">
        <f t="shared" si="31"/>
        <v/>
      </c>
      <c r="Z239" s="1655" t="str">
        <f t="shared" si="32"/>
        <v/>
      </c>
      <c r="AA239" s="1655" t="str">
        <f t="shared" si="33"/>
        <v/>
      </c>
      <c r="AB239" s="1655" t="str">
        <f t="shared" si="34"/>
        <v/>
      </c>
      <c r="AC239" s="1655" t="str">
        <f t="shared" si="35"/>
        <v/>
      </c>
      <c r="AD239" s="1675" t="str">
        <f t="shared" si="36"/>
        <v/>
      </c>
      <c r="AE239" s="1674" t="str">
        <f t="shared" si="37"/>
        <v/>
      </c>
      <c r="AF239" s="1657" t="str">
        <f t="shared" si="18"/>
        <v/>
      </c>
      <c r="AG239" s="1655" t="str">
        <f t="shared" si="38"/>
        <v/>
      </c>
      <c r="AH239" s="1665" t="str">
        <f t="shared" si="39"/>
        <v/>
      </c>
      <c r="AI239" s="1665" t="str">
        <f t="shared" si="40"/>
        <v/>
      </c>
      <c r="AJ239" s="1655" t="str">
        <f t="shared" si="41"/>
        <v/>
      </c>
      <c r="AK239" s="1659" t="str">
        <f t="shared" si="42"/>
        <v/>
      </c>
    </row>
    <row r="240" spans="1:37" x14ac:dyDescent="0.25">
      <c r="A240" s="1655" t="s">
        <v>1471</v>
      </c>
      <c r="B240" s="1655" t="str">
        <f>IF(BUILDING!D59="","",BUILDING!D59)</f>
        <v/>
      </c>
      <c r="C240" s="1655" t="str">
        <f>IF(BUILDING!E59="","",BUILDING!E59)</f>
        <v/>
      </c>
      <c r="D240" s="1655" t="str">
        <f>IF(BUILDING!F59="","",BUILDING!F59)</f>
        <v/>
      </c>
      <c r="E240" s="1655" t="str">
        <f>IF(BUILDING!G59="","",BUILDING!G59)</f>
        <v/>
      </c>
      <c r="F240" s="1674" t="str">
        <f>IF(BUILDING!C59="","",BUILDING!C59)</f>
        <v/>
      </c>
      <c r="G240" s="1655" t="str">
        <f>IF(BUILDING!H59="","",BUILDING!H59)</f>
        <v/>
      </c>
      <c r="H240" s="1655" t="str">
        <f>IF(BUILDING!I59="","",BUILDING!I59)</f>
        <v/>
      </c>
      <c r="I240" s="1659" t="str">
        <f>IF(BUILDING!K59="","",BUILDING!K59)</f>
        <v/>
      </c>
      <c r="J240" s="1659" t="str">
        <f>IF(BUILDING!L59="","",BUILDING!L59)</f>
        <v/>
      </c>
      <c r="K240" s="1675" t="str">
        <f>IF(BUILDING!N59=0,"",BUILDING!N59)</f>
        <v/>
      </c>
      <c r="L240" s="1674" t="str">
        <f>IF(BUILDING!O59="","",BUILDING!O59)</f>
        <v/>
      </c>
      <c r="M240" s="1655" t="str">
        <f>IF(BUILDING!P59="","",BUILDING!P59)</f>
        <v/>
      </c>
      <c r="O240" s="1655" t="s">
        <v>1472</v>
      </c>
      <c r="P240" s="1655" t="str">
        <f t="shared" si="25"/>
        <v/>
      </c>
      <c r="Q240" s="1655" t="str">
        <f t="shared" si="26"/>
        <v/>
      </c>
      <c r="R240" s="1655" t="str">
        <f t="shared" si="27"/>
        <v/>
      </c>
      <c r="T240" s="1655" t="s">
        <v>1473</v>
      </c>
      <c r="U240" s="1655" t="str">
        <f t="shared" si="28"/>
        <v/>
      </c>
      <c r="V240" s="1659" t="str">
        <f t="shared" si="29"/>
        <v/>
      </c>
      <c r="W240" s="1676" t="str">
        <f t="shared" si="29"/>
        <v/>
      </c>
      <c r="X240" s="1659" t="str">
        <f t="shared" si="30"/>
        <v/>
      </c>
      <c r="Y240" s="1674" t="str">
        <f t="shared" si="31"/>
        <v/>
      </c>
      <c r="Z240" s="1655" t="str">
        <f t="shared" si="32"/>
        <v/>
      </c>
      <c r="AA240" s="1655" t="str">
        <f t="shared" si="33"/>
        <v/>
      </c>
      <c r="AB240" s="1655" t="str">
        <f t="shared" si="34"/>
        <v/>
      </c>
      <c r="AC240" s="1655" t="str">
        <f t="shared" si="35"/>
        <v/>
      </c>
      <c r="AD240" s="1675" t="str">
        <f t="shared" si="36"/>
        <v/>
      </c>
      <c r="AE240" s="1674" t="str">
        <f t="shared" si="37"/>
        <v/>
      </c>
      <c r="AF240" s="1657" t="str">
        <f t="shared" si="18"/>
        <v/>
      </c>
      <c r="AG240" s="1655" t="str">
        <f t="shared" si="38"/>
        <v/>
      </c>
      <c r="AH240" s="1665" t="str">
        <f t="shared" si="39"/>
        <v/>
      </c>
      <c r="AI240" s="1665" t="str">
        <f t="shared" si="40"/>
        <v/>
      </c>
      <c r="AJ240" s="1655" t="str">
        <f t="shared" si="41"/>
        <v/>
      </c>
      <c r="AK240" s="1659" t="str">
        <f t="shared" si="42"/>
        <v/>
      </c>
    </row>
    <row r="241" spans="1:37" x14ac:dyDescent="0.25">
      <c r="A241" s="1655" t="s">
        <v>1471</v>
      </c>
      <c r="B241" s="1655" t="str">
        <f>IF(BUILDING!D60="","",BUILDING!D60)</f>
        <v/>
      </c>
      <c r="C241" s="1655" t="str">
        <f>IF(BUILDING!E60="","",BUILDING!E60)</f>
        <v/>
      </c>
      <c r="D241" s="1655" t="str">
        <f>IF(BUILDING!F60="","",BUILDING!F60)</f>
        <v/>
      </c>
      <c r="E241" s="1655" t="str">
        <f>IF(BUILDING!G60="","",BUILDING!G60)</f>
        <v/>
      </c>
      <c r="F241" s="1674" t="str">
        <f>IF(BUILDING!C60="","",BUILDING!C60)</f>
        <v/>
      </c>
      <c r="G241" s="1655" t="str">
        <f>IF(BUILDING!H60="","",BUILDING!H60)</f>
        <v/>
      </c>
      <c r="H241" s="1655" t="str">
        <f>IF(BUILDING!I60="","",BUILDING!I60)</f>
        <v/>
      </c>
      <c r="I241" s="1659" t="str">
        <f>IF(BUILDING!K60="","",BUILDING!K60)</f>
        <v/>
      </c>
      <c r="J241" s="1659" t="str">
        <f>IF(BUILDING!L60="","",BUILDING!L60)</f>
        <v/>
      </c>
      <c r="K241" s="1675" t="str">
        <f>IF(BUILDING!N60=0,"",BUILDING!N60)</f>
        <v/>
      </c>
      <c r="L241" s="1674" t="str">
        <f>IF(BUILDING!O60="","",BUILDING!O60)</f>
        <v/>
      </c>
      <c r="M241" s="1655" t="str">
        <f>IF(BUILDING!P60="","",BUILDING!P60)</f>
        <v/>
      </c>
      <c r="O241" s="1655" t="s">
        <v>1472</v>
      </c>
      <c r="P241" s="1655" t="str">
        <f t="shared" si="25"/>
        <v/>
      </c>
      <c r="Q241" s="1655" t="str">
        <f t="shared" si="26"/>
        <v/>
      </c>
      <c r="R241" s="1655" t="str">
        <f t="shared" si="27"/>
        <v/>
      </c>
      <c r="T241" s="1655" t="s">
        <v>1473</v>
      </c>
      <c r="U241" s="1655" t="str">
        <f t="shared" si="28"/>
        <v/>
      </c>
      <c r="V241" s="1659" t="str">
        <f t="shared" si="29"/>
        <v/>
      </c>
      <c r="W241" s="1676" t="str">
        <f t="shared" si="29"/>
        <v/>
      </c>
      <c r="X241" s="1659" t="str">
        <f t="shared" si="30"/>
        <v/>
      </c>
      <c r="Y241" s="1674" t="str">
        <f t="shared" si="31"/>
        <v/>
      </c>
      <c r="Z241" s="1655" t="str">
        <f t="shared" si="32"/>
        <v/>
      </c>
      <c r="AA241" s="1655" t="str">
        <f t="shared" si="33"/>
        <v/>
      </c>
      <c r="AB241" s="1655" t="str">
        <f t="shared" si="34"/>
        <v/>
      </c>
      <c r="AC241" s="1655" t="str">
        <f t="shared" si="35"/>
        <v/>
      </c>
      <c r="AD241" s="1675" t="str">
        <f t="shared" si="36"/>
        <v/>
      </c>
      <c r="AE241" s="1674" t="str">
        <f t="shared" si="37"/>
        <v/>
      </c>
      <c r="AF241" s="1657" t="str">
        <f t="shared" si="18"/>
        <v/>
      </c>
      <c r="AG241" s="1655" t="str">
        <f t="shared" si="38"/>
        <v/>
      </c>
      <c r="AH241" s="1665" t="str">
        <f t="shared" si="39"/>
        <v/>
      </c>
      <c r="AI241" s="1665" t="str">
        <f t="shared" si="40"/>
        <v/>
      </c>
      <c r="AJ241" s="1655" t="str">
        <f t="shared" si="41"/>
        <v/>
      </c>
      <c r="AK241" s="1659" t="str">
        <f t="shared" si="42"/>
        <v/>
      </c>
    </row>
    <row r="242" spans="1:37" x14ac:dyDescent="0.25">
      <c r="A242" s="1655" t="s">
        <v>1471</v>
      </c>
      <c r="B242" s="1655" t="str">
        <f>IF(BUILDING!D61="","",BUILDING!D61)</f>
        <v/>
      </c>
      <c r="C242" s="1655" t="str">
        <f>IF(BUILDING!E61="","",BUILDING!E61)</f>
        <v/>
      </c>
      <c r="D242" s="1655" t="str">
        <f>IF(BUILDING!F61="","",BUILDING!F61)</f>
        <v/>
      </c>
      <c r="E242" s="1655" t="str">
        <f>IF(BUILDING!G61="","",BUILDING!G61)</f>
        <v/>
      </c>
      <c r="F242" s="1674" t="str">
        <f>IF(BUILDING!C61="","",BUILDING!C61)</f>
        <v/>
      </c>
      <c r="G242" s="1655" t="str">
        <f>IF(BUILDING!H61="","",BUILDING!H61)</f>
        <v/>
      </c>
      <c r="H242" s="1655" t="str">
        <f>IF(BUILDING!I61="","",BUILDING!I61)</f>
        <v/>
      </c>
      <c r="I242" s="1659" t="str">
        <f>IF(BUILDING!K61="","",BUILDING!K61)</f>
        <v/>
      </c>
      <c r="J242" s="1659" t="str">
        <f>IF(BUILDING!L61="","",BUILDING!L61)</f>
        <v/>
      </c>
      <c r="K242" s="1675" t="str">
        <f>IF(BUILDING!N61=0,"",BUILDING!N61)</f>
        <v/>
      </c>
      <c r="L242" s="1674" t="str">
        <f>IF(BUILDING!O61="","",BUILDING!O61)</f>
        <v/>
      </c>
      <c r="M242" s="1655" t="str">
        <f>IF(BUILDING!P61="","",BUILDING!P61)</f>
        <v/>
      </c>
      <c r="O242" s="1655" t="s">
        <v>1472</v>
      </c>
      <c r="P242" s="1655" t="str">
        <f t="shared" ref="P242:P273" si="43">IF(TC_DateLastPIS20="","",TC_DateLastPIS20)</f>
        <v/>
      </c>
      <c r="Q242" s="1655" t="str">
        <f t="shared" ref="Q242:Q273" si="44">IF(TC_PurchaseDate20="","",TC_PurchaseDate20)</f>
        <v/>
      </c>
      <c r="R242" s="1655" t="str">
        <f t="shared" ref="R242:R273" si="45">IF(TC_YearsPISPurchase20="","",TC_YearsPISPurchase20)</f>
        <v/>
      </c>
      <c r="T242" s="1655" t="s">
        <v>1473</v>
      </c>
      <c r="U242" s="1655" t="str">
        <f t="shared" si="28"/>
        <v/>
      </c>
      <c r="V242" s="1659" t="str">
        <f t="shared" si="29"/>
        <v/>
      </c>
      <c r="W242" s="1676" t="str">
        <f t="shared" si="29"/>
        <v/>
      </c>
      <c r="X242" s="1659" t="str">
        <f t="shared" si="30"/>
        <v/>
      </c>
      <c r="Y242" s="1674" t="str">
        <f t="shared" si="31"/>
        <v/>
      </c>
      <c r="Z242" s="1655" t="str">
        <f t="shared" si="32"/>
        <v/>
      </c>
      <c r="AA242" s="1655" t="str">
        <f t="shared" si="33"/>
        <v/>
      </c>
      <c r="AB242" s="1655" t="str">
        <f t="shared" si="34"/>
        <v/>
      </c>
      <c r="AC242" s="1655" t="str">
        <f t="shared" si="35"/>
        <v/>
      </c>
      <c r="AD242" s="1675" t="str">
        <f t="shared" si="36"/>
        <v/>
      </c>
      <c r="AE242" s="1674" t="str">
        <f t="shared" si="37"/>
        <v/>
      </c>
      <c r="AF242" s="1657" t="str">
        <f t="shared" si="18"/>
        <v/>
      </c>
      <c r="AG242" s="1655" t="str">
        <f t="shared" si="38"/>
        <v/>
      </c>
      <c r="AH242" s="1665" t="str">
        <f t="shared" si="39"/>
        <v/>
      </c>
      <c r="AI242" s="1665" t="str">
        <f t="shared" si="40"/>
        <v/>
      </c>
      <c r="AJ242" s="1655" t="str">
        <f t="shared" si="41"/>
        <v/>
      </c>
      <c r="AK242" s="1659" t="str">
        <f t="shared" si="42"/>
        <v/>
      </c>
    </row>
    <row r="243" spans="1:37" x14ac:dyDescent="0.25">
      <c r="A243" s="1655" t="s">
        <v>1471</v>
      </c>
      <c r="B243" s="1655" t="str">
        <f>IF(BUILDING!D62="","",BUILDING!D62)</f>
        <v/>
      </c>
      <c r="C243" s="1655" t="str">
        <f>IF(BUILDING!E62="","",BUILDING!E62)</f>
        <v/>
      </c>
      <c r="D243" s="1655" t="str">
        <f>IF(BUILDING!F62="","",BUILDING!F62)</f>
        <v/>
      </c>
      <c r="E243" s="1655" t="str">
        <f>IF(BUILDING!G62="","",BUILDING!G62)</f>
        <v/>
      </c>
      <c r="F243" s="1674" t="str">
        <f>IF(BUILDING!C62="","",BUILDING!C62)</f>
        <v/>
      </c>
      <c r="G243" s="1655" t="str">
        <f>IF(BUILDING!H62="","",BUILDING!H62)</f>
        <v/>
      </c>
      <c r="H243" s="1655" t="str">
        <f>IF(BUILDING!I62="","",BUILDING!I62)</f>
        <v/>
      </c>
      <c r="I243" s="1659" t="str">
        <f>IF(BUILDING!K62="","",BUILDING!K62)</f>
        <v/>
      </c>
      <c r="J243" s="1659" t="str">
        <f>IF(BUILDING!L62="","",BUILDING!L62)</f>
        <v/>
      </c>
      <c r="K243" s="1675" t="str">
        <f>IF(BUILDING!N62=0,"",BUILDING!N62)</f>
        <v/>
      </c>
      <c r="L243" s="1674" t="str">
        <f>IF(BUILDING!O62="","",BUILDING!O62)</f>
        <v/>
      </c>
      <c r="M243" s="1655" t="str">
        <f>IF(BUILDING!P62="","",BUILDING!P62)</f>
        <v/>
      </c>
      <c r="O243" s="1655" t="s">
        <v>1472</v>
      </c>
      <c r="P243" s="1655" t="str">
        <f t="shared" si="43"/>
        <v/>
      </c>
      <c r="Q243" s="1655" t="str">
        <f t="shared" si="44"/>
        <v/>
      </c>
      <c r="R243" s="1655" t="str">
        <f t="shared" si="45"/>
        <v/>
      </c>
      <c r="T243" s="1655" t="s">
        <v>1473</v>
      </c>
      <c r="U243" s="1655" t="str">
        <f t="shared" si="28"/>
        <v/>
      </c>
      <c r="V243" s="1659" t="str">
        <f t="shared" si="29"/>
        <v/>
      </c>
      <c r="W243" s="1676" t="str">
        <f t="shared" si="29"/>
        <v/>
      </c>
      <c r="X243" s="1659" t="str">
        <f t="shared" si="30"/>
        <v/>
      </c>
      <c r="Y243" s="1674" t="str">
        <f t="shared" si="31"/>
        <v/>
      </c>
      <c r="Z243" s="1655" t="str">
        <f t="shared" si="32"/>
        <v/>
      </c>
      <c r="AA243" s="1655" t="str">
        <f t="shared" si="33"/>
        <v/>
      </c>
      <c r="AB243" s="1655" t="str">
        <f t="shared" si="34"/>
        <v/>
      </c>
      <c r="AC243" s="1655" t="str">
        <f t="shared" si="35"/>
        <v/>
      </c>
      <c r="AD243" s="1675" t="str">
        <f t="shared" si="36"/>
        <v/>
      </c>
      <c r="AE243" s="1674" t="str">
        <f t="shared" si="37"/>
        <v/>
      </c>
      <c r="AF243" s="1657" t="str">
        <f t="shared" si="18"/>
        <v/>
      </c>
      <c r="AG243" s="1655" t="str">
        <f t="shared" si="38"/>
        <v/>
      </c>
      <c r="AH243" s="1665" t="str">
        <f t="shared" si="39"/>
        <v/>
      </c>
      <c r="AI243" s="1665" t="str">
        <f t="shared" si="40"/>
        <v/>
      </c>
      <c r="AJ243" s="1655" t="str">
        <f t="shared" si="41"/>
        <v/>
      </c>
      <c r="AK243" s="1659" t="str">
        <f t="shared" si="42"/>
        <v/>
      </c>
    </row>
    <row r="244" spans="1:37" x14ac:dyDescent="0.25">
      <c r="A244" s="1655" t="s">
        <v>1471</v>
      </c>
      <c r="B244" s="1655" t="str">
        <f>IF(BUILDING!D63="","",BUILDING!D63)</f>
        <v/>
      </c>
      <c r="C244" s="1655" t="str">
        <f>IF(BUILDING!E63="","",BUILDING!E63)</f>
        <v/>
      </c>
      <c r="D244" s="1655" t="str">
        <f>IF(BUILDING!F63="","",BUILDING!F63)</f>
        <v/>
      </c>
      <c r="E244" s="1655" t="str">
        <f>IF(BUILDING!G63="","",BUILDING!G63)</f>
        <v/>
      </c>
      <c r="F244" s="1674" t="str">
        <f>IF(BUILDING!C63="","",BUILDING!C63)</f>
        <v/>
      </c>
      <c r="G244" s="1655" t="str">
        <f>IF(BUILDING!H63="","",BUILDING!H63)</f>
        <v/>
      </c>
      <c r="H244" s="1655" t="str">
        <f>IF(BUILDING!I63="","",BUILDING!I63)</f>
        <v/>
      </c>
      <c r="I244" s="1659" t="str">
        <f>IF(BUILDING!K63="","",BUILDING!K63)</f>
        <v/>
      </c>
      <c r="J244" s="1659" t="str">
        <f>IF(BUILDING!L63="","",BUILDING!L63)</f>
        <v/>
      </c>
      <c r="K244" s="1675" t="str">
        <f>IF(BUILDING!N63=0,"",BUILDING!N63)</f>
        <v/>
      </c>
      <c r="L244" s="1674" t="str">
        <f>IF(BUILDING!O63="","",BUILDING!O63)</f>
        <v/>
      </c>
      <c r="M244" s="1655" t="str">
        <f>IF(BUILDING!P63="","",BUILDING!P63)</f>
        <v/>
      </c>
      <c r="O244" s="1655" t="s">
        <v>1472</v>
      </c>
      <c r="P244" s="1655" t="str">
        <f t="shared" si="43"/>
        <v/>
      </c>
      <c r="Q244" s="1655" t="str">
        <f t="shared" si="44"/>
        <v/>
      </c>
      <c r="R244" s="1655" t="str">
        <f t="shared" si="45"/>
        <v/>
      </c>
      <c r="T244" s="1655" t="s">
        <v>1473</v>
      </c>
      <c r="U244" s="1655" t="str">
        <f t="shared" si="28"/>
        <v/>
      </c>
      <c r="V244" s="1659" t="str">
        <f t="shared" si="29"/>
        <v/>
      </c>
      <c r="W244" s="1676" t="str">
        <f t="shared" si="29"/>
        <v/>
      </c>
      <c r="X244" s="1659" t="str">
        <f t="shared" si="30"/>
        <v/>
      </c>
      <c r="Y244" s="1674" t="str">
        <f t="shared" si="31"/>
        <v/>
      </c>
      <c r="Z244" s="1655" t="str">
        <f t="shared" si="32"/>
        <v/>
      </c>
      <c r="AA244" s="1655" t="str">
        <f t="shared" si="33"/>
        <v/>
      </c>
      <c r="AB244" s="1655" t="str">
        <f t="shared" si="34"/>
        <v/>
      </c>
      <c r="AC244" s="1655" t="str">
        <f t="shared" si="35"/>
        <v/>
      </c>
      <c r="AD244" s="1675" t="str">
        <f t="shared" si="36"/>
        <v/>
      </c>
      <c r="AE244" s="1674" t="str">
        <f t="shared" si="37"/>
        <v/>
      </c>
      <c r="AF244" s="1657" t="str">
        <f t="shared" si="18"/>
        <v/>
      </c>
      <c r="AG244" s="1655" t="str">
        <f t="shared" si="38"/>
        <v/>
      </c>
      <c r="AH244" s="1665" t="str">
        <f t="shared" si="39"/>
        <v/>
      </c>
      <c r="AI244" s="1665" t="str">
        <f t="shared" si="40"/>
        <v/>
      </c>
      <c r="AJ244" s="1655" t="str">
        <f t="shared" si="41"/>
        <v/>
      </c>
      <c r="AK244" s="1659" t="str">
        <f t="shared" si="42"/>
        <v/>
      </c>
    </row>
    <row r="245" spans="1:37" x14ac:dyDescent="0.25">
      <c r="A245" s="1655" t="s">
        <v>1471</v>
      </c>
      <c r="B245" s="1655" t="str">
        <f>IF(BUILDING!D64="","",BUILDING!D64)</f>
        <v/>
      </c>
      <c r="C245" s="1655" t="str">
        <f>IF(BUILDING!E64="","",BUILDING!E64)</f>
        <v/>
      </c>
      <c r="D245" s="1655" t="str">
        <f>IF(BUILDING!F64="","",BUILDING!F64)</f>
        <v/>
      </c>
      <c r="E245" s="1655" t="str">
        <f>IF(BUILDING!G64="","",BUILDING!G64)</f>
        <v/>
      </c>
      <c r="F245" s="1674" t="str">
        <f>IF(BUILDING!C64="","",BUILDING!C64)</f>
        <v/>
      </c>
      <c r="G245" s="1655" t="str">
        <f>IF(BUILDING!H64="","",BUILDING!H64)</f>
        <v/>
      </c>
      <c r="H245" s="1655" t="str">
        <f>IF(BUILDING!I64="","",BUILDING!I64)</f>
        <v/>
      </c>
      <c r="I245" s="1659" t="str">
        <f>IF(BUILDING!K64="","",BUILDING!K64)</f>
        <v/>
      </c>
      <c r="J245" s="1659" t="str">
        <f>IF(BUILDING!L64="","",BUILDING!L64)</f>
        <v/>
      </c>
      <c r="K245" s="1675" t="str">
        <f>IF(BUILDING!N64=0,"",BUILDING!N64)</f>
        <v/>
      </c>
      <c r="L245" s="1674" t="str">
        <f>IF(BUILDING!O64="","",BUILDING!O64)</f>
        <v/>
      </c>
      <c r="M245" s="1655" t="str">
        <f>IF(BUILDING!P64="","",BUILDING!P64)</f>
        <v/>
      </c>
      <c r="O245" s="1655" t="s">
        <v>1472</v>
      </c>
      <c r="P245" s="1655" t="str">
        <f t="shared" si="43"/>
        <v/>
      </c>
      <c r="Q245" s="1655" t="str">
        <f t="shared" si="44"/>
        <v/>
      </c>
      <c r="R245" s="1655" t="str">
        <f t="shared" si="45"/>
        <v/>
      </c>
      <c r="T245" s="1655" t="s">
        <v>1473</v>
      </c>
      <c r="U245" s="1655" t="str">
        <f t="shared" si="28"/>
        <v/>
      </c>
      <c r="V245" s="1659" t="str">
        <f t="shared" si="29"/>
        <v/>
      </c>
      <c r="W245" s="1676" t="str">
        <f t="shared" si="29"/>
        <v/>
      </c>
      <c r="X245" s="1659" t="str">
        <f t="shared" si="30"/>
        <v/>
      </c>
      <c r="Y245" s="1674" t="str">
        <f t="shared" si="31"/>
        <v/>
      </c>
      <c r="Z245" s="1655" t="str">
        <f t="shared" si="32"/>
        <v/>
      </c>
      <c r="AA245" s="1655" t="str">
        <f t="shared" si="33"/>
        <v/>
      </c>
      <c r="AB245" s="1655" t="str">
        <f t="shared" si="34"/>
        <v/>
      </c>
      <c r="AC245" s="1655" t="str">
        <f t="shared" si="35"/>
        <v/>
      </c>
      <c r="AD245" s="1675" t="str">
        <f t="shared" si="36"/>
        <v/>
      </c>
      <c r="AE245" s="1674" t="str">
        <f t="shared" si="37"/>
        <v/>
      </c>
      <c r="AF245" s="1657" t="str">
        <f t="shared" si="18"/>
        <v/>
      </c>
      <c r="AG245" s="1655" t="str">
        <f t="shared" si="38"/>
        <v/>
      </c>
      <c r="AH245" s="1665" t="str">
        <f t="shared" si="39"/>
        <v/>
      </c>
      <c r="AI245" s="1665" t="str">
        <f t="shared" si="40"/>
        <v/>
      </c>
      <c r="AJ245" s="1655" t="str">
        <f t="shared" si="41"/>
        <v/>
      </c>
      <c r="AK245" s="1659" t="str">
        <f t="shared" si="42"/>
        <v/>
      </c>
    </row>
    <row r="246" spans="1:37" x14ac:dyDescent="0.25">
      <c r="A246" s="1655" t="s">
        <v>1471</v>
      </c>
      <c r="B246" s="1655" t="str">
        <f>IF(BUILDING!D65="","",BUILDING!D65)</f>
        <v/>
      </c>
      <c r="C246" s="1655" t="str">
        <f>IF(BUILDING!E65="","",BUILDING!E65)</f>
        <v/>
      </c>
      <c r="D246" s="1655" t="str">
        <f>IF(BUILDING!F65="","",BUILDING!F65)</f>
        <v/>
      </c>
      <c r="E246" s="1655" t="str">
        <f>IF(BUILDING!G65="","",BUILDING!G65)</f>
        <v/>
      </c>
      <c r="F246" s="1674" t="str">
        <f>IF(BUILDING!C65="","",BUILDING!C65)</f>
        <v/>
      </c>
      <c r="G246" s="1655" t="str">
        <f>IF(BUILDING!H65="","",BUILDING!H65)</f>
        <v/>
      </c>
      <c r="H246" s="1655" t="str">
        <f>IF(BUILDING!I65="","",BUILDING!I65)</f>
        <v/>
      </c>
      <c r="I246" s="1659" t="str">
        <f>IF(BUILDING!K65="","",BUILDING!K65)</f>
        <v/>
      </c>
      <c r="J246" s="1659" t="str">
        <f>IF(BUILDING!L65="","",BUILDING!L65)</f>
        <v/>
      </c>
      <c r="K246" s="1675" t="str">
        <f>IF(BUILDING!N65=0,"",BUILDING!N65)</f>
        <v/>
      </c>
      <c r="L246" s="1674" t="str">
        <f>IF(BUILDING!O65="","",BUILDING!O65)</f>
        <v/>
      </c>
      <c r="M246" s="1655" t="str">
        <f>IF(BUILDING!P65="","",BUILDING!P65)</f>
        <v/>
      </c>
      <c r="O246" s="1655" t="s">
        <v>1472</v>
      </c>
      <c r="P246" s="1655" t="str">
        <f t="shared" si="43"/>
        <v/>
      </c>
      <c r="Q246" s="1655" t="str">
        <f t="shared" si="44"/>
        <v/>
      </c>
      <c r="R246" s="1655" t="str">
        <f t="shared" si="45"/>
        <v/>
      </c>
      <c r="T246" s="1655" t="s">
        <v>1473</v>
      </c>
      <c r="U246" s="1655" t="str">
        <f t="shared" si="28"/>
        <v/>
      </c>
      <c r="V246" s="1659" t="str">
        <f t="shared" si="29"/>
        <v/>
      </c>
      <c r="W246" s="1676" t="str">
        <f t="shared" si="29"/>
        <v/>
      </c>
      <c r="X246" s="1659" t="str">
        <f t="shared" si="30"/>
        <v/>
      </c>
      <c r="Y246" s="1674" t="str">
        <f t="shared" si="31"/>
        <v/>
      </c>
      <c r="Z246" s="1655" t="str">
        <f t="shared" si="32"/>
        <v/>
      </c>
      <c r="AA246" s="1655" t="str">
        <f t="shared" si="33"/>
        <v/>
      </c>
      <c r="AB246" s="1655" t="str">
        <f t="shared" si="34"/>
        <v/>
      </c>
      <c r="AC246" s="1655" t="str">
        <f t="shared" si="35"/>
        <v/>
      </c>
      <c r="AD246" s="1675" t="str">
        <f t="shared" si="36"/>
        <v/>
      </c>
      <c r="AE246" s="1674" t="str">
        <f t="shared" si="37"/>
        <v/>
      </c>
      <c r="AF246" s="1657" t="str">
        <f t="shared" si="18"/>
        <v/>
      </c>
      <c r="AG246" s="1655" t="str">
        <f t="shared" si="38"/>
        <v/>
      </c>
      <c r="AH246" s="1665" t="str">
        <f t="shared" si="39"/>
        <v/>
      </c>
      <c r="AI246" s="1665" t="str">
        <f t="shared" si="40"/>
        <v/>
      </c>
      <c r="AJ246" s="1655" t="str">
        <f t="shared" si="41"/>
        <v/>
      </c>
      <c r="AK246" s="1659" t="str">
        <f t="shared" si="42"/>
        <v/>
      </c>
    </row>
    <row r="247" spans="1:37" x14ac:dyDescent="0.25">
      <c r="A247" s="1655" t="s">
        <v>1471</v>
      </c>
      <c r="B247" s="1655" t="str">
        <f>IF(BUILDING!D66="","",BUILDING!D66)</f>
        <v/>
      </c>
      <c r="C247" s="1655" t="str">
        <f>IF(BUILDING!E66="","",BUILDING!E66)</f>
        <v/>
      </c>
      <c r="D247" s="1655" t="str">
        <f>IF(BUILDING!F66="","",BUILDING!F66)</f>
        <v/>
      </c>
      <c r="E247" s="1655" t="str">
        <f>IF(BUILDING!G66="","",BUILDING!G66)</f>
        <v/>
      </c>
      <c r="F247" s="1674" t="str">
        <f>IF(BUILDING!C66="","",BUILDING!C66)</f>
        <v/>
      </c>
      <c r="G247" s="1655" t="str">
        <f>IF(BUILDING!H66="","",BUILDING!H66)</f>
        <v/>
      </c>
      <c r="H247" s="1655" t="str">
        <f>IF(BUILDING!I66="","",BUILDING!I66)</f>
        <v/>
      </c>
      <c r="I247" s="1659" t="str">
        <f>IF(BUILDING!K66="","",BUILDING!K66)</f>
        <v/>
      </c>
      <c r="J247" s="1659" t="str">
        <f>IF(BUILDING!L66="","",BUILDING!L66)</f>
        <v/>
      </c>
      <c r="K247" s="1675" t="str">
        <f>IF(BUILDING!N66=0,"",BUILDING!N66)</f>
        <v/>
      </c>
      <c r="L247" s="1674" t="str">
        <f>IF(BUILDING!O66="","",BUILDING!O66)</f>
        <v/>
      </c>
      <c r="M247" s="1655" t="str">
        <f>IF(BUILDING!P66="","",BUILDING!P66)</f>
        <v/>
      </c>
      <c r="O247" s="1655" t="s">
        <v>1472</v>
      </c>
      <c r="P247" s="1655" t="str">
        <f t="shared" si="43"/>
        <v/>
      </c>
      <c r="Q247" s="1655" t="str">
        <f t="shared" si="44"/>
        <v/>
      </c>
      <c r="R247" s="1655" t="str">
        <f t="shared" si="45"/>
        <v/>
      </c>
      <c r="T247" s="1655" t="s">
        <v>1473</v>
      </c>
      <c r="U247" s="1655" t="str">
        <f t="shared" si="28"/>
        <v/>
      </c>
      <c r="V247" s="1659" t="str">
        <f t="shared" si="29"/>
        <v/>
      </c>
      <c r="W247" s="1676" t="str">
        <f t="shared" si="29"/>
        <v/>
      </c>
      <c r="X247" s="1659" t="str">
        <f t="shared" si="30"/>
        <v/>
      </c>
      <c r="Y247" s="1674" t="str">
        <f t="shared" si="31"/>
        <v/>
      </c>
      <c r="Z247" s="1655" t="str">
        <f t="shared" si="32"/>
        <v/>
      </c>
      <c r="AA247" s="1655" t="str">
        <f t="shared" si="33"/>
        <v/>
      </c>
      <c r="AB247" s="1655" t="str">
        <f t="shared" si="34"/>
        <v/>
      </c>
      <c r="AC247" s="1655" t="str">
        <f t="shared" si="35"/>
        <v/>
      </c>
      <c r="AD247" s="1675" t="str">
        <f t="shared" si="36"/>
        <v/>
      </c>
      <c r="AE247" s="1674" t="str">
        <f t="shared" si="37"/>
        <v/>
      </c>
      <c r="AF247" s="1657" t="str">
        <f t="shared" si="18"/>
        <v/>
      </c>
      <c r="AG247" s="1655" t="str">
        <f t="shared" si="38"/>
        <v/>
      </c>
      <c r="AH247" s="1665" t="str">
        <f t="shared" si="39"/>
        <v/>
      </c>
      <c r="AI247" s="1665" t="str">
        <f t="shared" si="40"/>
        <v/>
      </c>
      <c r="AJ247" s="1655" t="str">
        <f t="shared" si="41"/>
        <v/>
      </c>
      <c r="AK247" s="1659" t="str">
        <f t="shared" si="42"/>
        <v/>
      </c>
    </row>
    <row r="248" spans="1:37" x14ac:dyDescent="0.25">
      <c r="A248" s="1655" t="s">
        <v>1471</v>
      </c>
      <c r="B248" s="1655" t="str">
        <f>IF(BUILDING!D67="","",BUILDING!D67)</f>
        <v/>
      </c>
      <c r="C248" s="1655" t="str">
        <f>IF(BUILDING!E67="","",BUILDING!E67)</f>
        <v/>
      </c>
      <c r="D248" s="1655" t="str">
        <f>IF(BUILDING!F67="","",BUILDING!F67)</f>
        <v/>
      </c>
      <c r="E248" s="1655" t="str">
        <f>IF(BUILDING!G67="","",BUILDING!G67)</f>
        <v/>
      </c>
      <c r="F248" s="1674" t="str">
        <f>IF(BUILDING!C67="","",BUILDING!C67)</f>
        <v/>
      </c>
      <c r="G248" s="1655" t="str">
        <f>IF(BUILDING!H67="","",BUILDING!H67)</f>
        <v/>
      </c>
      <c r="H248" s="1655" t="str">
        <f>IF(BUILDING!I67="","",BUILDING!I67)</f>
        <v/>
      </c>
      <c r="I248" s="1659" t="str">
        <f>IF(BUILDING!K67="","",BUILDING!K67)</f>
        <v/>
      </c>
      <c r="J248" s="1659" t="str">
        <f>IF(BUILDING!L67="","",BUILDING!L67)</f>
        <v/>
      </c>
      <c r="K248" s="1675" t="str">
        <f>IF(BUILDING!N67=0,"",BUILDING!N67)</f>
        <v/>
      </c>
      <c r="L248" s="1674" t="str">
        <f>IF(BUILDING!O67="","",BUILDING!O67)</f>
        <v/>
      </c>
      <c r="M248" s="1655" t="str">
        <f>IF(BUILDING!P67="","",BUILDING!P67)</f>
        <v/>
      </c>
      <c r="O248" s="1655" t="s">
        <v>1472</v>
      </c>
      <c r="P248" s="1655" t="str">
        <f t="shared" si="43"/>
        <v/>
      </c>
      <c r="Q248" s="1655" t="str">
        <f t="shared" si="44"/>
        <v/>
      </c>
      <c r="R248" s="1655" t="str">
        <f t="shared" si="45"/>
        <v/>
      </c>
      <c r="T248" s="1655" t="s">
        <v>1473</v>
      </c>
      <c r="U248" s="1655" t="str">
        <f t="shared" si="28"/>
        <v/>
      </c>
      <c r="V248" s="1659" t="str">
        <f t="shared" si="29"/>
        <v/>
      </c>
      <c r="W248" s="1676" t="str">
        <f t="shared" si="29"/>
        <v/>
      </c>
      <c r="X248" s="1659" t="str">
        <f t="shared" si="30"/>
        <v/>
      </c>
      <c r="Y248" s="1674" t="str">
        <f t="shared" si="31"/>
        <v/>
      </c>
      <c r="Z248" s="1655" t="str">
        <f t="shared" si="32"/>
        <v/>
      </c>
      <c r="AA248" s="1655" t="str">
        <f t="shared" si="33"/>
        <v/>
      </c>
      <c r="AB248" s="1655" t="str">
        <f t="shared" si="34"/>
        <v/>
      </c>
      <c r="AC248" s="1655" t="str">
        <f t="shared" si="35"/>
        <v/>
      </c>
      <c r="AD248" s="1675" t="str">
        <f t="shared" si="36"/>
        <v/>
      </c>
      <c r="AE248" s="1674" t="str">
        <f t="shared" si="37"/>
        <v/>
      </c>
      <c r="AF248" s="1657" t="str">
        <f t="shared" si="18"/>
        <v/>
      </c>
      <c r="AG248" s="1655" t="str">
        <f t="shared" si="38"/>
        <v/>
      </c>
      <c r="AH248" s="1665" t="str">
        <f t="shared" si="39"/>
        <v/>
      </c>
      <c r="AI248" s="1665" t="str">
        <f t="shared" si="40"/>
        <v/>
      </c>
      <c r="AJ248" s="1655" t="str">
        <f t="shared" si="41"/>
        <v/>
      </c>
      <c r="AK248" s="1659" t="str">
        <f t="shared" si="42"/>
        <v/>
      </c>
    </row>
    <row r="249" spans="1:37" x14ac:dyDescent="0.25">
      <c r="A249" s="1655" t="s">
        <v>1471</v>
      </c>
      <c r="B249" s="1655" t="str">
        <f>IF(BUILDING!D68="","",BUILDING!D68)</f>
        <v/>
      </c>
      <c r="C249" s="1655" t="str">
        <f>IF(BUILDING!E68="","",BUILDING!E68)</f>
        <v/>
      </c>
      <c r="D249" s="1655" t="str">
        <f>IF(BUILDING!F68="","",BUILDING!F68)</f>
        <v/>
      </c>
      <c r="E249" s="1655" t="str">
        <f>IF(BUILDING!G68="","",BUILDING!G68)</f>
        <v/>
      </c>
      <c r="F249" s="1674" t="str">
        <f>IF(BUILDING!C68="","",BUILDING!C68)</f>
        <v/>
      </c>
      <c r="G249" s="1655" t="str">
        <f>IF(BUILDING!H68="","",BUILDING!H68)</f>
        <v/>
      </c>
      <c r="H249" s="1655" t="str">
        <f>IF(BUILDING!I68="","",BUILDING!I68)</f>
        <v/>
      </c>
      <c r="I249" s="1659" t="str">
        <f>IF(BUILDING!K68="","",BUILDING!K68)</f>
        <v/>
      </c>
      <c r="J249" s="1659" t="str">
        <f>IF(BUILDING!L68="","",BUILDING!L68)</f>
        <v/>
      </c>
      <c r="K249" s="1675" t="str">
        <f>IF(BUILDING!N68=0,"",BUILDING!N68)</f>
        <v/>
      </c>
      <c r="L249" s="1674" t="str">
        <f>IF(BUILDING!O68="","",BUILDING!O68)</f>
        <v/>
      </c>
      <c r="M249" s="1655" t="str">
        <f>IF(BUILDING!P68="","",BUILDING!P68)</f>
        <v/>
      </c>
      <c r="O249" s="1655" t="s">
        <v>1472</v>
      </c>
      <c r="P249" s="1655" t="str">
        <f t="shared" si="43"/>
        <v/>
      </c>
      <c r="Q249" s="1655" t="str">
        <f t="shared" si="44"/>
        <v/>
      </c>
      <c r="R249" s="1655" t="str">
        <f t="shared" si="45"/>
        <v/>
      </c>
      <c r="T249" s="1655" t="s">
        <v>1473</v>
      </c>
      <c r="U249" s="1655" t="str">
        <f t="shared" si="28"/>
        <v/>
      </c>
      <c r="V249" s="1659" t="str">
        <f t="shared" si="29"/>
        <v/>
      </c>
      <c r="W249" s="1676" t="str">
        <f t="shared" si="29"/>
        <v/>
      </c>
      <c r="X249" s="1659" t="str">
        <f t="shared" si="30"/>
        <v/>
      </c>
      <c r="Y249" s="1674" t="str">
        <f t="shared" si="31"/>
        <v/>
      </c>
      <c r="Z249" s="1655" t="str">
        <f t="shared" si="32"/>
        <v/>
      </c>
      <c r="AA249" s="1655" t="str">
        <f t="shared" si="33"/>
        <v/>
      </c>
      <c r="AB249" s="1655" t="str">
        <f t="shared" si="34"/>
        <v/>
      </c>
      <c r="AC249" s="1655" t="str">
        <f t="shared" si="35"/>
        <v/>
      </c>
      <c r="AD249" s="1675" t="str">
        <f t="shared" si="36"/>
        <v/>
      </c>
      <c r="AE249" s="1674" t="str">
        <f t="shared" si="37"/>
        <v/>
      </c>
      <c r="AF249" s="1657" t="str">
        <f t="shared" si="18"/>
        <v/>
      </c>
      <c r="AG249" s="1655" t="str">
        <f t="shared" si="38"/>
        <v/>
      </c>
      <c r="AH249" s="1665" t="str">
        <f t="shared" si="39"/>
        <v/>
      </c>
      <c r="AI249" s="1665" t="str">
        <f t="shared" si="40"/>
        <v/>
      </c>
      <c r="AJ249" s="1655" t="str">
        <f t="shared" si="41"/>
        <v/>
      </c>
      <c r="AK249" s="1659" t="str">
        <f t="shared" si="42"/>
        <v/>
      </c>
    </row>
    <row r="250" spans="1:37" x14ac:dyDescent="0.25">
      <c r="A250" s="1655" t="s">
        <v>1471</v>
      </c>
      <c r="B250" s="1655" t="str">
        <f>IF(BUILDING!D69="","",BUILDING!D69)</f>
        <v/>
      </c>
      <c r="C250" s="1655" t="str">
        <f>IF(BUILDING!E69="","",BUILDING!E69)</f>
        <v/>
      </c>
      <c r="D250" s="1655" t="str">
        <f>IF(BUILDING!F69="","",BUILDING!F69)</f>
        <v/>
      </c>
      <c r="E250" s="1655" t="str">
        <f>IF(BUILDING!G69="","",BUILDING!G69)</f>
        <v/>
      </c>
      <c r="F250" s="1674" t="str">
        <f>IF(BUILDING!C69="","",BUILDING!C69)</f>
        <v/>
      </c>
      <c r="G250" s="1655" t="str">
        <f>IF(BUILDING!H69="","",BUILDING!H69)</f>
        <v/>
      </c>
      <c r="H250" s="1655" t="str">
        <f>IF(BUILDING!I69="","",BUILDING!I69)</f>
        <v/>
      </c>
      <c r="I250" s="1659" t="str">
        <f>IF(BUILDING!K69="","",BUILDING!K69)</f>
        <v/>
      </c>
      <c r="J250" s="1659" t="str">
        <f>IF(BUILDING!L69="","",BUILDING!L69)</f>
        <v/>
      </c>
      <c r="K250" s="1675" t="str">
        <f>IF(BUILDING!N69=0,"",BUILDING!N69)</f>
        <v/>
      </c>
      <c r="L250" s="1674" t="str">
        <f>IF(BUILDING!O69="","",BUILDING!O69)</f>
        <v/>
      </c>
      <c r="M250" s="1655" t="str">
        <f>IF(BUILDING!P69="","",BUILDING!P69)</f>
        <v/>
      </c>
      <c r="O250" s="1655" t="s">
        <v>1472</v>
      </c>
      <c r="P250" s="1655" t="str">
        <f t="shared" si="43"/>
        <v/>
      </c>
      <c r="Q250" s="1655" t="str">
        <f t="shared" si="44"/>
        <v/>
      </c>
      <c r="R250" s="1655" t="str">
        <f t="shared" si="45"/>
        <v/>
      </c>
      <c r="T250" s="1655" t="s">
        <v>1473</v>
      </c>
      <c r="U250" s="1655" t="str">
        <f t="shared" si="28"/>
        <v/>
      </c>
      <c r="V250" s="1659" t="str">
        <f t="shared" si="29"/>
        <v/>
      </c>
      <c r="W250" s="1676" t="str">
        <f t="shared" si="29"/>
        <v/>
      </c>
      <c r="X250" s="1659" t="str">
        <f t="shared" si="30"/>
        <v/>
      </c>
      <c r="Y250" s="1674" t="str">
        <f t="shared" si="31"/>
        <v/>
      </c>
      <c r="Z250" s="1655" t="str">
        <f t="shared" si="32"/>
        <v/>
      </c>
      <c r="AA250" s="1655" t="str">
        <f t="shared" si="33"/>
        <v/>
      </c>
      <c r="AB250" s="1655" t="str">
        <f t="shared" si="34"/>
        <v/>
      </c>
      <c r="AC250" s="1655" t="str">
        <f t="shared" si="35"/>
        <v/>
      </c>
      <c r="AD250" s="1675" t="str">
        <f t="shared" si="36"/>
        <v/>
      </c>
      <c r="AE250" s="1674" t="str">
        <f t="shared" si="37"/>
        <v/>
      </c>
      <c r="AF250" s="1657" t="str">
        <f t="shared" si="18"/>
        <v/>
      </c>
      <c r="AG250" s="1655" t="str">
        <f t="shared" si="38"/>
        <v/>
      </c>
      <c r="AH250" s="1665" t="str">
        <f t="shared" si="39"/>
        <v/>
      </c>
      <c r="AI250" s="1665" t="str">
        <f t="shared" si="40"/>
        <v/>
      </c>
      <c r="AJ250" s="1655" t="str">
        <f t="shared" si="41"/>
        <v/>
      </c>
      <c r="AK250" s="1659" t="str">
        <f t="shared" si="42"/>
        <v/>
      </c>
    </row>
    <row r="251" spans="1:37" x14ac:dyDescent="0.25">
      <c r="A251" s="1655" t="s">
        <v>1471</v>
      </c>
      <c r="B251" s="1655" t="str">
        <f>IF(BUILDING!D70="","",BUILDING!D70)</f>
        <v/>
      </c>
      <c r="C251" s="1655" t="str">
        <f>IF(BUILDING!E70="","",BUILDING!E70)</f>
        <v/>
      </c>
      <c r="D251" s="1655" t="str">
        <f>IF(BUILDING!F70="","",BUILDING!F70)</f>
        <v/>
      </c>
      <c r="E251" s="1655" t="str">
        <f>IF(BUILDING!G70="","",BUILDING!G70)</f>
        <v/>
      </c>
      <c r="F251" s="1674" t="str">
        <f>IF(BUILDING!C70="","",BUILDING!C70)</f>
        <v/>
      </c>
      <c r="G251" s="1655" t="str">
        <f>IF(BUILDING!H70="","",BUILDING!H70)</f>
        <v/>
      </c>
      <c r="H251" s="1655" t="str">
        <f>IF(BUILDING!I70="","",BUILDING!I70)</f>
        <v/>
      </c>
      <c r="I251" s="1659" t="str">
        <f>IF(BUILDING!K70="","",BUILDING!K70)</f>
        <v/>
      </c>
      <c r="J251" s="1659" t="str">
        <f>IF(BUILDING!L70="","",BUILDING!L70)</f>
        <v/>
      </c>
      <c r="K251" s="1675" t="str">
        <f>IF(BUILDING!N70=0,"",BUILDING!N70)</f>
        <v/>
      </c>
      <c r="L251" s="1674" t="str">
        <f>IF(BUILDING!O70="","",BUILDING!O70)</f>
        <v/>
      </c>
      <c r="M251" s="1655" t="str">
        <f>IF(BUILDING!P70="","",BUILDING!P70)</f>
        <v/>
      </c>
      <c r="O251" s="1655" t="s">
        <v>1472</v>
      </c>
      <c r="P251" s="1655" t="str">
        <f t="shared" si="43"/>
        <v/>
      </c>
      <c r="Q251" s="1655" t="str">
        <f t="shared" si="44"/>
        <v/>
      </c>
      <c r="R251" s="1655" t="str">
        <f t="shared" si="45"/>
        <v/>
      </c>
      <c r="T251" s="1655" t="s">
        <v>1473</v>
      </c>
      <c r="U251" s="1655" t="str">
        <f t="shared" si="28"/>
        <v/>
      </c>
      <c r="V251" s="1659" t="str">
        <f t="shared" si="29"/>
        <v/>
      </c>
      <c r="W251" s="1676" t="str">
        <f t="shared" si="29"/>
        <v/>
      </c>
      <c r="X251" s="1659" t="str">
        <f t="shared" si="30"/>
        <v/>
      </c>
      <c r="Y251" s="1674" t="str">
        <f t="shared" si="31"/>
        <v/>
      </c>
      <c r="Z251" s="1655" t="str">
        <f t="shared" si="32"/>
        <v/>
      </c>
      <c r="AA251" s="1655" t="str">
        <f t="shared" si="33"/>
        <v/>
      </c>
      <c r="AB251" s="1655" t="str">
        <f t="shared" si="34"/>
        <v/>
      </c>
      <c r="AC251" s="1655" t="str">
        <f t="shared" si="35"/>
        <v/>
      </c>
      <c r="AD251" s="1675" t="str">
        <f t="shared" si="36"/>
        <v/>
      </c>
      <c r="AE251" s="1674" t="str">
        <f t="shared" si="37"/>
        <v/>
      </c>
      <c r="AF251" s="1657" t="str">
        <f t="shared" si="18"/>
        <v/>
      </c>
      <c r="AG251" s="1655" t="str">
        <f t="shared" si="38"/>
        <v/>
      </c>
      <c r="AH251" s="1665" t="str">
        <f t="shared" si="39"/>
        <v/>
      </c>
      <c r="AI251" s="1665" t="str">
        <f t="shared" si="40"/>
        <v/>
      </c>
      <c r="AJ251" s="1655" t="str">
        <f t="shared" si="41"/>
        <v/>
      </c>
      <c r="AK251" s="1659" t="str">
        <f t="shared" si="42"/>
        <v/>
      </c>
    </row>
    <row r="252" spans="1:37" x14ac:dyDescent="0.25">
      <c r="A252" s="1655" t="s">
        <v>1471</v>
      </c>
      <c r="B252" s="1655" t="str">
        <f>IF(BUILDING!D71="","",BUILDING!D71)</f>
        <v/>
      </c>
      <c r="C252" s="1655" t="str">
        <f>IF(BUILDING!E71="","",BUILDING!E71)</f>
        <v/>
      </c>
      <c r="D252" s="1655" t="str">
        <f>IF(BUILDING!F71="","",BUILDING!F71)</f>
        <v/>
      </c>
      <c r="E252" s="1655" t="str">
        <f>IF(BUILDING!G71="","",BUILDING!G71)</f>
        <v/>
      </c>
      <c r="F252" s="1674" t="str">
        <f>IF(BUILDING!C71="","",BUILDING!C71)</f>
        <v/>
      </c>
      <c r="G252" s="1655" t="str">
        <f>IF(BUILDING!H71="","",BUILDING!H71)</f>
        <v/>
      </c>
      <c r="H252" s="1655" t="str">
        <f>IF(BUILDING!I71="","",BUILDING!I71)</f>
        <v/>
      </c>
      <c r="I252" s="1659" t="str">
        <f>IF(BUILDING!K71="","",BUILDING!K71)</f>
        <v/>
      </c>
      <c r="J252" s="1659" t="str">
        <f>IF(BUILDING!L71="","",BUILDING!L71)</f>
        <v/>
      </c>
      <c r="K252" s="1675" t="str">
        <f>IF(BUILDING!N71=0,"",BUILDING!N71)</f>
        <v/>
      </c>
      <c r="L252" s="1674" t="str">
        <f>IF(BUILDING!O71="","",BUILDING!O71)</f>
        <v/>
      </c>
      <c r="M252" s="1655" t="str">
        <f>IF(BUILDING!P71="","",BUILDING!P71)</f>
        <v/>
      </c>
      <c r="O252" s="1655" t="s">
        <v>1472</v>
      </c>
      <c r="P252" s="1655" t="str">
        <f t="shared" si="43"/>
        <v/>
      </c>
      <c r="Q252" s="1655" t="str">
        <f t="shared" si="44"/>
        <v/>
      </c>
      <c r="R252" s="1655" t="str">
        <f t="shared" si="45"/>
        <v/>
      </c>
      <c r="T252" s="1655" t="s">
        <v>1473</v>
      </c>
      <c r="U252" s="1655" t="str">
        <f t="shared" si="28"/>
        <v/>
      </c>
      <c r="V252" s="1659" t="str">
        <f t="shared" si="29"/>
        <v/>
      </c>
      <c r="W252" s="1676" t="str">
        <f t="shared" si="29"/>
        <v/>
      </c>
      <c r="X252" s="1659" t="str">
        <f t="shared" si="30"/>
        <v/>
      </c>
      <c r="Y252" s="1674" t="str">
        <f t="shared" si="31"/>
        <v/>
      </c>
      <c r="Z252" s="1655" t="str">
        <f t="shared" si="32"/>
        <v/>
      </c>
      <c r="AA252" s="1655" t="str">
        <f t="shared" si="33"/>
        <v/>
      </c>
      <c r="AB252" s="1655" t="str">
        <f t="shared" si="34"/>
        <v/>
      </c>
      <c r="AC252" s="1655" t="str">
        <f t="shared" si="35"/>
        <v/>
      </c>
      <c r="AD252" s="1675" t="str">
        <f t="shared" si="36"/>
        <v/>
      </c>
      <c r="AE252" s="1674" t="str">
        <f t="shared" si="37"/>
        <v/>
      </c>
      <c r="AF252" s="1657" t="str">
        <f t="shared" si="18"/>
        <v/>
      </c>
      <c r="AG252" s="1655" t="str">
        <f t="shared" si="38"/>
        <v/>
      </c>
      <c r="AH252" s="1665" t="str">
        <f t="shared" si="39"/>
        <v/>
      </c>
      <c r="AI252" s="1665" t="str">
        <f t="shared" si="40"/>
        <v/>
      </c>
      <c r="AJ252" s="1655" t="str">
        <f t="shared" si="41"/>
        <v/>
      </c>
      <c r="AK252" s="1659" t="str">
        <f t="shared" si="42"/>
        <v/>
      </c>
    </row>
    <row r="253" spans="1:37" x14ac:dyDescent="0.25">
      <c r="A253" s="1655" t="s">
        <v>1471</v>
      </c>
      <c r="B253" s="1655" t="str">
        <f>IF(BUILDING!D72="","",BUILDING!D72)</f>
        <v/>
      </c>
      <c r="C253" s="1655" t="str">
        <f>IF(BUILDING!E72="","",BUILDING!E72)</f>
        <v/>
      </c>
      <c r="D253" s="1655" t="str">
        <f>IF(BUILDING!F72="","",BUILDING!F72)</f>
        <v/>
      </c>
      <c r="E253" s="1655" t="str">
        <f>IF(BUILDING!G72="","",BUILDING!G72)</f>
        <v/>
      </c>
      <c r="F253" s="1674" t="str">
        <f>IF(BUILDING!C72="","",BUILDING!C72)</f>
        <v/>
      </c>
      <c r="G253" s="1655" t="str">
        <f>IF(BUILDING!H72="","",BUILDING!H72)</f>
        <v/>
      </c>
      <c r="H253" s="1655" t="str">
        <f>IF(BUILDING!I72="","",BUILDING!I72)</f>
        <v/>
      </c>
      <c r="I253" s="1659" t="str">
        <f>IF(BUILDING!K72="","",BUILDING!K72)</f>
        <v/>
      </c>
      <c r="J253" s="1659" t="str">
        <f>IF(BUILDING!L72="","",BUILDING!L72)</f>
        <v/>
      </c>
      <c r="K253" s="1675" t="str">
        <f>IF(BUILDING!N72=0,"",BUILDING!N72)</f>
        <v/>
      </c>
      <c r="L253" s="1674" t="str">
        <f>IF(BUILDING!O72="","",BUILDING!O72)</f>
        <v/>
      </c>
      <c r="M253" s="1655" t="str">
        <f>IF(BUILDING!P72="","",BUILDING!P72)</f>
        <v/>
      </c>
      <c r="O253" s="1655" t="s">
        <v>1472</v>
      </c>
      <c r="P253" s="1655" t="str">
        <f t="shared" si="43"/>
        <v/>
      </c>
      <c r="Q253" s="1655" t="str">
        <f t="shared" si="44"/>
        <v/>
      </c>
      <c r="R253" s="1655" t="str">
        <f t="shared" si="45"/>
        <v/>
      </c>
      <c r="T253" s="1655" t="s">
        <v>1473</v>
      </c>
      <c r="U253" s="1655" t="str">
        <f t="shared" si="28"/>
        <v/>
      </c>
      <c r="V253" s="1659" t="str">
        <f t="shared" si="29"/>
        <v/>
      </c>
      <c r="W253" s="1676" t="str">
        <f t="shared" si="29"/>
        <v/>
      </c>
      <c r="X253" s="1659" t="str">
        <f t="shared" si="30"/>
        <v/>
      </c>
      <c r="Y253" s="1674" t="str">
        <f t="shared" si="31"/>
        <v/>
      </c>
      <c r="Z253" s="1655" t="str">
        <f t="shared" si="32"/>
        <v/>
      </c>
      <c r="AA253" s="1655" t="str">
        <f t="shared" si="33"/>
        <v/>
      </c>
      <c r="AB253" s="1655" t="str">
        <f t="shared" si="34"/>
        <v/>
      </c>
      <c r="AC253" s="1655" t="str">
        <f t="shared" si="35"/>
        <v/>
      </c>
      <c r="AD253" s="1675" t="str">
        <f t="shared" si="36"/>
        <v/>
      </c>
      <c r="AE253" s="1674" t="str">
        <f t="shared" si="37"/>
        <v/>
      </c>
      <c r="AF253" s="1657" t="str">
        <f t="shared" si="18"/>
        <v/>
      </c>
      <c r="AG253" s="1655" t="str">
        <f t="shared" si="38"/>
        <v/>
      </c>
      <c r="AH253" s="1665" t="str">
        <f t="shared" si="39"/>
        <v/>
      </c>
      <c r="AI253" s="1665" t="str">
        <f t="shared" si="40"/>
        <v/>
      </c>
      <c r="AJ253" s="1655" t="str">
        <f t="shared" si="41"/>
        <v/>
      </c>
      <c r="AK253" s="1659" t="str">
        <f t="shared" si="42"/>
        <v/>
      </c>
    </row>
    <row r="254" spans="1:37" x14ac:dyDescent="0.25">
      <c r="A254" s="1655" t="s">
        <v>1471</v>
      </c>
      <c r="B254" s="1655" t="str">
        <f>IF(BUILDING!D73="","",BUILDING!D73)</f>
        <v/>
      </c>
      <c r="C254" s="1655" t="str">
        <f>IF(BUILDING!E73="","",BUILDING!E73)</f>
        <v/>
      </c>
      <c r="D254" s="1655" t="str">
        <f>IF(BUILDING!F73="","",BUILDING!F73)</f>
        <v/>
      </c>
      <c r="E254" s="1655" t="str">
        <f>IF(BUILDING!G73="","",BUILDING!G73)</f>
        <v/>
      </c>
      <c r="F254" s="1674" t="str">
        <f>IF(BUILDING!C73="","",BUILDING!C73)</f>
        <v/>
      </c>
      <c r="G254" s="1655" t="str">
        <f>IF(BUILDING!H73="","",BUILDING!H73)</f>
        <v/>
      </c>
      <c r="H254" s="1655" t="str">
        <f>IF(BUILDING!I73="","",BUILDING!I73)</f>
        <v/>
      </c>
      <c r="I254" s="1659" t="str">
        <f>IF(BUILDING!K73="","",BUILDING!K73)</f>
        <v/>
      </c>
      <c r="J254" s="1659" t="str">
        <f>IF(BUILDING!L73="","",BUILDING!L73)</f>
        <v/>
      </c>
      <c r="K254" s="1675" t="str">
        <f>IF(BUILDING!N73=0,"",BUILDING!N73)</f>
        <v/>
      </c>
      <c r="L254" s="1674" t="str">
        <f>IF(BUILDING!O73="","",BUILDING!O73)</f>
        <v/>
      </c>
      <c r="M254" s="1655" t="str">
        <f>IF(BUILDING!P73="","",BUILDING!P73)</f>
        <v/>
      </c>
      <c r="O254" s="1655" t="s">
        <v>1472</v>
      </c>
      <c r="P254" s="1655" t="str">
        <f t="shared" si="43"/>
        <v/>
      </c>
      <c r="Q254" s="1655" t="str">
        <f t="shared" si="44"/>
        <v/>
      </c>
      <c r="R254" s="1655" t="str">
        <f t="shared" si="45"/>
        <v/>
      </c>
      <c r="T254" s="1655" t="s">
        <v>1473</v>
      </c>
      <c r="U254" s="1655" t="str">
        <f t="shared" si="28"/>
        <v/>
      </c>
      <c r="V254" s="1659" t="str">
        <f t="shared" si="29"/>
        <v/>
      </c>
      <c r="W254" s="1676" t="str">
        <f t="shared" si="29"/>
        <v/>
      </c>
      <c r="X254" s="1659" t="str">
        <f t="shared" si="30"/>
        <v/>
      </c>
      <c r="Y254" s="1674" t="str">
        <f t="shared" si="31"/>
        <v/>
      </c>
      <c r="Z254" s="1655" t="str">
        <f t="shared" si="32"/>
        <v/>
      </c>
      <c r="AA254" s="1655" t="str">
        <f t="shared" si="33"/>
        <v/>
      </c>
      <c r="AB254" s="1655" t="str">
        <f t="shared" si="34"/>
        <v/>
      </c>
      <c r="AC254" s="1655" t="str">
        <f t="shared" si="35"/>
        <v/>
      </c>
      <c r="AD254" s="1675" t="str">
        <f t="shared" si="36"/>
        <v/>
      </c>
      <c r="AE254" s="1674" t="str">
        <f t="shared" si="37"/>
        <v/>
      </c>
      <c r="AF254" s="1657" t="str">
        <f t="shared" si="18"/>
        <v/>
      </c>
      <c r="AG254" s="1655" t="str">
        <f t="shared" si="38"/>
        <v/>
      </c>
      <c r="AH254" s="1665" t="str">
        <f t="shared" si="39"/>
        <v/>
      </c>
      <c r="AI254" s="1665" t="str">
        <f t="shared" si="40"/>
        <v/>
      </c>
      <c r="AJ254" s="1655" t="str">
        <f t="shared" si="41"/>
        <v/>
      </c>
      <c r="AK254" s="1659" t="str">
        <f t="shared" si="42"/>
        <v/>
      </c>
    </row>
    <row r="255" spans="1:37" x14ac:dyDescent="0.25">
      <c r="A255" s="1655" t="s">
        <v>1471</v>
      </c>
      <c r="B255" s="1655" t="str">
        <f>IF(BUILDING!D74="","",BUILDING!D74)</f>
        <v/>
      </c>
      <c r="C255" s="1655" t="str">
        <f>IF(BUILDING!E74="","",BUILDING!E74)</f>
        <v/>
      </c>
      <c r="D255" s="1655" t="str">
        <f>IF(BUILDING!F74="","",BUILDING!F74)</f>
        <v/>
      </c>
      <c r="E255" s="1655" t="str">
        <f>IF(BUILDING!G74="","",BUILDING!G74)</f>
        <v/>
      </c>
      <c r="F255" s="1674" t="str">
        <f>IF(BUILDING!C74="","",BUILDING!C74)</f>
        <v/>
      </c>
      <c r="G255" s="1655" t="str">
        <f>IF(BUILDING!H74="","",BUILDING!H74)</f>
        <v/>
      </c>
      <c r="H255" s="1655" t="str">
        <f>IF(BUILDING!I74="","",BUILDING!I74)</f>
        <v/>
      </c>
      <c r="I255" s="1659" t="str">
        <f>IF(BUILDING!K74="","",BUILDING!K74)</f>
        <v/>
      </c>
      <c r="J255" s="1659" t="str">
        <f>IF(BUILDING!L74="","",BUILDING!L74)</f>
        <v/>
      </c>
      <c r="K255" s="1675" t="str">
        <f>IF(BUILDING!N74=0,"",BUILDING!N74)</f>
        <v/>
      </c>
      <c r="L255" s="1674" t="str">
        <f>IF(BUILDING!O74="","",BUILDING!O74)</f>
        <v/>
      </c>
      <c r="M255" s="1655" t="str">
        <f>IF(BUILDING!P74="","",BUILDING!P74)</f>
        <v/>
      </c>
      <c r="O255" s="1655" t="s">
        <v>1472</v>
      </c>
      <c r="P255" s="1655" t="str">
        <f t="shared" si="43"/>
        <v/>
      </c>
      <c r="Q255" s="1655" t="str">
        <f t="shared" si="44"/>
        <v/>
      </c>
      <c r="R255" s="1655" t="str">
        <f t="shared" si="45"/>
        <v/>
      </c>
      <c r="T255" s="1655" t="s">
        <v>1473</v>
      </c>
      <c r="U255" s="1655" t="str">
        <f t="shared" si="28"/>
        <v/>
      </c>
      <c r="V255" s="1659" t="str">
        <f t="shared" si="29"/>
        <v/>
      </c>
      <c r="W255" s="1676" t="str">
        <f t="shared" si="29"/>
        <v/>
      </c>
      <c r="X255" s="1659" t="str">
        <f t="shared" si="30"/>
        <v/>
      </c>
      <c r="Y255" s="1674" t="str">
        <f t="shared" si="31"/>
        <v/>
      </c>
      <c r="Z255" s="1655" t="str">
        <f t="shared" si="32"/>
        <v/>
      </c>
      <c r="AA255" s="1655" t="str">
        <f t="shared" si="33"/>
        <v/>
      </c>
      <c r="AB255" s="1655" t="str">
        <f t="shared" si="34"/>
        <v/>
      </c>
      <c r="AC255" s="1655" t="str">
        <f t="shared" si="35"/>
        <v/>
      </c>
      <c r="AD255" s="1675" t="str">
        <f t="shared" si="36"/>
        <v/>
      </c>
      <c r="AE255" s="1674" t="str">
        <f t="shared" si="37"/>
        <v/>
      </c>
      <c r="AF255" s="1657" t="str">
        <f t="shared" si="37"/>
        <v/>
      </c>
      <c r="AG255" s="1655" t="str">
        <f t="shared" si="38"/>
        <v/>
      </c>
      <c r="AH255" s="1665" t="str">
        <f t="shared" si="39"/>
        <v/>
      </c>
      <c r="AI255" s="1665" t="str">
        <f t="shared" si="40"/>
        <v/>
      </c>
      <c r="AJ255" s="1655" t="str">
        <f t="shared" si="41"/>
        <v/>
      </c>
      <c r="AK255" s="1659" t="str">
        <f t="shared" ref="AK255:AK290" si="46">IF(U255="","",$M$673)</f>
        <v/>
      </c>
    </row>
    <row r="256" spans="1:37" x14ac:dyDescent="0.25">
      <c r="A256" s="1655" t="s">
        <v>1471</v>
      </c>
      <c r="B256" s="1655" t="str">
        <f>IF(BUILDING!D75="","",BUILDING!D75)</f>
        <v/>
      </c>
      <c r="C256" s="1655" t="str">
        <f>IF(BUILDING!E75="","",BUILDING!E75)</f>
        <v/>
      </c>
      <c r="D256" s="1655" t="str">
        <f>IF(BUILDING!F75="","",BUILDING!F75)</f>
        <v/>
      </c>
      <c r="E256" s="1655" t="str">
        <f>IF(BUILDING!G75="","",BUILDING!G75)</f>
        <v/>
      </c>
      <c r="F256" s="1674" t="str">
        <f>IF(BUILDING!C75="","",BUILDING!C75)</f>
        <v/>
      </c>
      <c r="G256" s="1655" t="str">
        <f>IF(BUILDING!H75="","",BUILDING!H75)</f>
        <v/>
      </c>
      <c r="H256" s="1655" t="str">
        <f>IF(BUILDING!I75="","",BUILDING!I75)</f>
        <v/>
      </c>
      <c r="I256" s="1659" t="str">
        <f>IF(BUILDING!K75="","",BUILDING!K75)</f>
        <v/>
      </c>
      <c r="J256" s="1659" t="str">
        <f>IF(BUILDING!L75="","",BUILDING!L75)</f>
        <v/>
      </c>
      <c r="K256" s="1675" t="str">
        <f>IF(BUILDING!N75=0,"",BUILDING!N75)</f>
        <v/>
      </c>
      <c r="L256" s="1674" t="str">
        <f>IF(BUILDING!O75="","",BUILDING!O75)</f>
        <v/>
      </c>
      <c r="M256" s="1655" t="str">
        <f>IF(BUILDING!P75="","",BUILDING!P75)</f>
        <v/>
      </c>
      <c r="O256" s="1655" t="s">
        <v>1472</v>
      </c>
      <c r="P256" s="1655" t="str">
        <f t="shared" si="43"/>
        <v/>
      </c>
      <c r="Q256" s="1655" t="str">
        <f t="shared" si="44"/>
        <v/>
      </c>
      <c r="R256" s="1655" t="str">
        <f t="shared" si="45"/>
        <v/>
      </c>
      <c r="T256" s="1655" t="s">
        <v>1473</v>
      </c>
      <c r="U256" s="1655" t="str">
        <f t="shared" si="28"/>
        <v/>
      </c>
      <c r="V256" s="1659" t="str">
        <f t="shared" si="29"/>
        <v/>
      </c>
      <c r="W256" s="1676" t="str">
        <f t="shared" si="29"/>
        <v/>
      </c>
      <c r="X256" s="1659" t="str">
        <f t="shared" si="30"/>
        <v/>
      </c>
      <c r="Y256" s="1674" t="str">
        <f t="shared" si="31"/>
        <v/>
      </c>
      <c r="Z256" s="1655" t="str">
        <f t="shared" si="32"/>
        <v/>
      </c>
      <c r="AA256" s="1655" t="str">
        <f t="shared" si="33"/>
        <v/>
      </c>
      <c r="AB256" s="1655" t="str">
        <f t="shared" si="34"/>
        <v/>
      </c>
      <c r="AC256" s="1655" t="str">
        <f t="shared" si="35"/>
        <v/>
      </c>
      <c r="AD256" s="1675" t="str">
        <f t="shared" si="36"/>
        <v/>
      </c>
      <c r="AE256" s="1674" t="str">
        <f t="shared" si="37"/>
        <v/>
      </c>
      <c r="AF256" s="1657" t="str">
        <f t="shared" si="37"/>
        <v/>
      </c>
      <c r="AG256" s="1655" t="str">
        <f t="shared" si="38"/>
        <v/>
      </c>
      <c r="AH256" s="1665" t="str">
        <f t="shared" si="39"/>
        <v/>
      </c>
      <c r="AI256" s="1665" t="str">
        <f t="shared" si="40"/>
        <v/>
      </c>
      <c r="AJ256" s="1655" t="str">
        <f t="shared" si="41"/>
        <v/>
      </c>
      <c r="AK256" s="1659" t="str">
        <f t="shared" si="46"/>
        <v/>
      </c>
    </row>
    <row r="257" spans="1:37" x14ac:dyDescent="0.25">
      <c r="A257" s="1655" t="s">
        <v>1471</v>
      </c>
      <c r="B257" s="1655" t="str">
        <f>IF(BUILDING!D76="","",BUILDING!D76)</f>
        <v/>
      </c>
      <c r="C257" s="1655" t="str">
        <f>IF(BUILDING!E76="","",BUILDING!E76)</f>
        <v/>
      </c>
      <c r="D257" s="1655" t="str">
        <f>IF(BUILDING!F76="","",BUILDING!F76)</f>
        <v/>
      </c>
      <c r="E257" s="1655" t="str">
        <f>IF(BUILDING!G76="","",BUILDING!G76)</f>
        <v/>
      </c>
      <c r="F257" s="1674" t="str">
        <f>IF(BUILDING!C76="","",BUILDING!C76)</f>
        <v/>
      </c>
      <c r="G257" s="1655" t="str">
        <f>IF(BUILDING!H76="","",BUILDING!H76)</f>
        <v/>
      </c>
      <c r="H257" s="1655" t="str">
        <f>IF(BUILDING!I76="","",BUILDING!I76)</f>
        <v/>
      </c>
      <c r="I257" s="1659" t="str">
        <f>IF(BUILDING!K76="","",BUILDING!K76)</f>
        <v/>
      </c>
      <c r="J257" s="1659" t="str">
        <f>IF(BUILDING!L76="","",BUILDING!L76)</f>
        <v/>
      </c>
      <c r="K257" s="1675" t="str">
        <f>IF(BUILDING!N76=0,"",BUILDING!N76)</f>
        <v/>
      </c>
      <c r="L257" s="1674" t="str">
        <f>IF(BUILDING!O76="","",BUILDING!O76)</f>
        <v/>
      </c>
      <c r="M257" s="1655" t="str">
        <f>IF(BUILDING!P76="","",BUILDING!P76)</f>
        <v/>
      </c>
      <c r="O257" s="1655" t="s">
        <v>1472</v>
      </c>
      <c r="P257" s="1655" t="str">
        <f t="shared" si="43"/>
        <v/>
      </c>
      <c r="Q257" s="1655" t="str">
        <f t="shared" si="44"/>
        <v/>
      </c>
      <c r="R257" s="1655" t="str">
        <f t="shared" si="45"/>
        <v/>
      </c>
      <c r="T257" s="1655" t="s">
        <v>1473</v>
      </c>
      <c r="U257" s="1655" t="str">
        <f t="shared" si="28"/>
        <v/>
      </c>
      <c r="V257" s="1659" t="str">
        <f t="shared" si="29"/>
        <v/>
      </c>
      <c r="W257" s="1676" t="str">
        <f t="shared" si="29"/>
        <v/>
      </c>
      <c r="X257" s="1659" t="str">
        <f t="shared" si="30"/>
        <v/>
      </c>
      <c r="Y257" s="1674" t="str">
        <f t="shared" si="31"/>
        <v/>
      </c>
      <c r="Z257" s="1655" t="str">
        <f t="shared" si="32"/>
        <v/>
      </c>
      <c r="AA257" s="1655" t="str">
        <f t="shared" si="33"/>
        <v/>
      </c>
      <c r="AB257" s="1655" t="str">
        <f t="shared" si="34"/>
        <v/>
      </c>
      <c r="AC257" s="1655" t="str">
        <f t="shared" si="35"/>
        <v/>
      </c>
      <c r="AD257" s="1675" t="str">
        <f t="shared" si="36"/>
        <v/>
      </c>
      <c r="AE257" s="1674" t="str">
        <f t="shared" si="37"/>
        <v/>
      </c>
      <c r="AF257" s="1657" t="str">
        <f t="shared" si="37"/>
        <v/>
      </c>
      <c r="AG257" s="1655" t="str">
        <f t="shared" si="38"/>
        <v/>
      </c>
      <c r="AH257" s="1665" t="str">
        <f t="shared" si="39"/>
        <v/>
      </c>
      <c r="AI257" s="1665" t="str">
        <f t="shared" si="40"/>
        <v/>
      </c>
      <c r="AJ257" s="1655" t="str">
        <f t="shared" si="41"/>
        <v/>
      </c>
      <c r="AK257" s="1659" t="str">
        <f t="shared" si="46"/>
        <v/>
      </c>
    </row>
    <row r="258" spans="1:37" x14ac:dyDescent="0.25">
      <c r="A258" s="1655" t="s">
        <v>1471</v>
      </c>
      <c r="B258" s="1655" t="str">
        <f>IF(BUILDING!D77="","",BUILDING!D77)</f>
        <v/>
      </c>
      <c r="C258" s="1655" t="str">
        <f>IF(BUILDING!E77="","",BUILDING!E77)</f>
        <v/>
      </c>
      <c r="D258" s="1655" t="str">
        <f>IF(BUILDING!F77="","",BUILDING!F77)</f>
        <v/>
      </c>
      <c r="E258" s="1655" t="str">
        <f>IF(BUILDING!G77="","",BUILDING!G77)</f>
        <v/>
      </c>
      <c r="F258" s="1674" t="str">
        <f>IF(BUILDING!C77="","",BUILDING!C77)</f>
        <v/>
      </c>
      <c r="G258" s="1655" t="str">
        <f>IF(BUILDING!H77="","",BUILDING!H77)</f>
        <v/>
      </c>
      <c r="H258" s="1655" t="str">
        <f>IF(BUILDING!I77="","",BUILDING!I77)</f>
        <v/>
      </c>
      <c r="I258" s="1659" t="str">
        <f>IF(BUILDING!K77="","",BUILDING!K77)</f>
        <v/>
      </c>
      <c r="J258" s="1659" t="str">
        <f>IF(BUILDING!L77="","",BUILDING!L77)</f>
        <v/>
      </c>
      <c r="K258" s="1675" t="str">
        <f>IF(BUILDING!N77=0,"",BUILDING!N77)</f>
        <v/>
      </c>
      <c r="L258" s="1674" t="str">
        <f>IF(BUILDING!O77="","",BUILDING!O77)</f>
        <v/>
      </c>
      <c r="M258" s="1655" t="str">
        <f>IF(BUILDING!P77="","",BUILDING!P77)</f>
        <v/>
      </c>
      <c r="O258" s="1655" t="s">
        <v>1472</v>
      </c>
      <c r="P258" s="1655" t="str">
        <f t="shared" si="43"/>
        <v/>
      </c>
      <c r="Q258" s="1655" t="str">
        <f t="shared" si="44"/>
        <v/>
      </c>
      <c r="R258" s="1655" t="str">
        <f t="shared" si="45"/>
        <v/>
      </c>
      <c r="T258" s="1655" t="s">
        <v>1473</v>
      </c>
      <c r="U258" s="1655" t="str">
        <f t="shared" si="28"/>
        <v/>
      </c>
      <c r="V258" s="1659" t="str">
        <f t="shared" si="29"/>
        <v/>
      </c>
      <c r="W258" s="1676" t="str">
        <f t="shared" si="29"/>
        <v/>
      </c>
      <c r="X258" s="1659" t="str">
        <f t="shared" si="30"/>
        <v/>
      </c>
      <c r="Y258" s="1674" t="str">
        <f t="shared" si="31"/>
        <v/>
      </c>
      <c r="Z258" s="1655" t="str">
        <f t="shared" si="32"/>
        <v/>
      </c>
      <c r="AA258" s="1655" t="str">
        <f t="shared" si="33"/>
        <v/>
      </c>
      <c r="AB258" s="1655" t="str">
        <f t="shared" si="34"/>
        <v/>
      </c>
      <c r="AC258" s="1655" t="str">
        <f t="shared" si="35"/>
        <v/>
      </c>
      <c r="AD258" s="1675" t="str">
        <f t="shared" si="36"/>
        <v/>
      </c>
      <c r="AE258" s="1674" t="str">
        <f t="shared" si="37"/>
        <v/>
      </c>
      <c r="AF258" s="1657" t="str">
        <f t="shared" si="37"/>
        <v/>
      </c>
      <c r="AG258" s="1655" t="str">
        <f t="shared" si="38"/>
        <v/>
      </c>
      <c r="AH258" s="1665" t="str">
        <f t="shared" si="39"/>
        <v/>
      </c>
      <c r="AI258" s="1665" t="str">
        <f t="shared" si="40"/>
        <v/>
      </c>
      <c r="AJ258" s="1655" t="str">
        <f t="shared" si="41"/>
        <v/>
      </c>
      <c r="AK258" s="1659" t="str">
        <f t="shared" si="46"/>
        <v/>
      </c>
    </row>
    <row r="259" spans="1:37" x14ac:dyDescent="0.25">
      <c r="A259" s="1655" t="s">
        <v>1471</v>
      </c>
      <c r="B259" s="1655" t="str">
        <f>IF(BUILDING!D78="","",BUILDING!D78)</f>
        <v/>
      </c>
      <c r="C259" s="1655" t="str">
        <f>IF(BUILDING!E78="","",BUILDING!E78)</f>
        <v/>
      </c>
      <c r="D259" s="1655" t="str">
        <f>IF(BUILDING!F78="","",BUILDING!F78)</f>
        <v/>
      </c>
      <c r="E259" s="1655" t="str">
        <f>IF(BUILDING!G78="","",BUILDING!G78)</f>
        <v/>
      </c>
      <c r="F259" s="1674" t="str">
        <f>IF(BUILDING!C78="","",BUILDING!C78)</f>
        <v/>
      </c>
      <c r="G259" s="1655" t="str">
        <f>IF(BUILDING!H78="","",BUILDING!H78)</f>
        <v/>
      </c>
      <c r="H259" s="1655" t="str">
        <f>IF(BUILDING!I78="","",BUILDING!I78)</f>
        <v/>
      </c>
      <c r="I259" s="1659" t="str">
        <f>IF(BUILDING!K78="","",BUILDING!K78)</f>
        <v/>
      </c>
      <c r="J259" s="1659" t="str">
        <f>IF(BUILDING!L78="","",BUILDING!L78)</f>
        <v/>
      </c>
      <c r="K259" s="1675" t="str">
        <f>IF(BUILDING!N78=0,"",BUILDING!N78)</f>
        <v/>
      </c>
      <c r="L259" s="1674" t="str">
        <f>IF(BUILDING!O78="","",BUILDING!O78)</f>
        <v/>
      </c>
      <c r="M259" s="1655" t="str">
        <f>IF(BUILDING!P78="","",BUILDING!P78)</f>
        <v/>
      </c>
      <c r="O259" s="1655" t="s">
        <v>1472</v>
      </c>
      <c r="P259" s="1655" t="str">
        <f t="shared" si="43"/>
        <v/>
      </c>
      <c r="Q259" s="1655" t="str">
        <f t="shared" si="44"/>
        <v/>
      </c>
      <c r="R259" s="1655" t="str">
        <f t="shared" si="45"/>
        <v/>
      </c>
      <c r="T259" s="1655" t="s">
        <v>1473</v>
      </c>
      <c r="U259" s="1655" t="str">
        <f t="shared" si="28"/>
        <v/>
      </c>
      <c r="V259" s="1659" t="str">
        <f t="shared" si="29"/>
        <v/>
      </c>
      <c r="W259" s="1676" t="str">
        <f t="shared" si="29"/>
        <v/>
      </c>
      <c r="X259" s="1659" t="str">
        <f t="shared" si="30"/>
        <v/>
      </c>
      <c r="Y259" s="1674" t="str">
        <f t="shared" si="31"/>
        <v/>
      </c>
      <c r="Z259" s="1655" t="str">
        <f t="shared" si="32"/>
        <v/>
      </c>
      <c r="AA259" s="1655" t="str">
        <f t="shared" si="33"/>
        <v/>
      </c>
      <c r="AB259" s="1655" t="str">
        <f t="shared" si="34"/>
        <v/>
      </c>
      <c r="AC259" s="1655" t="str">
        <f t="shared" si="35"/>
        <v/>
      </c>
      <c r="AD259" s="1675" t="str">
        <f t="shared" si="36"/>
        <v/>
      </c>
      <c r="AE259" s="1674" t="str">
        <f t="shared" si="37"/>
        <v/>
      </c>
      <c r="AF259" s="1657" t="str">
        <f t="shared" si="37"/>
        <v/>
      </c>
      <c r="AG259" s="1655" t="str">
        <f t="shared" si="38"/>
        <v/>
      </c>
      <c r="AH259" s="1665" t="str">
        <f t="shared" si="39"/>
        <v/>
      </c>
      <c r="AI259" s="1665" t="str">
        <f t="shared" si="40"/>
        <v/>
      </c>
      <c r="AJ259" s="1655" t="str">
        <f t="shared" si="41"/>
        <v/>
      </c>
      <c r="AK259" s="1659" t="str">
        <f t="shared" si="46"/>
        <v/>
      </c>
    </row>
    <row r="260" spans="1:37" x14ac:dyDescent="0.25">
      <c r="A260" s="1655" t="s">
        <v>1471</v>
      </c>
      <c r="B260" s="1655" t="str">
        <f>IF(BUILDING!D79="","",BUILDING!D79)</f>
        <v/>
      </c>
      <c r="C260" s="1655" t="str">
        <f>IF(BUILDING!E79="","",BUILDING!E79)</f>
        <v/>
      </c>
      <c r="D260" s="1655" t="str">
        <f>IF(BUILDING!F79="","",BUILDING!F79)</f>
        <v/>
      </c>
      <c r="E260" s="1655" t="str">
        <f>IF(BUILDING!G79="","",BUILDING!G79)</f>
        <v/>
      </c>
      <c r="F260" s="1674" t="str">
        <f>IF(BUILDING!C79="","",BUILDING!C79)</f>
        <v/>
      </c>
      <c r="G260" s="1655" t="str">
        <f>IF(BUILDING!H79="","",BUILDING!H79)</f>
        <v/>
      </c>
      <c r="H260" s="1655" t="str">
        <f>IF(BUILDING!I79="","",BUILDING!I79)</f>
        <v/>
      </c>
      <c r="I260" s="1659" t="str">
        <f>IF(BUILDING!K79="","",BUILDING!K79)</f>
        <v/>
      </c>
      <c r="J260" s="1659" t="str">
        <f>IF(BUILDING!L79="","",BUILDING!L79)</f>
        <v/>
      </c>
      <c r="K260" s="1675" t="str">
        <f>IF(BUILDING!N79=0,"",BUILDING!N79)</f>
        <v/>
      </c>
      <c r="L260" s="1674" t="str">
        <f>IF(BUILDING!O79="","",BUILDING!O79)</f>
        <v/>
      </c>
      <c r="M260" s="1655" t="str">
        <f>IF(BUILDING!P79="","",BUILDING!P79)</f>
        <v/>
      </c>
      <c r="O260" s="1655" t="s">
        <v>1472</v>
      </c>
      <c r="P260" s="1655" t="str">
        <f t="shared" si="43"/>
        <v/>
      </c>
      <c r="Q260" s="1655" t="str">
        <f t="shared" si="44"/>
        <v/>
      </c>
      <c r="R260" s="1655" t="str">
        <f t="shared" si="45"/>
        <v/>
      </c>
      <c r="T260" s="1655" t="s">
        <v>1473</v>
      </c>
      <c r="U260" s="1655" t="str">
        <f t="shared" si="28"/>
        <v/>
      </c>
      <c r="V260" s="1659" t="str">
        <f t="shared" si="29"/>
        <v/>
      </c>
      <c r="W260" s="1676" t="str">
        <f t="shared" si="29"/>
        <v/>
      </c>
      <c r="X260" s="1659" t="str">
        <f t="shared" si="30"/>
        <v/>
      </c>
      <c r="Y260" s="1674" t="str">
        <f t="shared" si="31"/>
        <v/>
      </c>
      <c r="Z260" s="1655" t="str">
        <f t="shared" si="32"/>
        <v/>
      </c>
      <c r="AA260" s="1655" t="str">
        <f t="shared" si="33"/>
        <v/>
      </c>
      <c r="AB260" s="1655" t="str">
        <f t="shared" si="34"/>
        <v/>
      </c>
      <c r="AC260" s="1655" t="str">
        <f t="shared" si="35"/>
        <v/>
      </c>
      <c r="AD260" s="1675" t="str">
        <f t="shared" si="36"/>
        <v/>
      </c>
      <c r="AE260" s="1674" t="str">
        <f t="shared" si="37"/>
        <v/>
      </c>
      <c r="AF260" s="1657" t="str">
        <f t="shared" si="37"/>
        <v/>
      </c>
      <c r="AG260" s="1655" t="str">
        <f t="shared" si="38"/>
        <v/>
      </c>
      <c r="AH260" s="1665" t="str">
        <f t="shared" si="39"/>
        <v/>
      </c>
      <c r="AI260" s="1665" t="str">
        <f t="shared" si="40"/>
        <v/>
      </c>
      <c r="AJ260" s="1655" t="str">
        <f t="shared" si="41"/>
        <v/>
      </c>
      <c r="AK260" s="1659" t="str">
        <f t="shared" si="46"/>
        <v/>
      </c>
    </row>
    <row r="261" spans="1:37" x14ac:dyDescent="0.25">
      <c r="A261" s="1655" t="s">
        <v>1471</v>
      </c>
      <c r="B261" s="1655" t="str">
        <f>IF(BUILDING!D80="","",BUILDING!D80)</f>
        <v/>
      </c>
      <c r="C261" s="1655" t="str">
        <f>IF(BUILDING!E80="","",BUILDING!E80)</f>
        <v/>
      </c>
      <c r="D261" s="1655" t="str">
        <f>IF(BUILDING!F80="","",BUILDING!F80)</f>
        <v/>
      </c>
      <c r="E261" s="1655" t="str">
        <f>IF(BUILDING!G80="","",BUILDING!G80)</f>
        <v/>
      </c>
      <c r="F261" s="1674" t="str">
        <f>IF(BUILDING!C80="","",BUILDING!C80)</f>
        <v/>
      </c>
      <c r="G261" s="1655" t="str">
        <f>IF(BUILDING!H80="","",BUILDING!H80)</f>
        <v/>
      </c>
      <c r="H261" s="1655" t="str">
        <f>IF(BUILDING!I80="","",BUILDING!I80)</f>
        <v/>
      </c>
      <c r="I261" s="1659" t="str">
        <f>IF(BUILDING!K80="","",BUILDING!K80)</f>
        <v/>
      </c>
      <c r="J261" s="1659" t="str">
        <f>IF(BUILDING!L80="","",BUILDING!L80)</f>
        <v/>
      </c>
      <c r="K261" s="1675" t="str">
        <f>IF(BUILDING!N80=0,"",BUILDING!N80)</f>
        <v/>
      </c>
      <c r="L261" s="1674" t="str">
        <f>IF(BUILDING!O80="","",BUILDING!O80)</f>
        <v/>
      </c>
      <c r="M261" s="1655" t="str">
        <f>IF(BUILDING!P80="","",BUILDING!P80)</f>
        <v/>
      </c>
      <c r="O261" s="1655" t="s">
        <v>1472</v>
      </c>
      <c r="P261" s="1655" t="str">
        <f t="shared" si="43"/>
        <v/>
      </c>
      <c r="Q261" s="1655" t="str">
        <f t="shared" si="44"/>
        <v/>
      </c>
      <c r="R261" s="1655" t="str">
        <f t="shared" si="45"/>
        <v/>
      </c>
      <c r="T261" s="1655" t="s">
        <v>1473</v>
      </c>
      <c r="U261" s="1655" t="str">
        <f t="shared" si="28"/>
        <v/>
      </c>
      <c r="V261" s="1659" t="str">
        <f t="shared" si="29"/>
        <v/>
      </c>
      <c r="W261" s="1676" t="str">
        <f t="shared" si="29"/>
        <v/>
      </c>
      <c r="X261" s="1659" t="str">
        <f t="shared" si="30"/>
        <v/>
      </c>
      <c r="Y261" s="1674" t="str">
        <f t="shared" si="31"/>
        <v/>
      </c>
      <c r="Z261" s="1655" t="str">
        <f t="shared" si="32"/>
        <v/>
      </c>
      <c r="AA261" s="1655" t="str">
        <f t="shared" si="33"/>
        <v/>
      </c>
      <c r="AB261" s="1655" t="str">
        <f t="shared" si="34"/>
        <v/>
      </c>
      <c r="AC261" s="1655" t="str">
        <f t="shared" si="35"/>
        <v/>
      </c>
      <c r="AD261" s="1675" t="str">
        <f t="shared" si="36"/>
        <v/>
      </c>
      <c r="AE261" s="1674" t="str">
        <f t="shared" si="37"/>
        <v/>
      </c>
      <c r="AF261" s="1657" t="str">
        <f t="shared" si="37"/>
        <v/>
      </c>
      <c r="AG261" s="1655" t="str">
        <f t="shared" si="38"/>
        <v/>
      </c>
      <c r="AH261" s="1665" t="str">
        <f t="shared" si="39"/>
        <v/>
      </c>
      <c r="AI261" s="1665" t="str">
        <f t="shared" si="40"/>
        <v/>
      </c>
      <c r="AJ261" s="1655" t="str">
        <f t="shared" si="41"/>
        <v/>
      </c>
      <c r="AK261" s="1659" t="str">
        <f t="shared" si="46"/>
        <v/>
      </c>
    </row>
    <row r="262" spans="1:37" x14ac:dyDescent="0.25">
      <c r="A262" s="1655" t="s">
        <v>1471</v>
      </c>
      <c r="B262" s="1655" t="str">
        <f>IF(BUILDING!D81="","",BUILDING!D81)</f>
        <v/>
      </c>
      <c r="C262" s="1655" t="str">
        <f>IF(BUILDING!E81="","",BUILDING!E81)</f>
        <v/>
      </c>
      <c r="D262" s="1655" t="str">
        <f>IF(BUILDING!F81="","",BUILDING!F81)</f>
        <v/>
      </c>
      <c r="E262" s="1655" t="str">
        <f>IF(BUILDING!G81="","",BUILDING!G81)</f>
        <v/>
      </c>
      <c r="F262" s="1674" t="str">
        <f>IF(BUILDING!C81="","",BUILDING!C81)</f>
        <v/>
      </c>
      <c r="G262" s="1655" t="str">
        <f>IF(BUILDING!H81="","",BUILDING!H81)</f>
        <v/>
      </c>
      <c r="H262" s="1655" t="str">
        <f>IF(BUILDING!I81="","",BUILDING!I81)</f>
        <v/>
      </c>
      <c r="I262" s="1659" t="str">
        <f>IF(BUILDING!K81="","",BUILDING!K81)</f>
        <v/>
      </c>
      <c r="J262" s="1659" t="str">
        <f>IF(BUILDING!L81="","",BUILDING!L81)</f>
        <v/>
      </c>
      <c r="K262" s="1675" t="str">
        <f>IF(BUILDING!N81=0,"",BUILDING!N81)</f>
        <v/>
      </c>
      <c r="L262" s="1674" t="str">
        <f>IF(BUILDING!O81="","",BUILDING!O81)</f>
        <v/>
      </c>
      <c r="M262" s="1655" t="str">
        <f>IF(BUILDING!P81="","",BUILDING!P81)</f>
        <v/>
      </c>
      <c r="O262" s="1655" t="s">
        <v>1472</v>
      </c>
      <c r="P262" s="1655" t="str">
        <f t="shared" si="43"/>
        <v/>
      </c>
      <c r="Q262" s="1655" t="str">
        <f t="shared" si="44"/>
        <v/>
      </c>
      <c r="R262" s="1655" t="str">
        <f t="shared" si="45"/>
        <v/>
      </c>
      <c r="T262" s="1655" t="s">
        <v>1473</v>
      </c>
      <c r="U262" s="1655" t="str">
        <f t="shared" si="28"/>
        <v/>
      </c>
      <c r="V262" s="1659" t="str">
        <f t="shared" si="29"/>
        <v/>
      </c>
      <c r="W262" s="1676" t="str">
        <f t="shared" si="29"/>
        <v/>
      </c>
      <c r="X262" s="1659" t="str">
        <f t="shared" si="30"/>
        <v/>
      </c>
      <c r="Y262" s="1674" t="str">
        <f t="shared" si="31"/>
        <v/>
      </c>
      <c r="Z262" s="1655" t="str">
        <f t="shared" si="32"/>
        <v/>
      </c>
      <c r="AA262" s="1655" t="str">
        <f t="shared" si="33"/>
        <v/>
      </c>
      <c r="AB262" s="1655" t="str">
        <f t="shared" si="34"/>
        <v/>
      </c>
      <c r="AC262" s="1655" t="str">
        <f t="shared" si="35"/>
        <v/>
      </c>
      <c r="AD262" s="1675" t="str">
        <f t="shared" si="36"/>
        <v/>
      </c>
      <c r="AE262" s="1674" t="str">
        <f t="shared" si="37"/>
        <v/>
      </c>
      <c r="AF262" s="1657" t="str">
        <f t="shared" si="37"/>
        <v/>
      </c>
      <c r="AG262" s="1655" t="str">
        <f t="shared" si="38"/>
        <v/>
      </c>
      <c r="AH262" s="1665" t="str">
        <f t="shared" si="39"/>
        <v/>
      </c>
      <c r="AI262" s="1665" t="str">
        <f t="shared" si="40"/>
        <v/>
      </c>
      <c r="AJ262" s="1655" t="str">
        <f t="shared" si="41"/>
        <v/>
      </c>
      <c r="AK262" s="1659" t="str">
        <f t="shared" si="46"/>
        <v/>
      </c>
    </row>
    <row r="263" spans="1:37" x14ac:dyDescent="0.25">
      <c r="A263" s="1655" t="s">
        <v>1471</v>
      </c>
      <c r="B263" s="1655" t="str">
        <f>IF(BUILDING!D82="","",BUILDING!D82)</f>
        <v/>
      </c>
      <c r="C263" s="1655" t="str">
        <f>IF(BUILDING!E82="","",BUILDING!E82)</f>
        <v/>
      </c>
      <c r="D263" s="1655" t="str">
        <f>IF(BUILDING!F82="","",BUILDING!F82)</f>
        <v/>
      </c>
      <c r="E263" s="1655" t="str">
        <f>IF(BUILDING!G82="","",BUILDING!G82)</f>
        <v/>
      </c>
      <c r="F263" s="1674" t="str">
        <f>IF(BUILDING!C82="","",BUILDING!C82)</f>
        <v/>
      </c>
      <c r="G263" s="1655" t="str">
        <f>IF(BUILDING!H82="","",BUILDING!H82)</f>
        <v/>
      </c>
      <c r="H263" s="1655" t="str">
        <f>IF(BUILDING!I82="","",BUILDING!I82)</f>
        <v/>
      </c>
      <c r="I263" s="1659" t="str">
        <f>IF(BUILDING!K82="","",BUILDING!K82)</f>
        <v/>
      </c>
      <c r="J263" s="1659" t="str">
        <f>IF(BUILDING!L82="","",BUILDING!L82)</f>
        <v/>
      </c>
      <c r="K263" s="1675" t="str">
        <f>IF(BUILDING!N82=0,"",BUILDING!N82)</f>
        <v/>
      </c>
      <c r="L263" s="1674" t="str">
        <f>IF(BUILDING!O82="","",BUILDING!O82)</f>
        <v/>
      </c>
      <c r="M263" s="1655" t="str">
        <f>IF(BUILDING!P82="","",BUILDING!P82)</f>
        <v/>
      </c>
      <c r="O263" s="1655" t="s">
        <v>1472</v>
      </c>
      <c r="P263" s="1655" t="str">
        <f t="shared" si="43"/>
        <v/>
      </c>
      <c r="Q263" s="1655" t="str">
        <f t="shared" si="44"/>
        <v/>
      </c>
      <c r="R263" s="1655" t="str">
        <f t="shared" si="45"/>
        <v/>
      </c>
      <c r="T263" s="1655" t="s">
        <v>1473</v>
      </c>
      <c r="U263" s="1655" t="str">
        <f t="shared" si="28"/>
        <v/>
      </c>
      <c r="V263" s="1659" t="str">
        <f t="shared" si="29"/>
        <v/>
      </c>
      <c r="W263" s="1676" t="str">
        <f t="shared" si="29"/>
        <v/>
      </c>
      <c r="X263" s="1659" t="str">
        <f t="shared" si="30"/>
        <v/>
      </c>
      <c r="Y263" s="1674" t="str">
        <f t="shared" si="31"/>
        <v/>
      </c>
      <c r="Z263" s="1655" t="str">
        <f t="shared" si="32"/>
        <v/>
      </c>
      <c r="AA263" s="1655" t="str">
        <f t="shared" si="33"/>
        <v/>
      </c>
      <c r="AB263" s="1655" t="str">
        <f t="shared" si="34"/>
        <v/>
      </c>
      <c r="AC263" s="1655" t="str">
        <f t="shared" si="35"/>
        <v/>
      </c>
      <c r="AD263" s="1675" t="str">
        <f t="shared" si="36"/>
        <v/>
      </c>
      <c r="AE263" s="1674" t="str">
        <f t="shared" si="37"/>
        <v/>
      </c>
      <c r="AF263" s="1657" t="str">
        <f t="shared" si="37"/>
        <v/>
      </c>
      <c r="AG263" s="1655" t="str">
        <f t="shared" si="38"/>
        <v/>
      </c>
      <c r="AH263" s="1665" t="str">
        <f t="shared" si="39"/>
        <v/>
      </c>
      <c r="AI263" s="1665" t="str">
        <f t="shared" si="40"/>
        <v/>
      </c>
      <c r="AJ263" s="1655" t="str">
        <f t="shared" si="41"/>
        <v/>
      </c>
      <c r="AK263" s="1659" t="str">
        <f t="shared" si="46"/>
        <v/>
      </c>
    </row>
    <row r="264" spans="1:37" x14ac:dyDescent="0.25">
      <c r="A264" s="1655" t="s">
        <v>1471</v>
      </c>
      <c r="B264" s="1655" t="str">
        <f>IF(BUILDING!D83="","",BUILDING!D83)</f>
        <v/>
      </c>
      <c r="C264" s="1655" t="str">
        <f>IF(BUILDING!E83="","",BUILDING!E83)</f>
        <v/>
      </c>
      <c r="D264" s="1655" t="str">
        <f>IF(BUILDING!F83="","",BUILDING!F83)</f>
        <v/>
      </c>
      <c r="E264" s="1655" t="str">
        <f>IF(BUILDING!G83="","",BUILDING!G83)</f>
        <v/>
      </c>
      <c r="F264" s="1674" t="str">
        <f>IF(BUILDING!C83="","",BUILDING!C83)</f>
        <v/>
      </c>
      <c r="G264" s="1655" t="str">
        <f>IF(BUILDING!H83="","",BUILDING!H83)</f>
        <v/>
      </c>
      <c r="H264" s="1655" t="str">
        <f>IF(BUILDING!I83="","",BUILDING!I83)</f>
        <v/>
      </c>
      <c r="I264" s="1659" t="str">
        <f>IF(BUILDING!K83="","",BUILDING!K83)</f>
        <v/>
      </c>
      <c r="J264" s="1659" t="str">
        <f>IF(BUILDING!L83="","",BUILDING!L83)</f>
        <v/>
      </c>
      <c r="K264" s="1675" t="str">
        <f>IF(BUILDING!N83=0,"",BUILDING!N83)</f>
        <v/>
      </c>
      <c r="L264" s="1674" t="str">
        <f>IF(BUILDING!O83="","",BUILDING!O83)</f>
        <v/>
      </c>
      <c r="M264" s="1655" t="str">
        <f>IF(BUILDING!P83="","",BUILDING!P83)</f>
        <v/>
      </c>
      <c r="O264" s="1655" t="s">
        <v>1472</v>
      </c>
      <c r="P264" s="1655" t="str">
        <f t="shared" si="43"/>
        <v/>
      </c>
      <c r="Q264" s="1655" t="str">
        <f t="shared" si="44"/>
        <v/>
      </c>
      <c r="R264" s="1655" t="str">
        <f t="shared" si="45"/>
        <v/>
      </c>
      <c r="T264" s="1655" t="s">
        <v>1473</v>
      </c>
      <c r="U264" s="1655" t="str">
        <f t="shared" si="28"/>
        <v/>
      </c>
      <c r="V264" s="1659" t="str">
        <f t="shared" si="29"/>
        <v/>
      </c>
      <c r="W264" s="1676" t="str">
        <f t="shared" si="29"/>
        <v/>
      </c>
      <c r="X264" s="1659" t="str">
        <f t="shared" si="30"/>
        <v/>
      </c>
      <c r="Y264" s="1674" t="str">
        <f t="shared" si="31"/>
        <v/>
      </c>
      <c r="Z264" s="1655" t="str">
        <f t="shared" si="32"/>
        <v/>
      </c>
      <c r="AA264" s="1655" t="str">
        <f t="shared" si="33"/>
        <v/>
      </c>
      <c r="AB264" s="1655" t="str">
        <f t="shared" si="34"/>
        <v/>
      </c>
      <c r="AC264" s="1655" t="str">
        <f t="shared" si="35"/>
        <v/>
      </c>
      <c r="AD264" s="1675" t="str">
        <f t="shared" si="36"/>
        <v/>
      </c>
      <c r="AE264" s="1674" t="str">
        <f t="shared" si="37"/>
        <v/>
      </c>
      <c r="AF264" s="1657" t="str">
        <f t="shared" si="37"/>
        <v/>
      </c>
      <c r="AG264" s="1655" t="str">
        <f t="shared" si="38"/>
        <v/>
      </c>
      <c r="AH264" s="1665" t="str">
        <f t="shared" si="39"/>
        <v/>
      </c>
      <c r="AI264" s="1665" t="str">
        <f t="shared" si="40"/>
        <v/>
      </c>
      <c r="AJ264" s="1655" t="str">
        <f t="shared" si="41"/>
        <v/>
      </c>
      <c r="AK264" s="1659" t="str">
        <f t="shared" si="46"/>
        <v/>
      </c>
    </row>
    <row r="265" spans="1:37" x14ac:dyDescent="0.25">
      <c r="A265" s="1655" t="s">
        <v>1471</v>
      </c>
      <c r="B265" s="1655" t="str">
        <f>IF(BUILDING!D84="","",BUILDING!D84)</f>
        <v/>
      </c>
      <c r="C265" s="1655" t="str">
        <f>IF(BUILDING!E84="","",BUILDING!E84)</f>
        <v/>
      </c>
      <c r="D265" s="1655" t="str">
        <f>IF(BUILDING!F84="","",BUILDING!F84)</f>
        <v/>
      </c>
      <c r="E265" s="1655" t="str">
        <f>IF(BUILDING!G84="","",BUILDING!G84)</f>
        <v/>
      </c>
      <c r="F265" s="1674" t="str">
        <f>IF(BUILDING!C84="","",BUILDING!C84)</f>
        <v/>
      </c>
      <c r="G265" s="1655" t="str">
        <f>IF(BUILDING!H84="","",BUILDING!H84)</f>
        <v/>
      </c>
      <c r="H265" s="1655" t="str">
        <f>IF(BUILDING!I84="","",BUILDING!I84)</f>
        <v/>
      </c>
      <c r="I265" s="1659" t="str">
        <f>IF(BUILDING!K84="","",BUILDING!K84)</f>
        <v/>
      </c>
      <c r="J265" s="1659" t="str">
        <f>IF(BUILDING!L84="","",BUILDING!L84)</f>
        <v/>
      </c>
      <c r="K265" s="1675" t="str">
        <f>IF(BUILDING!N84=0,"",BUILDING!N84)</f>
        <v/>
      </c>
      <c r="L265" s="1674" t="str">
        <f>IF(BUILDING!O84="","",BUILDING!O84)</f>
        <v/>
      </c>
      <c r="M265" s="1655" t="str">
        <f>IF(BUILDING!P84="","",BUILDING!P84)</f>
        <v/>
      </c>
      <c r="O265" s="1655" t="s">
        <v>1472</v>
      </c>
      <c r="P265" s="1655" t="str">
        <f t="shared" si="43"/>
        <v/>
      </c>
      <c r="Q265" s="1655" t="str">
        <f t="shared" si="44"/>
        <v/>
      </c>
      <c r="R265" s="1655" t="str">
        <f t="shared" si="45"/>
        <v/>
      </c>
      <c r="T265" s="1655" t="s">
        <v>1473</v>
      </c>
      <c r="U265" s="1655" t="str">
        <f t="shared" si="28"/>
        <v/>
      </c>
      <c r="V265" s="1659" t="str">
        <f t="shared" si="29"/>
        <v/>
      </c>
      <c r="W265" s="1676" t="str">
        <f t="shared" si="29"/>
        <v/>
      </c>
      <c r="X265" s="1659" t="str">
        <f t="shared" si="30"/>
        <v/>
      </c>
      <c r="Y265" s="1674" t="str">
        <f t="shared" si="31"/>
        <v/>
      </c>
      <c r="Z265" s="1655" t="str">
        <f t="shared" si="32"/>
        <v/>
      </c>
      <c r="AA265" s="1655" t="str">
        <f t="shared" si="33"/>
        <v/>
      </c>
      <c r="AB265" s="1655" t="str">
        <f t="shared" si="34"/>
        <v/>
      </c>
      <c r="AC265" s="1655" t="str">
        <f t="shared" si="35"/>
        <v/>
      </c>
      <c r="AD265" s="1675" t="str">
        <f t="shared" si="36"/>
        <v/>
      </c>
      <c r="AE265" s="1674" t="str">
        <f t="shared" si="37"/>
        <v/>
      </c>
      <c r="AF265" s="1657" t="str">
        <f t="shared" si="37"/>
        <v/>
      </c>
      <c r="AG265" s="1655" t="str">
        <f t="shared" si="38"/>
        <v/>
      </c>
      <c r="AH265" s="1665" t="str">
        <f t="shared" si="39"/>
        <v/>
      </c>
      <c r="AI265" s="1665" t="str">
        <f t="shared" si="40"/>
        <v/>
      </c>
      <c r="AJ265" s="1655" t="str">
        <f t="shared" si="41"/>
        <v/>
      </c>
      <c r="AK265" s="1659" t="str">
        <f t="shared" si="46"/>
        <v/>
      </c>
    </row>
    <row r="266" spans="1:37" x14ac:dyDescent="0.25">
      <c r="A266" s="1655" t="s">
        <v>1471</v>
      </c>
      <c r="B266" s="1655" t="str">
        <f>IF(BUILDING!D85="","",BUILDING!D85)</f>
        <v/>
      </c>
      <c r="C266" s="1655" t="str">
        <f>IF(BUILDING!E85="","",BUILDING!E85)</f>
        <v/>
      </c>
      <c r="D266" s="1655" t="str">
        <f>IF(BUILDING!F85="","",BUILDING!F85)</f>
        <v/>
      </c>
      <c r="E266" s="1655" t="str">
        <f>IF(BUILDING!G85="","",BUILDING!G85)</f>
        <v/>
      </c>
      <c r="F266" s="1674" t="str">
        <f>IF(BUILDING!C85="","",BUILDING!C85)</f>
        <v/>
      </c>
      <c r="G266" s="1655" t="str">
        <f>IF(BUILDING!H85="","",BUILDING!H85)</f>
        <v/>
      </c>
      <c r="H266" s="1655" t="str">
        <f>IF(BUILDING!I85="","",BUILDING!I85)</f>
        <v/>
      </c>
      <c r="I266" s="1659" t="str">
        <f>IF(BUILDING!K85="","",BUILDING!K85)</f>
        <v/>
      </c>
      <c r="J266" s="1659" t="str">
        <f>IF(BUILDING!L85="","",BUILDING!L85)</f>
        <v/>
      </c>
      <c r="K266" s="1675" t="str">
        <f>IF(BUILDING!N85=0,"",BUILDING!N85)</f>
        <v/>
      </c>
      <c r="L266" s="1674" t="str">
        <f>IF(BUILDING!O85="","",BUILDING!O85)</f>
        <v/>
      </c>
      <c r="M266" s="1655" t="str">
        <f>IF(BUILDING!P85="","",BUILDING!P85)</f>
        <v/>
      </c>
      <c r="O266" s="1655" t="s">
        <v>1472</v>
      </c>
      <c r="P266" s="1655" t="str">
        <f t="shared" si="43"/>
        <v/>
      </c>
      <c r="Q266" s="1655" t="str">
        <f t="shared" si="44"/>
        <v/>
      </c>
      <c r="R266" s="1655" t="str">
        <f t="shared" si="45"/>
        <v/>
      </c>
      <c r="T266" s="1655" t="s">
        <v>1473</v>
      </c>
      <c r="U266" s="1655" t="str">
        <f t="shared" si="28"/>
        <v/>
      </c>
      <c r="V266" s="1659" t="str">
        <f t="shared" si="29"/>
        <v/>
      </c>
      <c r="W266" s="1676" t="str">
        <f t="shared" si="29"/>
        <v/>
      </c>
      <c r="X266" s="1659" t="str">
        <f t="shared" si="30"/>
        <v/>
      </c>
      <c r="Y266" s="1674" t="str">
        <f t="shared" si="31"/>
        <v/>
      </c>
      <c r="Z266" s="1655" t="str">
        <f t="shared" si="32"/>
        <v/>
      </c>
      <c r="AA266" s="1655" t="str">
        <f t="shared" si="33"/>
        <v/>
      </c>
      <c r="AB266" s="1655" t="str">
        <f t="shared" si="34"/>
        <v/>
      </c>
      <c r="AC266" s="1655" t="str">
        <f t="shared" si="35"/>
        <v/>
      </c>
      <c r="AD266" s="1675" t="str">
        <f t="shared" si="36"/>
        <v/>
      </c>
      <c r="AE266" s="1674" t="str">
        <f t="shared" si="37"/>
        <v/>
      </c>
      <c r="AF266" s="1657" t="str">
        <f t="shared" si="37"/>
        <v/>
      </c>
      <c r="AG266" s="1655" t="str">
        <f t="shared" si="38"/>
        <v/>
      </c>
      <c r="AH266" s="1665" t="str">
        <f t="shared" si="39"/>
        <v/>
      </c>
      <c r="AI266" s="1665" t="str">
        <f t="shared" si="40"/>
        <v/>
      </c>
      <c r="AJ266" s="1655" t="str">
        <f t="shared" si="41"/>
        <v/>
      </c>
      <c r="AK266" s="1659" t="str">
        <f t="shared" si="46"/>
        <v/>
      </c>
    </row>
    <row r="267" spans="1:37" x14ac:dyDescent="0.25">
      <c r="A267" s="1655" t="s">
        <v>1471</v>
      </c>
      <c r="B267" s="1655" t="str">
        <f>IF(BUILDING!D86="","",BUILDING!D86)</f>
        <v/>
      </c>
      <c r="C267" s="1655" t="str">
        <f>IF(BUILDING!E86="","",BUILDING!E86)</f>
        <v/>
      </c>
      <c r="D267" s="1655" t="str">
        <f>IF(BUILDING!F86="","",BUILDING!F86)</f>
        <v/>
      </c>
      <c r="E267" s="1655" t="str">
        <f>IF(BUILDING!G86="","",BUILDING!G86)</f>
        <v/>
      </c>
      <c r="F267" s="1674" t="str">
        <f>IF(BUILDING!C86="","",BUILDING!C86)</f>
        <v/>
      </c>
      <c r="G267" s="1655" t="str">
        <f>IF(BUILDING!H86="","",BUILDING!H86)</f>
        <v/>
      </c>
      <c r="H267" s="1655" t="str">
        <f>IF(BUILDING!I86="","",BUILDING!I86)</f>
        <v/>
      </c>
      <c r="I267" s="1659" t="str">
        <f>IF(BUILDING!K86="","",BUILDING!K86)</f>
        <v/>
      </c>
      <c r="J267" s="1659" t="str">
        <f>IF(BUILDING!L86="","",BUILDING!L86)</f>
        <v/>
      </c>
      <c r="K267" s="1675" t="str">
        <f>IF(BUILDING!N86=0,"",BUILDING!N86)</f>
        <v/>
      </c>
      <c r="L267" s="1674" t="str">
        <f>IF(BUILDING!O86="","",BUILDING!O86)</f>
        <v/>
      </c>
      <c r="M267" s="1655" t="str">
        <f>IF(BUILDING!P86="","",BUILDING!P86)</f>
        <v/>
      </c>
      <c r="O267" s="1655" t="s">
        <v>1472</v>
      </c>
      <c r="P267" s="1655" t="str">
        <f t="shared" si="43"/>
        <v/>
      </c>
      <c r="Q267" s="1655" t="str">
        <f t="shared" si="44"/>
        <v/>
      </c>
      <c r="R267" s="1655" t="str">
        <f t="shared" si="45"/>
        <v/>
      </c>
      <c r="T267" s="1655" t="s">
        <v>1473</v>
      </c>
      <c r="U267" s="1655" t="str">
        <f t="shared" si="28"/>
        <v/>
      </c>
      <c r="V267" s="1659" t="str">
        <f t="shared" si="29"/>
        <v/>
      </c>
      <c r="W267" s="1676" t="str">
        <f t="shared" si="29"/>
        <v/>
      </c>
      <c r="X267" s="1659" t="str">
        <f t="shared" si="30"/>
        <v/>
      </c>
      <c r="Y267" s="1674" t="str">
        <f t="shared" si="31"/>
        <v/>
      </c>
      <c r="Z267" s="1655" t="str">
        <f t="shared" si="32"/>
        <v/>
      </c>
      <c r="AA267" s="1655" t="str">
        <f t="shared" si="33"/>
        <v/>
      </c>
      <c r="AB267" s="1655" t="str">
        <f t="shared" si="34"/>
        <v/>
      </c>
      <c r="AC267" s="1655" t="str">
        <f t="shared" si="35"/>
        <v/>
      </c>
      <c r="AD267" s="1675" t="str">
        <f t="shared" si="36"/>
        <v/>
      </c>
      <c r="AE267" s="1674" t="str">
        <f t="shared" si="37"/>
        <v/>
      </c>
      <c r="AF267" s="1657" t="str">
        <f t="shared" si="37"/>
        <v/>
      </c>
      <c r="AG267" s="1655" t="str">
        <f t="shared" si="38"/>
        <v/>
      </c>
      <c r="AH267" s="1665" t="str">
        <f t="shared" si="39"/>
        <v/>
      </c>
      <c r="AI267" s="1665" t="str">
        <f t="shared" si="40"/>
        <v/>
      </c>
      <c r="AJ267" s="1655" t="str">
        <f t="shared" si="41"/>
        <v/>
      </c>
      <c r="AK267" s="1659" t="str">
        <f t="shared" si="46"/>
        <v/>
      </c>
    </row>
    <row r="268" spans="1:37" x14ac:dyDescent="0.25">
      <c r="A268" s="1655" t="s">
        <v>1471</v>
      </c>
      <c r="B268" s="1655" t="str">
        <f>IF(BUILDING!D87="","",BUILDING!D87)</f>
        <v/>
      </c>
      <c r="C268" s="1655" t="str">
        <f>IF(BUILDING!E87="","",BUILDING!E87)</f>
        <v/>
      </c>
      <c r="D268" s="1655" t="str">
        <f>IF(BUILDING!F87="","",BUILDING!F87)</f>
        <v/>
      </c>
      <c r="E268" s="1655" t="str">
        <f>IF(BUILDING!G87="","",BUILDING!G87)</f>
        <v/>
      </c>
      <c r="F268" s="1674" t="str">
        <f>IF(BUILDING!C87="","",BUILDING!C87)</f>
        <v/>
      </c>
      <c r="G268" s="1655" t="str">
        <f>IF(BUILDING!H87="","",BUILDING!H87)</f>
        <v/>
      </c>
      <c r="H268" s="1655" t="str">
        <f>IF(BUILDING!I87="","",BUILDING!I87)</f>
        <v/>
      </c>
      <c r="I268" s="1659" t="str">
        <f>IF(BUILDING!K87="","",BUILDING!K87)</f>
        <v/>
      </c>
      <c r="J268" s="1659" t="str">
        <f>IF(BUILDING!L87="","",BUILDING!L87)</f>
        <v/>
      </c>
      <c r="K268" s="1675" t="str">
        <f>IF(BUILDING!N87=0,"",BUILDING!N87)</f>
        <v/>
      </c>
      <c r="L268" s="1674" t="str">
        <f>IF(BUILDING!O87="","",BUILDING!O87)</f>
        <v/>
      </c>
      <c r="M268" s="1655" t="str">
        <f>IF(BUILDING!P87="","",BUILDING!P87)</f>
        <v/>
      </c>
      <c r="O268" s="1655" t="s">
        <v>1472</v>
      </c>
      <c r="P268" s="1655" t="str">
        <f t="shared" si="43"/>
        <v/>
      </c>
      <c r="Q268" s="1655" t="str">
        <f t="shared" si="44"/>
        <v/>
      </c>
      <c r="R268" s="1655" t="str">
        <f t="shared" si="45"/>
        <v/>
      </c>
      <c r="T268" s="1655" t="s">
        <v>1473</v>
      </c>
      <c r="U268" s="1655" t="str">
        <f t="shared" si="28"/>
        <v/>
      </c>
      <c r="V268" s="1659" t="str">
        <f t="shared" si="29"/>
        <v/>
      </c>
      <c r="W268" s="1676" t="str">
        <f t="shared" si="29"/>
        <v/>
      </c>
      <c r="X268" s="1659" t="str">
        <f t="shared" si="30"/>
        <v/>
      </c>
      <c r="Y268" s="1674" t="str">
        <f t="shared" si="31"/>
        <v/>
      </c>
      <c r="Z268" s="1655" t="str">
        <f t="shared" si="32"/>
        <v/>
      </c>
      <c r="AA268" s="1655" t="str">
        <f t="shared" si="33"/>
        <v/>
      </c>
      <c r="AB268" s="1655" t="str">
        <f t="shared" si="34"/>
        <v/>
      </c>
      <c r="AC268" s="1655" t="str">
        <f t="shared" si="35"/>
        <v/>
      </c>
      <c r="AD268" s="1675" t="str">
        <f t="shared" si="36"/>
        <v/>
      </c>
      <c r="AE268" s="1674" t="str">
        <f t="shared" si="37"/>
        <v/>
      </c>
      <c r="AF268" s="1657" t="str">
        <f t="shared" si="37"/>
        <v/>
      </c>
      <c r="AG268" s="1655" t="str">
        <f t="shared" si="38"/>
        <v/>
      </c>
      <c r="AH268" s="1665" t="str">
        <f t="shared" si="39"/>
        <v/>
      </c>
      <c r="AI268" s="1665" t="str">
        <f t="shared" si="40"/>
        <v/>
      </c>
      <c r="AJ268" s="1655" t="str">
        <f t="shared" si="41"/>
        <v/>
      </c>
      <c r="AK268" s="1659" t="str">
        <f t="shared" si="46"/>
        <v/>
      </c>
    </row>
    <row r="269" spans="1:37" x14ac:dyDescent="0.25">
      <c r="A269" s="1655" t="s">
        <v>1471</v>
      </c>
      <c r="B269" s="1655" t="str">
        <f>IF(BUILDING!D88="","",BUILDING!D88)</f>
        <v/>
      </c>
      <c r="C269" s="1655" t="str">
        <f>IF(BUILDING!E88="","",BUILDING!E88)</f>
        <v/>
      </c>
      <c r="D269" s="1655" t="str">
        <f>IF(BUILDING!F88="","",BUILDING!F88)</f>
        <v/>
      </c>
      <c r="E269" s="1655" t="str">
        <f>IF(BUILDING!G88="","",BUILDING!G88)</f>
        <v/>
      </c>
      <c r="F269" s="1674" t="str">
        <f>IF(BUILDING!C88="","",BUILDING!C88)</f>
        <v/>
      </c>
      <c r="G269" s="1655" t="str">
        <f>IF(BUILDING!H88="","",BUILDING!H88)</f>
        <v/>
      </c>
      <c r="H269" s="1655" t="str">
        <f>IF(BUILDING!I88="","",BUILDING!I88)</f>
        <v/>
      </c>
      <c r="I269" s="1659" t="str">
        <f>IF(BUILDING!K88="","",BUILDING!K88)</f>
        <v/>
      </c>
      <c r="J269" s="1659" t="str">
        <f>IF(BUILDING!L88="","",BUILDING!L88)</f>
        <v/>
      </c>
      <c r="K269" s="1675" t="str">
        <f>IF(BUILDING!N88=0,"",BUILDING!N88)</f>
        <v/>
      </c>
      <c r="L269" s="1674" t="str">
        <f>IF(BUILDING!O88="","",BUILDING!O88)</f>
        <v/>
      </c>
      <c r="M269" s="1655" t="str">
        <f>IF(BUILDING!P88="","",BUILDING!P88)</f>
        <v/>
      </c>
      <c r="O269" s="1655" t="s">
        <v>1472</v>
      </c>
      <c r="P269" s="1655" t="str">
        <f t="shared" si="43"/>
        <v/>
      </c>
      <c r="Q269" s="1655" t="str">
        <f t="shared" si="44"/>
        <v/>
      </c>
      <c r="R269" s="1655" t="str">
        <f t="shared" si="45"/>
        <v/>
      </c>
      <c r="T269" s="1655" t="s">
        <v>1473</v>
      </c>
      <c r="U269" s="1655" t="str">
        <f t="shared" si="28"/>
        <v/>
      </c>
      <c r="V269" s="1659" t="str">
        <f t="shared" si="29"/>
        <v/>
      </c>
      <c r="W269" s="1676" t="str">
        <f t="shared" si="29"/>
        <v/>
      </c>
      <c r="X269" s="1659" t="str">
        <f t="shared" si="30"/>
        <v/>
      </c>
      <c r="Y269" s="1674" t="str">
        <f t="shared" si="31"/>
        <v/>
      </c>
      <c r="Z269" s="1655" t="str">
        <f t="shared" si="32"/>
        <v/>
      </c>
      <c r="AA269" s="1655" t="str">
        <f t="shared" si="33"/>
        <v/>
      </c>
      <c r="AB269" s="1655" t="str">
        <f t="shared" si="34"/>
        <v/>
      </c>
      <c r="AC269" s="1655" t="str">
        <f t="shared" si="35"/>
        <v/>
      </c>
      <c r="AD269" s="1675" t="str">
        <f t="shared" si="36"/>
        <v/>
      </c>
      <c r="AE269" s="1674" t="str">
        <f t="shared" si="37"/>
        <v/>
      </c>
      <c r="AF269" s="1657" t="str">
        <f t="shared" si="37"/>
        <v/>
      </c>
      <c r="AG269" s="1655" t="str">
        <f t="shared" si="38"/>
        <v/>
      </c>
      <c r="AH269" s="1665" t="str">
        <f t="shared" si="39"/>
        <v/>
      </c>
      <c r="AI269" s="1665" t="str">
        <f t="shared" si="40"/>
        <v/>
      </c>
      <c r="AJ269" s="1655" t="str">
        <f t="shared" si="41"/>
        <v/>
      </c>
      <c r="AK269" s="1659" t="str">
        <f t="shared" si="46"/>
        <v/>
      </c>
    </row>
    <row r="270" spans="1:37" x14ac:dyDescent="0.25">
      <c r="A270" s="1655" t="s">
        <v>1471</v>
      </c>
      <c r="B270" s="1655" t="str">
        <f>IF(BUILDING!D89="","",BUILDING!D89)</f>
        <v/>
      </c>
      <c r="C270" s="1655" t="str">
        <f>IF(BUILDING!E89="","",BUILDING!E89)</f>
        <v/>
      </c>
      <c r="D270" s="1655" t="str">
        <f>IF(BUILDING!F89="","",BUILDING!F89)</f>
        <v/>
      </c>
      <c r="E270" s="1655" t="str">
        <f>IF(BUILDING!G89="","",BUILDING!G89)</f>
        <v/>
      </c>
      <c r="F270" s="1674" t="str">
        <f>IF(BUILDING!C89="","",BUILDING!C89)</f>
        <v/>
      </c>
      <c r="G270" s="1655" t="str">
        <f>IF(BUILDING!H89="","",BUILDING!H89)</f>
        <v/>
      </c>
      <c r="H270" s="1655" t="str">
        <f>IF(BUILDING!I89="","",BUILDING!I89)</f>
        <v/>
      </c>
      <c r="I270" s="1659" t="str">
        <f>IF(BUILDING!K89="","",BUILDING!K89)</f>
        <v/>
      </c>
      <c r="J270" s="1659" t="str">
        <f>IF(BUILDING!L89="","",BUILDING!L89)</f>
        <v/>
      </c>
      <c r="K270" s="1675" t="str">
        <f>IF(BUILDING!N89=0,"",BUILDING!N89)</f>
        <v/>
      </c>
      <c r="L270" s="1674" t="str">
        <f>IF(BUILDING!O89="","",BUILDING!O89)</f>
        <v/>
      </c>
      <c r="M270" s="1655" t="str">
        <f>IF(BUILDING!P89="","",BUILDING!P89)</f>
        <v/>
      </c>
      <c r="O270" s="1655" t="s">
        <v>1472</v>
      </c>
      <c r="P270" s="1655" t="str">
        <f t="shared" si="43"/>
        <v/>
      </c>
      <c r="Q270" s="1655" t="str">
        <f t="shared" si="44"/>
        <v/>
      </c>
      <c r="R270" s="1655" t="str">
        <f t="shared" si="45"/>
        <v/>
      </c>
      <c r="T270" s="1655" t="s">
        <v>1473</v>
      </c>
      <c r="U270" s="1655" t="str">
        <f t="shared" si="28"/>
        <v/>
      </c>
      <c r="V270" s="1659" t="str">
        <f t="shared" si="29"/>
        <v/>
      </c>
      <c r="W270" s="1676" t="str">
        <f t="shared" si="29"/>
        <v/>
      </c>
      <c r="X270" s="1659" t="str">
        <f t="shared" si="30"/>
        <v/>
      </c>
      <c r="Y270" s="1674" t="str">
        <f t="shared" si="31"/>
        <v/>
      </c>
      <c r="Z270" s="1655" t="str">
        <f t="shared" si="32"/>
        <v/>
      </c>
      <c r="AA270" s="1655" t="str">
        <f t="shared" si="33"/>
        <v/>
      </c>
      <c r="AB270" s="1655" t="str">
        <f t="shared" si="34"/>
        <v/>
      </c>
      <c r="AC270" s="1655" t="str">
        <f t="shared" si="35"/>
        <v/>
      </c>
      <c r="AD270" s="1675" t="str">
        <f t="shared" si="36"/>
        <v/>
      </c>
      <c r="AE270" s="1674" t="str">
        <f t="shared" si="37"/>
        <v/>
      </c>
      <c r="AF270" s="1657" t="str">
        <f t="shared" si="37"/>
        <v/>
      </c>
      <c r="AG270" s="1655" t="str">
        <f t="shared" si="38"/>
        <v/>
      </c>
      <c r="AH270" s="1665" t="str">
        <f t="shared" si="39"/>
        <v/>
      </c>
      <c r="AI270" s="1665" t="str">
        <f t="shared" si="40"/>
        <v/>
      </c>
      <c r="AJ270" s="1655" t="str">
        <f t="shared" si="41"/>
        <v/>
      </c>
      <c r="AK270" s="1659" t="str">
        <f t="shared" si="46"/>
        <v/>
      </c>
    </row>
    <row r="271" spans="1:37" x14ac:dyDescent="0.25">
      <c r="A271" s="1655" t="s">
        <v>1471</v>
      </c>
      <c r="B271" s="1655" t="str">
        <f>IF(BUILDING!D90="","",BUILDING!D90)</f>
        <v/>
      </c>
      <c r="C271" s="1655" t="str">
        <f>IF(BUILDING!E90="","",BUILDING!E90)</f>
        <v/>
      </c>
      <c r="D271" s="1655" t="str">
        <f>IF(BUILDING!F90="","",BUILDING!F90)</f>
        <v/>
      </c>
      <c r="E271" s="1655" t="str">
        <f>IF(BUILDING!G90="","",BUILDING!G90)</f>
        <v/>
      </c>
      <c r="F271" s="1674" t="str">
        <f>IF(BUILDING!C90="","",BUILDING!C90)</f>
        <v/>
      </c>
      <c r="G271" s="1655" t="str">
        <f>IF(BUILDING!H90="","",BUILDING!H90)</f>
        <v/>
      </c>
      <c r="H271" s="1655" t="str">
        <f>IF(BUILDING!I90="","",BUILDING!I90)</f>
        <v/>
      </c>
      <c r="I271" s="1659" t="str">
        <f>IF(BUILDING!K90="","",BUILDING!K90)</f>
        <v/>
      </c>
      <c r="J271" s="1659" t="str">
        <f>IF(BUILDING!L90="","",BUILDING!L90)</f>
        <v/>
      </c>
      <c r="K271" s="1675" t="str">
        <f>IF(BUILDING!N90=0,"",BUILDING!N90)</f>
        <v/>
      </c>
      <c r="L271" s="1674" t="str">
        <f>IF(BUILDING!O90="","",BUILDING!O90)</f>
        <v/>
      </c>
      <c r="M271" s="1655" t="str">
        <f>IF(BUILDING!P90="","",BUILDING!P90)</f>
        <v/>
      </c>
      <c r="O271" s="1655" t="s">
        <v>1472</v>
      </c>
      <c r="P271" s="1655" t="str">
        <f t="shared" si="43"/>
        <v/>
      </c>
      <c r="Q271" s="1655" t="str">
        <f t="shared" si="44"/>
        <v/>
      </c>
      <c r="R271" s="1655" t="str">
        <f t="shared" si="45"/>
        <v/>
      </c>
      <c r="T271" s="1655" t="s">
        <v>1473</v>
      </c>
      <c r="U271" s="1655" t="str">
        <f t="shared" si="28"/>
        <v/>
      </c>
      <c r="V271" s="1659" t="str">
        <f t="shared" si="29"/>
        <v/>
      </c>
      <c r="W271" s="1676" t="str">
        <f t="shared" si="29"/>
        <v/>
      </c>
      <c r="X271" s="1659" t="str">
        <f t="shared" si="30"/>
        <v/>
      </c>
      <c r="Y271" s="1674" t="str">
        <f t="shared" si="31"/>
        <v/>
      </c>
      <c r="Z271" s="1655" t="str">
        <f t="shared" si="32"/>
        <v/>
      </c>
      <c r="AA271" s="1655" t="str">
        <f t="shared" si="33"/>
        <v/>
      </c>
      <c r="AB271" s="1655" t="str">
        <f t="shared" si="34"/>
        <v/>
      </c>
      <c r="AC271" s="1655" t="str">
        <f t="shared" si="35"/>
        <v/>
      </c>
      <c r="AD271" s="1675" t="str">
        <f t="shared" si="36"/>
        <v/>
      </c>
      <c r="AE271" s="1674" t="str">
        <f t="shared" si="37"/>
        <v/>
      </c>
      <c r="AF271" s="1657" t="str">
        <f t="shared" si="37"/>
        <v/>
      </c>
      <c r="AG271" s="1655" t="str">
        <f t="shared" si="38"/>
        <v/>
      </c>
      <c r="AH271" s="1665" t="str">
        <f t="shared" si="39"/>
        <v/>
      </c>
      <c r="AI271" s="1665" t="str">
        <f t="shared" si="40"/>
        <v/>
      </c>
      <c r="AJ271" s="1655" t="str">
        <f t="shared" si="41"/>
        <v/>
      </c>
      <c r="AK271" s="1659" t="str">
        <f t="shared" si="46"/>
        <v/>
      </c>
    </row>
    <row r="272" spans="1:37" x14ac:dyDescent="0.25">
      <c r="A272" s="1655" t="s">
        <v>1471</v>
      </c>
      <c r="B272" s="1655" t="str">
        <f>IF(BUILDING!D91="","",BUILDING!D91)</f>
        <v/>
      </c>
      <c r="C272" s="1655" t="str">
        <f>IF(BUILDING!E91="","",BUILDING!E91)</f>
        <v/>
      </c>
      <c r="D272" s="1655" t="str">
        <f>IF(BUILDING!F91="","",BUILDING!F91)</f>
        <v/>
      </c>
      <c r="E272" s="1655" t="str">
        <f>IF(BUILDING!G91="","",BUILDING!G91)</f>
        <v/>
      </c>
      <c r="F272" s="1674" t="str">
        <f>IF(BUILDING!C91="","",BUILDING!C91)</f>
        <v/>
      </c>
      <c r="G272" s="1655" t="str">
        <f>IF(BUILDING!H91="","",BUILDING!H91)</f>
        <v/>
      </c>
      <c r="H272" s="1655" t="str">
        <f>IF(BUILDING!I91="","",BUILDING!I91)</f>
        <v/>
      </c>
      <c r="I272" s="1659" t="str">
        <f>IF(BUILDING!K91="","",BUILDING!K91)</f>
        <v/>
      </c>
      <c r="J272" s="1659" t="str">
        <f>IF(BUILDING!L91="","",BUILDING!L91)</f>
        <v/>
      </c>
      <c r="K272" s="1675" t="str">
        <f>IF(BUILDING!N91=0,"",BUILDING!N91)</f>
        <v/>
      </c>
      <c r="L272" s="1674" t="str">
        <f>IF(BUILDING!O91="","",BUILDING!O91)</f>
        <v/>
      </c>
      <c r="M272" s="1655" t="str">
        <f>IF(BUILDING!P91="","",BUILDING!P91)</f>
        <v/>
      </c>
      <c r="O272" s="1655" t="s">
        <v>1472</v>
      </c>
      <c r="P272" s="1655" t="str">
        <f t="shared" si="43"/>
        <v/>
      </c>
      <c r="Q272" s="1655" t="str">
        <f t="shared" si="44"/>
        <v/>
      </c>
      <c r="R272" s="1655" t="str">
        <f t="shared" si="45"/>
        <v/>
      </c>
      <c r="T272" s="1655" t="s">
        <v>1473</v>
      </c>
      <c r="U272" s="1655" t="str">
        <f t="shared" si="28"/>
        <v/>
      </c>
      <c r="V272" s="1659" t="str">
        <f t="shared" si="29"/>
        <v/>
      </c>
      <c r="W272" s="1676" t="str">
        <f t="shared" si="29"/>
        <v/>
      </c>
      <c r="X272" s="1659" t="str">
        <f t="shared" si="30"/>
        <v/>
      </c>
      <c r="Y272" s="1674" t="str">
        <f t="shared" si="31"/>
        <v/>
      </c>
      <c r="Z272" s="1655" t="str">
        <f t="shared" si="32"/>
        <v/>
      </c>
      <c r="AA272" s="1655" t="str">
        <f t="shared" si="33"/>
        <v/>
      </c>
      <c r="AB272" s="1655" t="str">
        <f t="shared" si="34"/>
        <v/>
      </c>
      <c r="AC272" s="1655" t="str">
        <f t="shared" si="35"/>
        <v/>
      </c>
      <c r="AD272" s="1675" t="str">
        <f t="shared" si="36"/>
        <v/>
      </c>
      <c r="AE272" s="1674" t="str">
        <f t="shared" si="37"/>
        <v/>
      </c>
      <c r="AF272" s="1657" t="str">
        <f t="shared" si="37"/>
        <v/>
      </c>
      <c r="AG272" s="1655" t="str">
        <f t="shared" si="38"/>
        <v/>
      </c>
      <c r="AH272" s="1665" t="str">
        <f t="shared" si="39"/>
        <v/>
      </c>
      <c r="AI272" s="1665" t="str">
        <f t="shared" si="40"/>
        <v/>
      </c>
      <c r="AJ272" s="1655" t="str">
        <f t="shared" si="41"/>
        <v/>
      </c>
      <c r="AK272" s="1659" t="str">
        <f t="shared" si="46"/>
        <v/>
      </c>
    </row>
    <row r="273" spans="1:37" x14ac:dyDescent="0.25">
      <c r="A273" s="1655" t="s">
        <v>1471</v>
      </c>
      <c r="B273" s="1655" t="str">
        <f>IF(BUILDING!D92="","",BUILDING!D92)</f>
        <v/>
      </c>
      <c r="C273" s="1655" t="str">
        <f>IF(BUILDING!E92="","",BUILDING!E92)</f>
        <v/>
      </c>
      <c r="D273" s="1655" t="str">
        <f>IF(BUILDING!F92="","",BUILDING!F92)</f>
        <v/>
      </c>
      <c r="E273" s="1655" t="str">
        <f>IF(BUILDING!G92="","",BUILDING!G92)</f>
        <v/>
      </c>
      <c r="F273" s="1674" t="str">
        <f>IF(BUILDING!C92="","",BUILDING!C92)</f>
        <v/>
      </c>
      <c r="G273" s="1655" t="str">
        <f>IF(BUILDING!H92="","",BUILDING!H92)</f>
        <v/>
      </c>
      <c r="H273" s="1655" t="str">
        <f>IF(BUILDING!I92="","",BUILDING!I92)</f>
        <v/>
      </c>
      <c r="I273" s="1659" t="str">
        <f>IF(BUILDING!K92="","",BUILDING!K92)</f>
        <v/>
      </c>
      <c r="J273" s="1659" t="str">
        <f>IF(BUILDING!L92="","",BUILDING!L92)</f>
        <v/>
      </c>
      <c r="K273" s="1675" t="str">
        <f>IF(BUILDING!N92=0,"",BUILDING!N92)</f>
        <v/>
      </c>
      <c r="L273" s="1674" t="str">
        <f>IF(BUILDING!O92="","",BUILDING!O92)</f>
        <v/>
      </c>
      <c r="M273" s="1655" t="str">
        <f>IF(BUILDING!P92="","",BUILDING!P92)</f>
        <v/>
      </c>
      <c r="O273" s="1655" t="s">
        <v>1472</v>
      </c>
      <c r="P273" s="1655" t="str">
        <f t="shared" si="43"/>
        <v/>
      </c>
      <c r="Q273" s="1655" t="str">
        <f t="shared" si="44"/>
        <v/>
      </c>
      <c r="R273" s="1655" t="str">
        <f t="shared" si="45"/>
        <v/>
      </c>
      <c r="T273" s="1655" t="s">
        <v>1473</v>
      </c>
      <c r="U273" s="1655" t="str">
        <f t="shared" si="28"/>
        <v/>
      </c>
      <c r="V273" s="1659" t="str">
        <f t="shared" si="29"/>
        <v/>
      </c>
      <c r="W273" s="1676" t="str">
        <f t="shared" si="29"/>
        <v/>
      </c>
      <c r="X273" s="1659" t="str">
        <f t="shared" si="30"/>
        <v/>
      </c>
      <c r="Y273" s="1674" t="str">
        <f t="shared" si="31"/>
        <v/>
      </c>
      <c r="Z273" s="1655" t="str">
        <f t="shared" si="32"/>
        <v/>
      </c>
      <c r="AA273" s="1655" t="str">
        <f t="shared" si="33"/>
        <v/>
      </c>
      <c r="AB273" s="1655" t="str">
        <f t="shared" si="34"/>
        <v/>
      </c>
      <c r="AC273" s="1655" t="str">
        <f t="shared" si="35"/>
        <v/>
      </c>
      <c r="AD273" s="1675" t="str">
        <f t="shared" si="36"/>
        <v/>
      </c>
      <c r="AE273" s="1674" t="str">
        <f t="shared" si="37"/>
        <v/>
      </c>
      <c r="AF273" s="1657" t="str">
        <f t="shared" si="37"/>
        <v/>
      </c>
      <c r="AG273" s="1655" t="str">
        <f t="shared" si="38"/>
        <v/>
      </c>
      <c r="AH273" s="1665" t="str">
        <f t="shared" si="39"/>
        <v/>
      </c>
      <c r="AI273" s="1665" t="str">
        <f t="shared" si="40"/>
        <v/>
      </c>
      <c r="AJ273" s="1655" t="str">
        <f t="shared" si="41"/>
        <v/>
      </c>
      <c r="AK273" s="1659" t="str">
        <f t="shared" si="46"/>
        <v/>
      </c>
    </row>
    <row r="274" spans="1:37" x14ac:dyDescent="0.25">
      <c r="A274" s="1655" t="s">
        <v>1471</v>
      </c>
      <c r="B274" s="1655" t="str">
        <f>IF(BUILDING!D93="","",BUILDING!D93)</f>
        <v/>
      </c>
      <c r="C274" s="1655" t="str">
        <f>IF(BUILDING!E93="","",BUILDING!E93)</f>
        <v/>
      </c>
      <c r="D274" s="1655" t="str">
        <f>IF(BUILDING!F93="","",BUILDING!F93)</f>
        <v/>
      </c>
      <c r="E274" s="1655" t="str">
        <f>IF(BUILDING!G93="","",BUILDING!G93)</f>
        <v/>
      </c>
      <c r="F274" s="1674" t="str">
        <f>IF(BUILDING!C93="","",BUILDING!C93)</f>
        <v/>
      </c>
      <c r="G274" s="1655" t="str">
        <f>IF(BUILDING!H93="","",BUILDING!H93)</f>
        <v/>
      </c>
      <c r="H274" s="1655" t="str">
        <f>IF(BUILDING!I93="","",BUILDING!I93)</f>
        <v/>
      </c>
      <c r="I274" s="1659" t="str">
        <f>IF(BUILDING!K93="","",BUILDING!K93)</f>
        <v/>
      </c>
      <c r="J274" s="1659" t="str">
        <f>IF(BUILDING!L93="","",BUILDING!L93)</f>
        <v/>
      </c>
      <c r="K274" s="1675" t="str">
        <f>IF(BUILDING!N93=0,"",BUILDING!N93)</f>
        <v/>
      </c>
      <c r="L274" s="1674" t="str">
        <f>IF(BUILDING!O93="","",BUILDING!O93)</f>
        <v/>
      </c>
      <c r="M274" s="1655" t="str">
        <f>IF(BUILDING!P93="","",BUILDING!P93)</f>
        <v/>
      </c>
      <c r="O274" s="1655" t="s">
        <v>1472</v>
      </c>
      <c r="P274" s="1655" t="str">
        <f t="shared" ref="P274:P290" si="47">IF(TC_DateLastPIS20="","",TC_DateLastPIS20)</f>
        <v/>
      </c>
      <c r="Q274" s="1655" t="str">
        <f t="shared" ref="Q274:Q290" si="48">IF(TC_PurchaseDate20="","",TC_PurchaseDate20)</f>
        <v/>
      </c>
      <c r="R274" s="1655" t="str">
        <f t="shared" ref="R274:R290" si="49">IF(TC_YearsPISPurchase20="","",TC_YearsPISPurchase20)</f>
        <v/>
      </c>
      <c r="T274" s="1655" t="s">
        <v>1473</v>
      </c>
      <c r="U274" s="1655" t="str">
        <f t="shared" si="28"/>
        <v/>
      </c>
      <c r="V274" s="1659" t="str">
        <f t="shared" si="29"/>
        <v/>
      </c>
      <c r="W274" s="1676" t="str">
        <f t="shared" si="29"/>
        <v/>
      </c>
      <c r="X274" s="1659" t="str">
        <f t="shared" si="30"/>
        <v/>
      </c>
      <c r="Y274" s="1674" t="str">
        <f t="shared" si="31"/>
        <v/>
      </c>
      <c r="Z274" s="1655" t="str">
        <f t="shared" si="32"/>
        <v/>
      </c>
      <c r="AA274" s="1655" t="str">
        <f t="shared" si="33"/>
        <v/>
      </c>
      <c r="AB274" s="1655" t="str">
        <f t="shared" si="34"/>
        <v/>
      </c>
      <c r="AC274" s="1655" t="str">
        <f t="shared" si="35"/>
        <v/>
      </c>
      <c r="AD274" s="1675" t="str">
        <f t="shared" si="36"/>
        <v/>
      </c>
      <c r="AE274" s="1674" t="str">
        <f t="shared" si="37"/>
        <v/>
      </c>
      <c r="AF274" s="1657" t="str">
        <f t="shared" si="37"/>
        <v/>
      </c>
      <c r="AG274" s="1655" t="str">
        <f t="shared" si="38"/>
        <v/>
      </c>
      <c r="AH274" s="1665" t="str">
        <f t="shared" si="39"/>
        <v/>
      </c>
      <c r="AI274" s="1665" t="str">
        <f t="shared" si="40"/>
        <v/>
      </c>
      <c r="AJ274" s="1655" t="str">
        <f t="shared" si="41"/>
        <v/>
      </c>
      <c r="AK274" s="1659" t="str">
        <f t="shared" si="46"/>
        <v/>
      </c>
    </row>
    <row r="275" spans="1:37" x14ac:dyDescent="0.25">
      <c r="A275" s="1655" t="s">
        <v>1471</v>
      </c>
      <c r="B275" s="1655" t="str">
        <f>IF(BUILDING!D94="","",BUILDING!D94)</f>
        <v/>
      </c>
      <c r="C275" s="1655" t="str">
        <f>IF(BUILDING!E94="","",BUILDING!E94)</f>
        <v/>
      </c>
      <c r="D275" s="1655" t="str">
        <f>IF(BUILDING!F94="","",BUILDING!F94)</f>
        <v/>
      </c>
      <c r="E275" s="1655" t="str">
        <f>IF(BUILDING!G94="","",BUILDING!G94)</f>
        <v/>
      </c>
      <c r="F275" s="1674" t="str">
        <f>IF(BUILDING!C94="","",BUILDING!C94)</f>
        <v/>
      </c>
      <c r="G275" s="1655" t="str">
        <f>IF(BUILDING!H94="","",BUILDING!H94)</f>
        <v/>
      </c>
      <c r="H275" s="1655" t="str">
        <f>IF(BUILDING!I94="","",BUILDING!I94)</f>
        <v/>
      </c>
      <c r="I275" s="1659" t="str">
        <f>IF(BUILDING!K94="","",BUILDING!K94)</f>
        <v/>
      </c>
      <c r="J275" s="1659" t="str">
        <f>IF(BUILDING!L94="","",BUILDING!L94)</f>
        <v/>
      </c>
      <c r="K275" s="1675" t="str">
        <f>IF(BUILDING!N94=0,"",BUILDING!N94)</f>
        <v/>
      </c>
      <c r="L275" s="1674" t="str">
        <f>IF(BUILDING!O94="","",BUILDING!O94)</f>
        <v/>
      </c>
      <c r="M275" s="1655" t="str">
        <f>IF(BUILDING!P94="","",BUILDING!P94)</f>
        <v/>
      </c>
      <c r="O275" s="1655" t="s">
        <v>1472</v>
      </c>
      <c r="P275" s="1655" t="str">
        <f t="shared" si="47"/>
        <v/>
      </c>
      <c r="Q275" s="1655" t="str">
        <f t="shared" si="48"/>
        <v/>
      </c>
      <c r="R275" s="1655" t="str">
        <f t="shared" si="49"/>
        <v/>
      </c>
      <c r="T275" s="1655" t="s">
        <v>1473</v>
      </c>
      <c r="U275" s="1655" t="str">
        <f t="shared" ref="U275:U290" si="50">IF(B275="","",B275)</f>
        <v/>
      </c>
      <c r="V275" s="1659" t="str">
        <f t="shared" ref="V275:W290" si="51">IF(C275="","",C275)</f>
        <v/>
      </c>
      <c r="W275" s="1676" t="str">
        <f t="shared" si="51"/>
        <v/>
      </c>
      <c r="X275" s="1659" t="str">
        <f t="shared" ref="X275:X290" si="52">IF(E275="","",E275)</f>
        <v/>
      </c>
      <c r="Y275" s="1674" t="str">
        <f t="shared" ref="Y275:Y290" si="53">IF(F275="","",F275)</f>
        <v/>
      </c>
      <c r="Z275" s="1655" t="str">
        <f t="shared" ref="Z275:Z290" si="54">IF(G275="","",G275)</f>
        <v/>
      </c>
      <c r="AA275" s="1655" t="str">
        <f t="shared" ref="AA275:AA290" si="55">IF(H275="","",H275)</f>
        <v/>
      </c>
      <c r="AB275" s="1655" t="str">
        <f t="shared" ref="AB275:AB290" si="56">IF(I275="","",I275)</f>
        <v/>
      </c>
      <c r="AC275" s="1655" t="str">
        <f t="shared" ref="AC275:AC290" si="57">IF(J275="","",J275)</f>
        <v/>
      </c>
      <c r="AD275" s="1675" t="str">
        <f t="shared" ref="AD275:AD290" si="58">IF(K275="","",K275)</f>
        <v/>
      </c>
      <c r="AE275" s="1674" t="str">
        <f t="shared" ref="AE275:AF290" si="59">IF(L275="","",L275)</f>
        <v/>
      </c>
      <c r="AF275" s="1657" t="str">
        <f t="shared" si="59"/>
        <v/>
      </c>
      <c r="AG275" s="1655" t="str">
        <f t="shared" ref="AG275:AG290" si="60">IFERROR(IF(Z275="","",Z275-AA275),"")</f>
        <v/>
      </c>
      <c r="AH275" s="1665" t="str">
        <f t="shared" ref="AH275:AH290" si="61">IF(P275="","",P275)</f>
        <v/>
      </c>
      <c r="AI275" s="1665" t="str">
        <f t="shared" ref="AI275:AI290" si="62">IF(Q275="","",Q275)</f>
        <v/>
      </c>
      <c r="AJ275" s="1655" t="str">
        <f t="shared" ref="AJ275:AJ290" si="63">IF(R275="","",R275)</f>
        <v/>
      </c>
      <c r="AK275" s="1659" t="str">
        <f t="shared" si="46"/>
        <v/>
      </c>
    </row>
    <row r="276" spans="1:37" x14ac:dyDescent="0.25">
      <c r="A276" s="1655" t="s">
        <v>1471</v>
      </c>
      <c r="B276" s="1655" t="str">
        <f>IF(BUILDING!D95="","",BUILDING!D95)</f>
        <v/>
      </c>
      <c r="C276" s="1655" t="str">
        <f>IF(BUILDING!E95="","",BUILDING!E95)</f>
        <v/>
      </c>
      <c r="D276" s="1655" t="str">
        <f>IF(BUILDING!F95="","",BUILDING!F95)</f>
        <v/>
      </c>
      <c r="E276" s="1655" t="str">
        <f>IF(BUILDING!G95="","",BUILDING!G95)</f>
        <v/>
      </c>
      <c r="F276" s="1674" t="str">
        <f>IF(BUILDING!C95="","",BUILDING!C95)</f>
        <v/>
      </c>
      <c r="G276" s="1655" t="str">
        <f>IF(BUILDING!H95="","",BUILDING!H95)</f>
        <v/>
      </c>
      <c r="H276" s="1655" t="str">
        <f>IF(BUILDING!I95="","",BUILDING!I95)</f>
        <v/>
      </c>
      <c r="I276" s="1659" t="str">
        <f>IF(BUILDING!K95="","",BUILDING!K95)</f>
        <v/>
      </c>
      <c r="J276" s="1659" t="str">
        <f>IF(BUILDING!L95="","",BUILDING!L95)</f>
        <v/>
      </c>
      <c r="K276" s="1675" t="str">
        <f>IF(BUILDING!N95=0,"",BUILDING!N95)</f>
        <v/>
      </c>
      <c r="L276" s="1674" t="str">
        <f>IF(BUILDING!O95="","",BUILDING!O95)</f>
        <v/>
      </c>
      <c r="M276" s="1655" t="str">
        <f>IF(BUILDING!P95="","",BUILDING!P95)</f>
        <v/>
      </c>
      <c r="O276" s="1655" t="s">
        <v>1472</v>
      </c>
      <c r="P276" s="1655" t="str">
        <f t="shared" si="47"/>
        <v/>
      </c>
      <c r="Q276" s="1655" t="str">
        <f t="shared" si="48"/>
        <v/>
      </c>
      <c r="R276" s="1655" t="str">
        <f t="shared" si="49"/>
        <v/>
      </c>
      <c r="T276" s="1655" t="s">
        <v>1473</v>
      </c>
      <c r="U276" s="1655" t="str">
        <f t="shared" si="50"/>
        <v/>
      </c>
      <c r="V276" s="1659" t="str">
        <f t="shared" si="51"/>
        <v/>
      </c>
      <c r="W276" s="1676" t="str">
        <f t="shared" si="51"/>
        <v/>
      </c>
      <c r="X276" s="1659" t="str">
        <f t="shared" si="52"/>
        <v/>
      </c>
      <c r="Y276" s="1674" t="str">
        <f t="shared" si="53"/>
        <v/>
      </c>
      <c r="Z276" s="1655" t="str">
        <f t="shared" si="54"/>
        <v/>
      </c>
      <c r="AA276" s="1655" t="str">
        <f t="shared" si="55"/>
        <v/>
      </c>
      <c r="AB276" s="1655" t="str">
        <f t="shared" si="56"/>
        <v/>
      </c>
      <c r="AC276" s="1655" t="str">
        <f t="shared" si="57"/>
        <v/>
      </c>
      <c r="AD276" s="1675" t="str">
        <f t="shared" si="58"/>
        <v/>
      </c>
      <c r="AE276" s="1674" t="str">
        <f t="shared" si="59"/>
        <v/>
      </c>
      <c r="AF276" s="1657" t="str">
        <f t="shared" si="59"/>
        <v/>
      </c>
      <c r="AG276" s="1655" t="str">
        <f t="shared" si="60"/>
        <v/>
      </c>
      <c r="AH276" s="1665" t="str">
        <f t="shared" si="61"/>
        <v/>
      </c>
      <c r="AI276" s="1665" t="str">
        <f t="shared" si="62"/>
        <v/>
      </c>
      <c r="AJ276" s="1655" t="str">
        <f t="shared" si="63"/>
        <v/>
      </c>
      <c r="AK276" s="1659" t="str">
        <f t="shared" si="46"/>
        <v/>
      </c>
    </row>
    <row r="277" spans="1:37" x14ac:dyDescent="0.25">
      <c r="A277" s="1655" t="s">
        <v>1471</v>
      </c>
      <c r="B277" s="1655" t="str">
        <f>IF(BUILDING!D96="","",BUILDING!D96)</f>
        <v/>
      </c>
      <c r="C277" s="1655" t="str">
        <f>IF(BUILDING!E96="","",BUILDING!E96)</f>
        <v/>
      </c>
      <c r="D277" s="1655" t="str">
        <f>IF(BUILDING!F96="","",BUILDING!F96)</f>
        <v/>
      </c>
      <c r="E277" s="1655" t="str">
        <f>IF(BUILDING!G96="","",BUILDING!G96)</f>
        <v/>
      </c>
      <c r="F277" s="1674" t="str">
        <f>IF(BUILDING!C96="","",BUILDING!C96)</f>
        <v/>
      </c>
      <c r="G277" s="1655" t="str">
        <f>IF(BUILDING!H96="","",BUILDING!H96)</f>
        <v/>
      </c>
      <c r="H277" s="1655" t="str">
        <f>IF(BUILDING!I96="","",BUILDING!I96)</f>
        <v/>
      </c>
      <c r="I277" s="1659" t="str">
        <f>IF(BUILDING!K96="","",BUILDING!K96)</f>
        <v/>
      </c>
      <c r="J277" s="1659" t="str">
        <f>IF(BUILDING!L96="","",BUILDING!L96)</f>
        <v/>
      </c>
      <c r="K277" s="1675" t="str">
        <f>IF(BUILDING!N96=0,"",BUILDING!N96)</f>
        <v/>
      </c>
      <c r="L277" s="1674" t="str">
        <f>IF(BUILDING!O96="","",BUILDING!O96)</f>
        <v/>
      </c>
      <c r="M277" s="1655" t="str">
        <f>IF(BUILDING!P96="","",BUILDING!P96)</f>
        <v/>
      </c>
      <c r="O277" s="1655" t="s">
        <v>1472</v>
      </c>
      <c r="P277" s="1655" t="str">
        <f t="shared" si="47"/>
        <v/>
      </c>
      <c r="Q277" s="1655" t="str">
        <f t="shared" si="48"/>
        <v/>
      </c>
      <c r="R277" s="1655" t="str">
        <f t="shared" si="49"/>
        <v/>
      </c>
      <c r="T277" s="1655" t="s">
        <v>1473</v>
      </c>
      <c r="U277" s="1655" t="str">
        <f t="shared" si="50"/>
        <v/>
      </c>
      <c r="V277" s="1659" t="str">
        <f t="shared" si="51"/>
        <v/>
      </c>
      <c r="W277" s="1676" t="str">
        <f t="shared" si="51"/>
        <v/>
      </c>
      <c r="X277" s="1659" t="str">
        <f t="shared" si="52"/>
        <v/>
      </c>
      <c r="Y277" s="1674" t="str">
        <f t="shared" si="53"/>
        <v/>
      </c>
      <c r="Z277" s="1655" t="str">
        <f t="shared" si="54"/>
        <v/>
      </c>
      <c r="AA277" s="1655" t="str">
        <f t="shared" si="55"/>
        <v/>
      </c>
      <c r="AB277" s="1655" t="str">
        <f t="shared" si="56"/>
        <v/>
      </c>
      <c r="AC277" s="1655" t="str">
        <f t="shared" si="57"/>
        <v/>
      </c>
      <c r="AD277" s="1675" t="str">
        <f t="shared" si="58"/>
        <v/>
      </c>
      <c r="AE277" s="1674" t="str">
        <f t="shared" si="59"/>
        <v/>
      </c>
      <c r="AF277" s="1657" t="str">
        <f t="shared" si="59"/>
        <v/>
      </c>
      <c r="AG277" s="1655" t="str">
        <f t="shared" si="60"/>
        <v/>
      </c>
      <c r="AH277" s="1665" t="str">
        <f t="shared" si="61"/>
        <v/>
      </c>
      <c r="AI277" s="1665" t="str">
        <f t="shared" si="62"/>
        <v/>
      </c>
      <c r="AJ277" s="1655" t="str">
        <f t="shared" si="63"/>
        <v/>
      </c>
      <c r="AK277" s="1659" t="str">
        <f t="shared" si="46"/>
        <v/>
      </c>
    </row>
    <row r="278" spans="1:37" x14ac:dyDescent="0.25">
      <c r="A278" s="1655" t="s">
        <v>1471</v>
      </c>
      <c r="B278" s="1655" t="str">
        <f>IF(BUILDING!D97="","",BUILDING!D97)</f>
        <v/>
      </c>
      <c r="C278" s="1655" t="str">
        <f>IF(BUILDING!E97="","",BUILDING!E97)</f>
        <v/>
      </c>
      <c r="D278" s="1655" t="str">
        <f>IF(BUILDING!F97="","",BUILDING!F97)</f>
        <v/>
      </c>
      <c r="E278" s="1655" t="str">
        <f>IF(BUILDING!G97="","",BUILDING!G97)</f>
        <v/>
      </c>
      <c r="F278" s="1674" t="str">
        <f>IF(BUILDING!C97="","",BUILDING!C97)</f>
        <v/>
      </c>
      <c r="G278" s="1655" t="str">
        <f>IF(BUILDING!H97="","",BUILDING!H97)</f>
        <v/>
      </c>
      <c r="H278" s="1655" t="str">
        <f>IF(BUILDING!I97="","",BUILDING!I97)</f>
        <v/>
      </c>
      <c r="I278" s="1659" t="str">
        <f>IF(BUILDING!K97="","",BUILDING!K97)</f>
        <v/>
      </c>
      <c r="J278" s="1659" t="str">
        <f>IF(BUILDING!L97="","",BUILDING!L97)</f>
        <v/>
      </c>
      <c r="K278" s="1675" t="str">
        <f>IF(BUILDING!N97=0,"",BUILDING!N97)</f>
        <v/>
      </c>
      <c r="L278" s="1674" t="str">
        <f>IF(BUILDING!O97="","",BUILDING!O97)</f>
        <v/>
      </c>
      <c r="M278" s="1655" t="str">
        <f>IF(BUILDING!P97="","",BUILDING!P97)</f>
        <v/>
      </c>
      <c r="O278" s="1655" t="s">
        <v>1472</v>
      </c>
      <c r="P278" s="1655" t="str">
        <f t="shared" si="47"/>
        <v/>
      </c>
      <c r="Q278" s="1655" t="str">
        <f t="shared" si="48"/>
        <v/>
      </c>
      <c r="R278" s="1655" t="str">
        <f t="shared" si="49"/>
        <v/>
      </c>
      <c r="T278" s="1655" t="s">
        <v>1473</v>
      </c>
      <c r="U278" s="1655" t="str">
        <f t="shared" si="50"/>
        <v/>
      </c>
      <c r="V278" s="1659" t="str">
        <f t="shared" si="51"/>
        <v/>
      </c>
      <c r="W278" s="1676" t="str">
        <f t="shared" si="51"/>
        <v/>
      </c>
      <c r="X278" s="1659" t="str">
        <f t="shared" si="52"/>
        <v/>
      </c>
      <c r="Y278" s="1674" t="str">
        <f t="shared" si="53"/>
        <v/>
      </c>
      <c r="Z278" s="1655" t="str">
        <f t="shared" si="54"/>
        <v/>
      </c>
      <c r="AA278" s="1655" t="str">
        <f t="shared" si="55"/>
        <v/>
      </c>
      <c r="AB278" s="1655" t="str">
        <f t="shared" si="56"/>
        <v/>
      </c>
      <c r="AC278" s="1655" t="str">
        <f t="shared" si="57"/>
        <v/>
      </c>
      <c r="AD278" s="1675" t="str">
        <f t="shared" si="58"/>
        <v/>
      </c>
      <c r="AE278" s="1674" t="str">
        <f t="shared" si="59"/>
        <v/>
      </c>
      <c r="AF278" s="1657" t="str">
        <f t="shared" si="59"/>
        <v/>
      </c>
      <c r="AG278" s="1655" t="str">
        <f t="shared" si="60"/>
        <v/>
      </c>
      <c r="AH278" s="1665" t="str">
        <f t="shared" si="61"/>
        <v/>
      </c>
      <c r="AI278" s="1665" t="str">
        <f t="shared" si="62"/>
        <v/>
      </c>
      <c r="AJ278" s="1655" t="str">
        <f t="shared" si="63"/>
        <v/>
      </c>
      <c r="AK278" s="1659" t="str">
        <f t="shared" si="46"/>
        <v/>
      </c>
    </row>
    <row r="279" spans="1:37" x14ac:dyDescent="0.25">
      <c r="A279" s="1655" t="s">
        <v>1471</v>
      </c>
      <c r="B279" s="1655" t="str">
        <f>IF(BUILDING!D98="","",BUILDING!D98)</f>
        <v/>
      </c>
      <c r="C279" s="1655" t="str">
        <f>IF(BUILDING!E98="","",BUILDING!E98)</f>
        <v/>
      </c>
      <c r="D279" s="1655" t="str">
        <f>IF(BUILDING!F98="","",BUILDING!F98)</f>
        <v/>
      </c>
      <c r="E279" s="1655" t="str">
        <f>IF(BUILDING!G98="","",BUILDING!G98)</f>
        <v/>
      </c>
      <c r="F279" s="1674" t="str">
        <f>IF(BUILDING!C98="","",BUILDING!C98)</f>
        <v/>
      </c>
      <c r="G279" s="1655" t="str">
        <f>IF(BUILDING!H98="","",BUILDING!H98)</f>
        <v/>
      </c>
      <c r="H279" s="1655" t="str">
        <f>IF(BUILDING!I98="","",BUILDING!I98)</f>
        <v/>
      </c>
      <c r="I279" s="1659" t="str">
        <f>IF(BUILDING!K98="","",BUILDING!K98)</f>
        <v/>
      </c>
      <c r="J279" s="1659" t="str">
        <f>IF(BUILDING!L98="","",BUILDING!L98)</f>
        <v/>
      </c>
      <c r="K279" s="1675" t="str">
        <f>IF(BUILDING!N98=0,"",BUILDING!N98)</f>
        <v/>
      </c>
      <c r="L279" s="1674" t="str">
        <f>IF(BUILDING!O98="","",BUILDING!O98)</f>
        <v/>
      </c>
      <c r="M279" s="1655" t="str">
        <f>IF(BUILDING!P98="","",BUILDING!P98)</f>
        <v/>
      </c>
      <c r="O279" s="1655" t="s">
        <v>1472</v>
      </c>
      <c r="P279" s="1655" t="str">
        <f t="shared" si="47"/>
        <v/>
      </c>
      <c r="Q279" s="1655" t="str">
        <f t="shared" si="48"/>
        <v/>
      </c>
      <c r="R279" s="1655" t="str">
        <f t="shared" si="49"/>
        <v/>
      </c>
      <c r="T279" s="1655" t="s">
        <v>1473</v>
      </c>
      <c r="U279" s="1655" t="str">
        <f t="shared" si="50"/>
        <v/>
      </c>
      <c r="V279" s="1659" t="str">
        <f t="shared" si="51"/>
        <v/>
      </c>
      <c r="W279" s="1676" t="str">
        <f t="shared" si="51"/>
        <v/>
      </c>
      <c r="X279" s="1659" t="str">
        <f t="shared" si="52"/>
        <v/>
      </c>
      <c r="Y279" s="1674" t="str">
        <f t="shared" si="53"/>
        <v/>
      </c>
      <c r="Z279" s="1655" t="str">
        <f t="shared" si="54"/>
        <v/>
      </c>
      <c r="AA279" s="1655" t="str">
        <f t="shared" si="55"/>
        <v/>
      </c>
      <c r="AB279" s="1655" t="str">
        <f t="shared" si="56"/>
        <v/>
      </c>
      <c r="AC279" s="1655" t="str">
        <f t="shared" si="57"/>
        <v/>
      </c>
      <c r="AD279" s="1675" t="str">
        <f t="shared" si="58"/>
        <v/>
      </c>
      <c r="AE279" s="1674" t="str">
        <f t="shared" si="59"/>
        <v/>
      </c>
      <c r="AF279" s="1657" t="str">
        <f t="shared" si="59"/>
        <v/>
      </c>
      <c r="AG279" s="1655" t="str">
        <f t="shared" si="60"/>
        <v/>
      </c>
      <c r="AH279" s="1665" t="str">
        <f t="shared" si="61"/>
        <v/>
      </c>
      <c r="AI279" s="1665" t="str">
        <f t="shared" si="62"/>
        <v/>
      </c>
      <c r="AJ279" s="1655" t="str">
        <f t="shared" si="63"/>
        <v/>
      </c>
      <c r="AK279" s="1659" t="str">
        <f t="shared" si="46"/>
        <v/>
      </c>
    </row>
    <row r="280" spans="1:37" x14ac:dyDescent="0.25">
      <c r="A280" s="1655" t="s">
        <v>1471</v>
      </c>
      <c r="B280" s="1655" t="str">
        <f>IF(BUILDING!D99="","",BUILDING!D99)</f>
        <v/>
      </c>
      <c r="C280" s="1655" t="str">
        <f>IF(BUILDING!E99="","",BUILDING!E99)</f>
        <v/>
      </c>
      <c r="D280" s="1655" t="str">
        <f>IF(BUILDING!F99="","",BUILDING!F99)</f>
        <v/>
      </c>
      <c r="E280" s="1655" t="str">
        <f>IF(BUILDING!G99="","",BUILDING!G99)</f>
        <v/>
      </c>
      <c r="F280" s="1674" t="str">
        <f>IF(BUILDING!C99="","",BUILDING!C99)</f>
        <v/>
      </c>
      <c r="G280" s="1655" t="str">
        <f>IF(BUILDING!H99="","",BUILDING!H99)</f>
        <v/>
      </c>
      <c r="H280" s="1655" t="str">
        <f>IF(BUILDING!I99="","",BUILDING!I99)</f>
        <v/>
      </c>
      <c r="I280" s="1659" t="str">
        <f>IF(BUILDING!K99="","",BUILDING!K99)</f>
        <v/>
      </c>
      <c r="J280" s="1659" t="str">
        <f>IF(BUILDING!L99="","",BUILDING!L99)</f>
        <v/>
      </c>
      <c r="K280" s="1675" t="str">
        <f>IF(BUILDING!N99=0,"",BUILDING!N99)</f>
        <v/>
      </c>
      <c r="L280" s="1674" t="str">
        <f>IF(BUILDING!O99="","",BUILDING!O99)</f>
        <v/>
      </c>
      <c r="M280" s="1655" t="str">
        <f>IF(BUILDING!P99="","",BUILDING!P99)</f>
        <v/>
      </c>
      <c r="O280" s="1655" t="s">
        <v>1472</v>
      </c>
      <c r="P280" s="1655" t="str">
        <f t="shared" si="47"/>
        <v/>
      </c>
      <c r="Q280" s="1655" t="str">
        <f t="shared" si="48"/>
        <v/>
      </c>
      <c r="R280" s="1655" t="str">
        <f t="shared" si="49"/>
        <v/>
      </c>
      <c r="T280" s="1655" t="s">
        <v>1473</v>
      </c>
      <c r="U280" s="1655" t="str">
        <f t="shared" si="50"/>
        <v/>
      </c>
      <c r="V280" s="1659" t="str">
        <f t="shared" si="51"/>
        <v/>
      </c>
      <c r="W280" s="1676" t="str">
        <f t="shared" si="51"/>
        <v/>
      </c>
      <c r="X280" s="1659" t="str">
        <f t="shared" si="52"/>
        <v/>
      </c>
      <c r="Y280" s="1674" t="str">
        <f t="shared" si="53"/>
        <v/>
      </c>
      <c r="Z280" s="1655" t="str">
        <f t="shared" si="54"/>
        <v/>
      </c>
      <c r="AA280" s="1655" t="str">
        <f t="shared" si="55"/>
        <v/>
      </c>
      <c r="AB280" s="1655" t="str">
        <f t="shared" si="56"/>
        <v/>
      </c>
      <c r="AC280" s="1655" t="str">
        <f t="shared" si="57"/>
        <v/>
      </c>
      <c r="AD280" s="1675" t="str">
        <f t="shared" si="58"/>
        <v/>
      </c>
      <c r="AE280" s="1674" t="str">
        <f t="shared" si="59"/>
        <v/>
      </c>
      <c r="AF280" s="1657" t="str">
        <f t="shared" si="59"/>
        <v/>
      </c>
      <c r="AG280" s="1655" t="str">
        <f t="shared" si="60"/>
        <v/>
      </c>
      <c r="AH280" s="1665" t="str">
        <f t="shared" si="61"/>
        <v/>
      </c>
      <c r="AI280" s="1665" t="str">
        <f t="shared" si="62"/>
        <v/>
      </c>
      <c r="AJ280" s="1655" t="str">
        <f t="shared" si="63"/>
        <v/>
      </c>
      <c r="AK280" s="1659" t="str">
        <f t="shared" si="46"/>
        <v/>
      </c>
    </row>
    <row r="281" spans="1:37" x14ac:dyDescent="0.25">
      <c r="A281" s="1655" t="s">
        <v>1471</v>
      </c>
      <c r="B281" s="1655" t="str">
        <f>IF(BUILDING!D100="","",BUILDING!D100)</f>
        <v/>
      </c>
      <c r="C281" s="1655" t="str">
        <f>IF(BUILDING!E100="","",BUILDING!E100)</f>
        <v/>
      </c>
      <c r="D281" s="1655" t="str">
        <f>IF(BUILDING!F100="","",BUILDING!F100)</f>
        <v/>
      </c>
      <c r="E281" s="1655" t="str">
        <f>IF(BUILDING!G100="","",BUILDING!G100)</f>
        <v/>
      </c>
      <c r="F281" s="1674" t="str">
        <f>IF(BUILDING!C100="","",BUILDING!C100)</f>
        <v/>
      </c>
      <c r="G281" s="1655" t="str">
        <f>IF(BUILDING!H100="","",BUILDING!H100)</f>
        <v/>
      </c>
      <c r="H281" s="1655" t="str">
        <f>IF(BUILDING!I100="","",BUILDING!I100)</f>
        <v/>
      </c>
      <c r="I281" s="1659" t="str">
        <f>IF(BUILDING!K100="","",BUILDING!K100)</f>
        <v/>
      </c>
      <c r="J281" s="1659" t="str">
        <f>IF(BUILDING!L100="","",BUILDING!L100)</f>
        <v/>
      </c>
      <c r="K281" s="1675" t="str">
        <f>IF(BUILDING!N100=0,"",BUILDING!N100)</f>
        <v/>
      </c>
      <c r="L281" s="1674" t="str">
        <f>IF(BUILDING!O100="","",BUILDING!O100)</f>
        <v/>
      </c>
      <c r="M281" s="1655" t="str">
        <f>IF(BUILDING!P100="","",BUILDING!P100)</f>
        <v/>
      </c>
      <c r="O281" s="1655" t="s">
        <v>1472</v>
      </c>
      <c r="P281" s="1655" t="str">
        <f t="shared" si="47"/>
        <v/>
      </c>
      <c r="Q281" s="1655" t="str">
        <f t="shared" si="48"/>
        <v/>
      </c>
      <c r="R281" s="1655" t="str">
        <f t="shared" si="49"/>
        <v/>
      </c>
      <c r="T281" s="1655" t="s">
        <v>1473</v>
      </c>
      <c r="U281" s="1655" t="str">
        <f t="shared" si="50"/>
        <v/>
      </c>
      <c r="V281" s="1659" t="str">
        <f t="shared" si="51"/>
        <v/>
      </c>
      <c r="W281" s="1676" t="str">
        <f t="shared" si="51"/>
        <v/>
      </c>
      <c r="X281" s="1659" t="str">
        <f t="shared" si="52"/>
        <v/>
      </c>
      <c r="Y281" s="1674" t="str">
        <f t="shared" si="53"/>
        <v/>
      </c>
      <c r="Z281" s="1655" t="str">
        <f t="shared" si="54"/>
        <v/>
      </c>
      <c r="AA281" s="1655" t="str">
        <f t="shared" si="55"/>
        <v/>
      </c>
      <c r="AB281" s="1655" t="str">
        <f t="shared" si="56"/>
        <v/>
      </c>
      <c r="AC281" s="1655" t="str">
        <f t="shared" si="57"/>
        <v/>
      </c>
      <c r="AD281" s="1675" t="str">
        <f t="shared" si="58"/>
        <v/>
      </c>
      <c r="AE281" s="1674" t="str">
        <f t="shared" si="59"/>
        <v/>
      </c>
      <c r="AF281" s="1657" t="str">
        <f t="shared" si="59"/>
        <v/>
      </c>
      <c r="AG281" s="1655" t="str">
        <f t="shared" si="60"/>
        <v/>
      </c>
      <c r="AH281" s="1665" t="str">
        <f t="shared" si="61"/>
        <v/>
      </c>
      <c r="AI281" s="1665" t="str">
        <f t="shared" si="62"/>
        <v/>
      </c>
      <c r="AJ281" s="1655" t="str">
        <f t="shared" si="63"/>
        <v/>
      </c>
      <c r="AK281" s="1659" t="str">
        <f t="shared" si="46"/>
        <v/>
      </c>
    </row>
    <row r="282" spans="1:37" x14ac:dyDescent="0.25">
      <c r="A282" s="1655" t="s">
        <v>1471</v>
      </c>
      <c r="B282" s="1655" t="str">
        <f>IF(BUILDING!D101="","",BUILDING!D101)</f>
        <v/>
      </c>
      <c r="C282" s="1655" t="str">
        <f>IF(BUILDING!E101="","",BUILDING!E101)</f>
        <v/>
      </c>
      <c r="D282" s="1655" t="str">
        <f>IF(BUILDING!F101="","",BUILDING!F101)</f>
        <v/>
      </c>
      <c r="E282" s="1655" t="str">
        <f>IF(BUILDING!G101="","",BUILDING!G101)</f>
        <v/>
      </c>
      <c r="F282" s="1674" t="str">
        <f>IF(BUILDING!C101="","",BUILDING!C101)</f>
        <v/>
      </c>
      <c r="G282" s="1655" t="str">
        <f>IF(BUILDING!H101="","",BUILDING!H101)</f>
        <v/>
      </c>
      <c r="H282" s="1655" t="str">
        <f>IF(BUILDING!I101="","",BUILDING!I101)</f>
        <v/>
      </c>
      <c r="I282" s="1659" t="str">
        <f>IF(BUILDING!K101="","",BUILDING!K101)</f>
        <v/>
      </c>
      <c r="J282" s="1659" t="str">
        <f>IF(BUILDING!L101="","",BUILDING!L101)</f>
        <v/>
      </c>
      <c r="K282" s="1675" t="str">
        <f>IF(BUILDING!N101=0,"",BUILDING!N101)</f>
        <v/>
      </c>
      <c r="L282" s="1674" t="str">
        <f>IF(BUILDING!O101="","",BUILDING!O101)</f>
        <v/>
      </c>
      <c r="M282" s="1655" t="str">
        <f>IF(BUILDING!P101="","",BUILDING!P101)</f>
        <v/>
      </c>
      <c r="O282" s="1655" t="s">
        <v>1472</v>
      </c>
      <c r="P282" s="1655" t="str">
        <f t="shared" si="47"/>
        <v/>
      </c>
      <c r="Q282" s="1655" t="str">
        <f t="shared" si="48"/>
        <v/>
      </c>
      <c r="R282" s="1655" t="str">
        <f t="shared" si="49"/>
        <v/>
      </c>
      <c r="T282" s="1655" t="s">
        <v>1473</v>
      </c>
      <c r="U282" s="1655" t="str">
        <f t="shared" si="50"/>
        <v/>
      </c>
      <c r="V282" s="1659" t="str">
        <f t="shared" si="51"/>
        <v/>
      </c>
      <c r="W282" s="1676" t="str">
        <f t="shared" si="51"/>
        <v/>
      </c>
      <c r="X282" s="1659" t="str">
        <f t="shared" si="52"/>
        <v/>
      </c>
      <c r="Y282" s="1674" t="str">
        <f t="shared" si="53"/>
        <v/>
      </c>
      <c r="Z282" s="1655" t="str">
        <f t="shared" si="54"/>
        <v/>
      </c>
      <c r="AA282" s="1655" t="str">
        <f t="shared" si="55"/>
        <v/>
      </c>
      <c r="AB282" s="1655" t="str">
        <f t="shared" si="56"/>
        <v/>
      </c>
      <c r="AC282" s="1655" t="str">
        <f t="shared" si="57"/>
        <v/>
      </c>
      <c r="AD282" s="1675" t="str">
        <f t="shared" si="58"/>
        <v/>
      </c>
      <c r="AE282" s="1674" t="str">
        <f t="shared" si="59"/>
        <v/>
      </c>
      <c r="AF282" s="1657" t="str">
        <f t="shared" si="59"/>
        <v/>
      </c>
      <c r="AG282" s="1655" t="str">
        <f t="shared" si="60"/>
        <v/>
      </c>
      <c r="AH282" s="1665" t="str">
        <f t="shared" si="61"/>
        <v/>
      </c>
      <c r="AI282" s="1665" t="str">
        <f t="shared" si="62"/>
        <v/>
      </c>
      <c r="AJ282" s="1655" t="str">
        <f t="shared" si="63"/>
        <v/>
      </c>
      <c r="AK282" s="1659" t="str">
        <f t="shared" si="46"/>
        <v/>
      </c>
    </row>
    <row r="283" spans="1:37" x14ac:dyDescent="0.25">
      <c r="A283" s="1655" t="s">
        <v>1471</v>
      </c>
      <c r="B283" s="1655" t="str">
        <f>IF(BUILDING!D102="","",BUILDING!D102)</f>
        <v/>
      </c>
      <c r="C283" s="1655" t="str">
        <f>IF(BUILDING!E102="","",BUILDING!E102)</f>
        <v/>
      </c>
      <c r="D283" s="1655" t="str">
        <f>IF(BUILDING!F102="","",BUILDING!F102)</f>
        <v/>
      </c>
      <c r="E283" s="1655" t="str">
        <f>IF(BUILDING!G102="","",BUILDING!G102)</f>
        <v/>
      </c>
      <c r="F283" s="1674" t="str">
        <f>IF(BUILDING!C102="","",BUILDING!C102)</f>
        <v/>
      </c>
      <c r="G283" s="1655" t="str">
        <f>IF(BUILDING!H102="","",BUILDING!H102)</f>
        <v/>
      </c>
      <c r="H283" s="1655" t="str">
        <f>IF(BUILDING!I102="","",BUILDING!I102)</f>
        <v/>
      </c>
      <c r="I283" s="1659" t="str">
        <f>IF(BUILDING!K102="","",BUILDING!K102)</f>
        <v/>
      </c>
      <c r="J283" s="1659" t="str">
        <f>IF(BUILDING!L102="","",BUILDING!L102)</f>
        <v/>
      </c>
      <c r="K283" s="1675" t="str">
        <f>IF(BUILDING!N102=0,"",BUILDING!N102)</f>
        <v/>
      </c>
      <c r="L283" s="1674" t="str">
        <f>IF(BUILDING!O102="","",BUILDING!O102)</f>
        <v/>
      </c>
      <c r="M283" s="1655" t="str">
        <f>IF(BUILDING!P102="","",BUILDING!P102)</f>
        <v/>
      </c>
      <c r="O283" s="1655" t="s">
        <v>1472</v>
      </c>
      <c r="P283" s="1655" t="str">
        <f t="shared" si="47"/>
        <v/>
      </c>
      <c r="Q283" s="1655" t="str">
        <f t="shared" si="48"/>
        <v/>
      </c>
      <c r="R283" s="1655" t="str">
        <f t="shared" si="49"/>
        <v/>
      </c>
      <c r="T283" s="1655" t="s">
        <v>1473</v>
      </c>
      <c r="U283" s="1655" t="str">
        <f t="shared" si="50"/>
        <v/>
      </c>
      <c r="V283" s="1659" t="str">
        <f t="shared" si="51"/>
        <v/>
      </c>
      <c r="W283" s="1676" t="str">
        <f t="shared" si="51"/>
        <v/>
      </c>
      <c r="X283" s="1659" t="str">
        <f t="shared" si="52"/>
        <v/>
      </c>
      <c r="Y283" s="1674" t="str">
        <f t="shared" si="53"/>
        <v/>
      </c>
      <c r="Z283" s="1655" t="str">
        <f t="shared" si="54"/>
        <v/>
      </c>
      <c r="AA283" s="1655" t="str">
        <f t="shared" si="55"/>
        <v/>
      </c>
      <c r="AB283" s="1655" t="str">
        <f t="shared" si="56"/>
        <v/>
      </c>
      <c r="AC283" s="1655" t="str">
        <f t="shared" si="57"/>
        <v/>
      </c>
      <c r="AD283" s="1675" t="str">
        <f t="shared" si="58"/>
        <v/>
      </c>
      <c r="AE283" s="1674" t="str">
        <f t="shared" si="59"/>
        <v/>
      </c>
      <c r="AF283" s="1657" t="str">
        <f t="shared" si="59"/>
        <v/>
      </c>
      <c r="AG283" s="1655" t="str">
        <f t="shared" si="60"/>
        <v/>
      </c>
      <c r="AH283" s="1665" t="str">
        <f t="shared" si="61"/>
        <v/>
      </c>
      <c r="AI283" s="1665" t="str">
        <f t="shared" si="62"/>
        <v/>
      </c>
      <c r="AJ283" s="1655" t="str">
        <f t="shared" si="63"/>
        <v/>
      </c>
      <c r="AK283" s="1659" t="str">
        <f t="shared" si="46"/>
        <v/>
      </c>
    </row>
    <row r="284" spans="1:37" x14ac:dyDescent="0.25">
      <c r="A284" s="1655" t="s">
        <v>1471</v>
      </c>
      <c r="B284" s="1655" t="str">
        <f>IF(BUILDING!D103="","",BUILDING!D103)</f>
        <v/>
      </c>
      <c r="C284" s="1655" t="str">
        <f>IF(BUILDING!E103="","",BUILDING!E103)</f>
        <v/>
      </c>
      <c r="D284" s="1655" t="str">
        <f>IF(BUILDING!F103="","",BUILDING!F103)</f>
        <v/>
      </c>
      <c r="E284" s="1655" t="str">
        <f>IF(BUILDING!G103="","",BUILDING!G103)</f>
        <v/>
      </c>
      <c r="F284" s="1674" t="str">
        <f>IF(BUILDING!C103="","",BUILDING!C103)</f>
        <v/>
      </c>
      <c r="G284" s="1655" t="str">
        <f>IF(BUILDING!H103="","",BUILDING!H103)</f>
        <v/>
      </c>
      <c r="H284" s="1655" t="str">
        <f>IF(BUILDING!I103="","",BUILDING!I103)</f>
        <v/>
      </c>
      <c r="I284" s="1659" t="str">
        <f>IF(BUILDING!K103="","",BUILDING!K103)</f>
        <v/>
      </c>
      <c r="J284" s="1659" t="str">
        <f>IF(BUILDING!L103="","",BUILDING!L103)</f>
        <v/>
      </c>
      <c r="K284" s="1675" t="str">
        <f>IF(BUILDING!N103=0,"",BUILDING!N103)</f>
        <v/>
      </c>
      <c r="L284" s="1674" t="str">
        <f>IF(BUILDING!O103="","",BUILDING!O103)</f>
        <v/>
      </c>
      <c r="M284" s="1655" t="str">
        <f>IF(BUILDING!P103="","",BUILDING!P103)</f>
        <v/>
      </c>
      <c r="O284" s="1655" t="s">
        <v>1472</v>
      </c>
      <c r="P284" s="1655" t="str">
        <f t="shared" si="47"/>
        <v/>
      </c>
      <c r="Q284" s="1655" t="str">
        <f t="shared" si="48"/>
        <v/>
      </c>
      <c r="R284" s="1655" t="str">
        <f t="shared" si="49"/>
        <v/>
      </c>
      <c r="T284" s="1655" t="s">
        <v>1473</v>
      </c>
      <c r="U284" s="1655" t="str">
        <f t="shared" si="50"/>
        <v/>
      </c>
      <c r="V284" s="1659" t="str">
        <f t="shared" si="51"/>
        <v/>
      </c>
      <c r="W284" s="1676" t="str">
        <f t="shared" si="51"/>
        <v/>
      </c>
      <c r="X284" s="1659" t="str">
        <f t="shared" si="52"/>
        <v/>
      </c>
      <c r="Y284" s="1674" t="str">
        <f t="shared" si="53"/>
        <v/>
      </c>
      <c r="Z284" s="1655" t="str">
        <f t="shared" si="54"/>
        <v/>
      </c>
      <c r="AA284" s="1655" t="str">
        <f t="shared" si="55"/>
        <v/>
      </c>
      <c r="AB284" s="1655" t="str">
        <f t="shared" si="56"/>
        <v/>
      </c>
      <c r="AC284" s="1655" t="str">
        <f t="shared" si="57"/>
        <v/>
      </c>
      <c r="AD284" s="1675" t="str">
        <f t="shared" si="58"/>
        <v/>
      </c>
      <c r="AE284" s="1674" t="str">
        <f t="shared" si="59"/>
        <v/>
      </c>
      <c r="AF284" s="1657" t="str">
        <f t="shared" si="59"/>
        <v/>
      </c>
      <c r="AG284" s="1655" t="str">
        <f t="shared" si="60"/>
        <v/>
      </c>
      <c r="AH284" s="1665" t="str">
        <f t="shared" si="61"/>
        <v/>
      </c>
      <c r="AI284" s="1665" t="str">
        <f t="shared" si="62"/>
        <v/>
      </c>
      <c r="AJ284" s="1655" t="str">
        <f t="shared" si="63"/>
        <v/>
      </c>
      <c r="AK284" s="1659" t="str">
        <f t="shared" si="46"/>
        <v/>
      </c>
    </row>
    <row r="285" spans="1:37" x14ac:dyDescent="0.25">
      <c r="A285" s="1655" t="s">
        <v>1471</v>
      </c>
      <c r="B285" s="1655" t="str">
        <f>IF(BUILDING!D104="","",BUILDING!D104)</f>
        <v/>
      </c>
      <c r="C285" s="1655" t="str">
        <f>IF(BUILDING!E104="","",BUILDING!E104)</f>
        <v/>
      </c>
      <c r="D285" s="1655" t="str">
        <f>IF(BUILDING!F104="","",BUILDING!F104)</f>
        <v/>
      </c>
      <c r="E285" s="1655" t="str">
        <f>IF(BUILDING!G104="","",BUILDING!G104)</f>
        <v/>
      </c>
      <c r="F285" s="1674" t="str">
        <f>IF(BUILDING!C104="","",BUILDING!C104)</f>
        <v/>
      </c>
      <c r="G285" s="1655" t="str">
        <f>IF(BUILDING!H104="","",BUILDING!H104)</f>
        <v/>
      </c>
      <c r="H285" s="1655" t="str">
        <f>IF(BUILDING!I104="","",BUILDING!I104)</f>
        <v/>
      </c>
      <c r="I285" s="1659" t="str">
        <f>IF(BUILDING!K104="","",BUILDING!K104)</f>
        <v/>
      </c>
      <c r="J285" s="1659" t="str">
        <f>IF(BUILDING!L104="","",BUILDING!L104)</f>
        <v/>
      </c>
      <c r="K285" s="1675" t="str">
        <f>IF(BUILDING!N104=0,"",BUILDING!N104)</f>
        <v/>
      </c>
      <c r="L285" s="1674" t="str">
        <f>IF(BUILDING!O104="","",BUILDING!O104)</f>
        <v/>
      </c>
      <c r="M285" s="1655" t="str">
        <f>IF(BUILDING!P104="","",BUILDING!P104)</f>
        <v/>
      </c>
      <c r="O285" s="1655" t="s">
        <v>1472</v>
      </c>
      <c r="P285" s="1655" t="str">
        <f t="shared" si="47"/>
        <v/>
      </c>
      <c r="Q285" s="1655" t="str">
        <f t="shared" si="48"/>
        <v/>
      </c>
      <c r="R285" s="1655" t="str">
        <f t="shared" si="49"/>
        <v/>
      </c>
      <c r="T285" s="1655" t="s">
        <v>1473</v>
      </c>
      <c r="U285" s="1655" t="str">
        <f t="shared" si="50"/>
        <v/>
      </c>
      <c r="V285" s="1659" t="str">
        <f t="shared" si="51"/>
        <v/>
      </c>
      <c r="W285" s="1676" t="str">
        <f t="shared" si="51"/>
        <v/>
      </c>
      <c r="X285" s="1659" t="str">
        <f t="shared" si="52"/>
        <v/>
      </c>
      <c r="Y285" s="1674" t="str">
        <f t="shared" si="53"/>
        <v/>
      </c>
      <c r="Z285" s="1655" t="str">
        <f t="shared" si="54"/>
        <v/>
      </c>
      <c r="AA285" s="1655" t="str">
        <f t="shared" si="55"/>
        <v/>
      </c>
      <c r="AB285" s="1655" t="str">
        <f t="shared" si="56"/>
        <v/>
      </c>
      <c r="AC285" s="1655" t="str">
        <f t="shared" si="57"/>
        <v/>
      </c>
      <c r="AD285" s="1675" t="str">
        <f t="shared" si="58"/>
        <v/>
      </c>
      <c r="AE285" s="1674" t="str">
        <f t="shared" si="59"/>
        <v/>
      </c>
      <c r="AF285" s="1657" t="str">
        <f t="shared" si="59"/>
        <v/>
      </c>
      <c r="AG285" s="1655" t="str">
        <f t="shared" si="60"/>
        <v/>
      </c>
      <c r="AH285" s="1665" t="str">
        <f t="shared" si="61"/>
        <v/>
      </c>
      <c r="AI285" s="1665" t="str">
        <f t="shared" si="62"/>
        <v/>
      </c>
      <c r="AJ285" s="1655" t="str">
        <f t="shared" si="63"/>
        <v/>
      </c>
      <c r="AK285" s="1659" t="str">
        <f t="shared" si="46"/>
        <v/>
      </c>
    </row>
    <row r="286" spans="1:37" x14ac:dyDescent="0.25">
      <c r="A286" s="1655" t="s">
        <v>1471</v>
      </c>
      <c r="B286" s="1655" t="str">
        <f>IF(BUILDING!D105="","",BUILDING!D105)</f>
        <v/>
      </c>
      <c r="C286" s="1655" t="str">
        <f>IF(BUILDING!E105="","",BUILDING!E105)</f>
        <v/>
      </c>
      <c r="D286" s="1655" t="str">
        <f>IF(BUILDING!F105="","",BUILDING!F105)</f>
        <v/>
      </c>
      <c r="E286" s="1655" t="str">
        <f>IF(BUILDING!G105="","",BUILDING!G105)</f>
        <v/>
      </c>
      <c r="F286" s="1674" t="str">
        <f>IF(BUILDING!C105="","",BUILDING!C105)</f>
        <v/>
      </c>
      <c r="G286" s="1655" t="str">
        <f>IF(BUILDING!H105="","",BUILDING!H105)</f>
        <v/>
      </c>
      <c r="H286" s="1655" t="str">
        <f>IF(BUILDING!I105="","",BUILDING!I105)</f>
        <v/>
      </c>
      <c r="I286" s="1659" t="str">
        <f>IF(BUILDING!K105="","",BUILDING!K105)</f>
        <v/>
      </c>
      <c r="J286" s="1659" t="str">
        <f>IF(BUILDING!L105="","",BUILDING!L105)</f>
        <v/>
      </c>
      <c r="K286" s="1675" t="str">
        <f>IF(BUILDING!N105=0,"",BUILDING!N105)</f>
        <v/>
      </c>
      <c r="L286" s="1674" t="str">
        <f>IF(BUILDING!O105="","",BUILDING!O105)</f>
        <v/>
      </c>
      <c r="M286" s="1655" t="str">
        <f>IF(BUILDING!P105="","",BUILDING!P105)</f>
        <v/>
      </c>
      <c r="O286" s="1655" t="s">
        <v>1472</v>
      </c>
      <c r="P286" s="1655" t="str">
        <f t="shared" si="47"/>
        <v/>
      </c>
      <c r="Q286" s="1655" t="str">
        <f t="shared" si="48"/>
        <v/>
      </c>
      <c r="R286" s="1655" t="str">
        <f t="shared" si="49"/>
        <v/>
      </c>
      <c r="T286" s="1655" t="s">
        <v>1473</v>
      </c>
      <c r="U286" s="1655" t="str">
        <f t="shared" si="50"/>
        <v/>
      </c>
      <c r="V286" s="1659" t="str">
        <f t="shared" si="51"/>
        <v/>
      </c>
      <c r="W286" s="1676" t="str">
        <f t="shared" si="51"/>
        <v/>
      </c>
      <c r="X286" s="1659" t="str">
        <f t="shared" si="52"/>
        <v/>
      </c>
      <c r="Y286" s="1674" t="str">
        <f t="shared" si="53"/>
        <v/>
      </c>
      <c r="Z286" s="1655" t="str">
        <f t="shared" si="54"/>
        <v/>
      </c>
      <c r="AA286" s="1655" t="str">
        <f t="shared" si="55"/>
        <v/>
      </c>
      <c r="AB286" s="1655" t="str">
        <f t="shared" si="56"/>
        <v/>
      </c>
      <c r="AC286" s="1655" t="str">
        <f t="shared" si="57"/>
        <v/>
      </c>
      <c r="AD286" s="1675" t="str">
        <f t="shared" si="58"/>
        <v/>
      </c>
      <c r="AE286" s="1674" t="str">
        <f t="shared" si="59"/>
        <v/>
      </c>
      <c r="AF286" s="1657" t="str">
        <f t="shared" si="59"/>
        <v/>
      </c>
      <c r="AG286" s="1655" t="str">
        <f t="shared" si="60"/>
        <v/>
      </c>
      <c r="AH286" s="1665" t="str">
        <f t="shared" si="61"/>
        <v/>
      </c>
      <c r="AI286" s="1665" t="str">
        <f t="shared" si="62"/>
        <v/>
      </c>
      <c r="AJ286" s="1655" t="str">
        <f t="shared" si="63"/>
        <v/>
      </c>
      <c r="AK286" s="1659" t="str">
        <f t="shared" si="46"/>
        <v/>
      </c>
    </row>
    <row r="287" spans="1:37" x14ac:dyDescent="0.25">
      <c r="A287" s="1655" t="s">
        <v>1471</v>
      </c>
      <c r="B287" s="1655" t="str">
        <f>IF(BUILDING!D106="","",BUILDING!D106)</f>
        <v/>
      </c>
      <c r="C287" s="1655" t="str">
        <f>IF(BUILDING!E106="","",BUILDING!E106)</f>
        <v/>
      </c>
      <c r="D287" s="1655" t="str">
        <f>IF(BUILDING!F106="","",BUILDING!F106)</f>
        <v/>
      </c>
      <c r="E287" s="1655" t="str">
        <f>IF(BUILDING!G106="","",BUILDING!G106)</f>
        <v/>
      </c>
      <c r="F287" s="1674" t="str">
        <f>IF(BUILDING!C106="","",BUILDING!C106)</f>
        <v/>
      </c>
      <c r="G287" s="1655" t="str">
        <f>IF(BUILDING!H106="","",BUILDING!H106)</f>
        <v/>
      </c>
      <c r="H287" s="1655" t="str">
        <f>IF(BUILDING!I106="","",BUILDING!I106)</f>
        <v/>
      </c>
      <c r="I287" s="1659" t="str">
        <f>IF(BUILDING!K106="","",BUILDING!K106)</f>
        <v/>
      </c>
      <c r="J287" s="1659" t="str">
        <f>IF(BUILDING!L106="","",BUILDING!L106)</f>
        <v/>
      </c>
      <c r="K287" s="1675" t="str">
        <f>IF(BUILDING!N106=0,"",BUILDING!N106)</f>
        <v/>
      </c>
      <c r="L287" s="1674" t="str">
        <f>IF(BUILDING!O106="","",BUILDING!O106)</f>
        <v/>
      </c>
      <c r="M287" s="1655" t="str">
        <f>IF(BUILDING!P106="","",BUILDING!P106)</f>
        <v/>
      </c>
      <c r="O287" s="1655" t="s">
        <v>1472</v>
      </c>
      <c r="P287" s="1655" t="str">
        <f t="shared" si="47"/>
        <v/>
      </c>
      <c r="Q287" s="1655" t="str">
        <f t="shared" si="48"/>
        <v/>
      </c>
      <c r="R287" s="1655" t="str">
        <f t="shared" si="49"/>
        <v/>
      </c>
      <c r="T287" s="1655" t="s">
        <v>1473</v>
      </c>
      <c r="U287" s="1655" t="str">
        <f t="shared" si="50"/>
        <v/>
      </c>
      <c r="V287" s="1659" t="str">
        <f t="shared" si="51"/>
        <v/>
      </c>
      <c r="W287" s="1676" t="str">
        <f t="shared" si="51"/>
        <v/>
      </c>
      <c r="X287" s="1659" t="str">
        <f t="shared" si="52"/>
        <v/>
      </c>
      <c r="Y287" s="1674" t="str">
        <f t="shared" si="53"/>
        <v/>
      </c>
      <c r="Z287" s="1655" t="str">
        <f t="shared" si="54"/>
        <v/>
      </c>
      <c r="AA287" s="1655" t="str">
        <f t="shared" si="55"/>
        <v/>
      </c>
      <c r="AB287" s="1655" t="str">
        <f t="shared" si="56"/>
        <v/>
      </c>
      <c r="AC287" s="1655" t="str">
        <f t="shared" si="57"/>
        <v/>
      </c>
      <c r="AD287" s="1675" t="str">
        <f t="shared" si="58"/>
        <v/>
      </c>
      <c r="AE287" s="1674" t="str">
        <f t="shared" si="59"/>
        <v/>
      </c>
      <c r="AF287" s="1657" t="str">
        <f t="shared" si="59"/>
        <v/>
      </c>
      <c r="AG287" s="1655" t="str">
        <f t="shared" si="60"/>
        <v/>
      </c>
      <c r="AH287" s="1665" t="str">
        <f t="shared" si="61"/>
        <v/>
      </c>
      <c r="AI287" s="1665" t="str">
        <f t="shared" si="62"/>
        <v/>
      </c>
      <c r="AJ287" s="1655" t="str">
        <f t="shared" si="63"/>
        <v/>
      </c>
      <c r="AK287" s="1659" t="str">
        <f t="shared" si="46"/>
        <v/>
      </c>
    </row>
    <row r="288" spans="1:37" x14ac:dyDescent="0.25">
      <c r="A288" s="1655" t="s">
        <v>1471</v>
      </c>
      <c r="B288" s="1655" t="str">
        <f>IF(BUILDING!D107="","",BUILDING!D107)</f>
        <v/>
      </c>
      <c r="C288" s="1655" t="str">
        <f>IF(BUILDING!E107="","",BUILDING!E107)</f>
        <v/>
      </c>
      <c r="D288" s="1655" t="str">
        <f>IF(BUILDING!F107="","",BUILDING!F107)</f>
        <v/>
      </c>
      <c r="E288" s="1655" t="str">
        <f>IF(BUILDING!G107="","",BUILDING!G107)</f>
        <v/>
      </c>
      <c r="F288" s="1674" t="str">
        <f>IF(BUILDING!C107="","",BUILDING!C107)</f>
        <v/>
      </c>
      <c r="G288" s="1655" t="str">
        <f>IF(BUILDING!H107="","",BUILDING!H107)</f>
        <v/>
      </c>
      <c r="H288" s="1655" t="str">
        <f>IF(BUILDING!I107="","",BUILDING!I107)</f>
        <v/>
      </c>
      <c r="I288" s="1659" t="str">
        <f>IF(BUILDING!K107="","",BUILDING!K107)</f>
        <v/>
      </c>
      <c r="J288" s="1659" t="str">
        <f>IF(BUILDING!L107="","",BUILDING!L107)</f>
        <v/>
      </c>
      <c r="K288" s="1675" t="str">
        <f>IF(BUILDING!N107=0,"",BUILDING!N107)</f>
        <v/>
      </c>
      <c r="L288" s="1674" t="str">
        <f>IF(BUILDING!O107="","",BUILDING!O107)</f>
        <v/>
      </c>
      <c r="M288" s="1655" t="str">
        <f>IF(BUILDING!P107="","",BUILDING!P107)</f>
        <v/>
      </c>
      <c r="O288" s="1655" t="s">
        <v>1472</v>
      </c>
      <c r="P288" s="1655" t="str">
        <f t="shared" si="47"/>
        <v/>
      </c>
      <c r="Q288" s="1655" t="str">
        <f t="shared" si="48"/>
        <v/>
      </c>
      <c r="R288" s="1655" t="str">
        <f t="shared" si="49"/>
        <v/>
      </c>
      <c r="T288" s="1655" t="s">
        <v>1473</v>
      </c>
      <c r="U288" s="1655" t="str">
        <f t="shared" si="50"/>
        <v/>
      </c>
      <c r="V288" s="1659" t="str">
        <f t="shared" si="51"/>
        <v/>
      </c>
      <c r="W288" s="1676" t="str">
        <f t="shared" si="51"/>
        <v/>
      </c>
      <c r="X288" s="1659" t="str">
        <f t="shared" si="52"/>
        <v/>
      </c>
      <c r="Y288" s="1674" t="str">
        <f t="shared" si="53"/>
        <v/>
      </c>
      <c r="Z288" s="1655" t="str">
        <f t="shared" si="54"/>
        <v/>
      </c>
      <c r="AA288" s="1655" t="str">
        <f t="shared" si="55"/>
        <v/>
      </c>
      <c r="AB288" s="1655" t="str">
        <f t="shared" si="56"/>
        <v/>
      </c>
      <c r="AC288" s="1655" t="str">
        <f t="shared" si="57"/>
        <v/>
      </c>
      <c r="AD288" s="1675" t="str">
        <f t="shared" si="58"/>
        <v/>
      </c>
      <c r="AE288" s="1674" t="str">
        <f t="shared" si="59"/>
        <v/>
      </c>
      <c r="AF288" s="1657" t="str">
        <f t="shared" si="59"/>
        <v/>
      </c>
      <c r="AG288" s="1655" t="str">
        <f t="shared" si="60"/>
        <v/>
      </c>
      <c r="AH288" s="1665" t="str">
        <f t="shared" si="61"/>
        <v/>
      </c>
      <c r="AI288" s="1665" t="str">
        <f t="shared" si="62"/>
        <v/>
      </c>
      <c r="AJ288" s="1655" t="str">
        <f t="shared" si="63"/>
        <v/>
      </c>
      <c r="AK288" s="1659" t="str">
        <f t="shared" si="46"/>
        <v/>
      </c>
    </row>
    <row r="289" spans="1:37" x14ac:dyDescent="0.25">
      <c r="A289" s="1655" t="s">
        <v>1471</v>
      </c>
      <c r="B289" s="1655" t="str">
        <f>IF(BUILDING!D108="","",BUILDING!D108)</f>
        <v/>
      </c>
      <c r="C289" s="1655" t="str">
        <f>IF(BUILDING!E108="","",BUILDING!E108)</f>
        <v/>
      </c>
      <c r="D289" s="1655" t="str">
        <f>IF(BUILDING!F108="","",BUILDING!F108)</f>
        <v/>
      </c>
      <c r="E289" s="1655" t="str">
        <f>IF(BUILDING!G108="","",BUILDING!G108)</f>
        <v/>
      </c>
      <c r="F289" s="1674" t="str">
        <f>IF(BUILDING!C108="","",BUILDING!C108)</f>
        <v/>
      </c>
      <c r="G289" s="1655" t="str">
        <f>IF(BUILDING!H108="","",BUILDING!H108)</f>
        <v/>
      </c>
      <c r="H289" s="1655" t="str">
        <f>IF(BUILDING!I108="","",BUILDING!I108)</f>
        <v/>
      </c>
      <c r="I289" s="1659" t="str">
        <f>IF(BUILDING!K108="","",BUILDING!K108)</f>
        <v/>
      </c>
      <c r="J289" s="1659" t="str">
        <f>IF(BUILDING!L108="","",BUILDING!L108)</f>
        <v/>
      </c>
      <c r="K289" s="1675" t="str">
        <f>IF(BUILDING!N108=0,"",BUILDING!N108)</f>
        <v/>
      </c>
      <c r="L289" s="1674" t="str">
        <f>IF(BUILDING!O108="","",BUILDING!O108)</f>
        <v/>
      </c>
      <c r="M289" s="1655" t="str">
        <f>IF(BUILDING!P108="","",BUILDING!P108)</f>
        <v/>
      </c>
      <c r="O289" s="1655" t="s">
        <v>1472</v>
      </c>
      <c r="P289" s="1655" t="str">
        <f t="shared" si="47"/>
        <v/>
      </c>
      <c r="Q289" s="1655" t="str">
        <f t="shared" si="48"/>
        <v/>
      </c>
      <c r="R289" s="1655" t="str">
        <f t="shared" si="49"/>
        <v/>
      </c>
      <c r="T289" s="1655" t="s">
        <v>1473</v>
      </c>
      <c r="U289" s="1655" t="str">
        <f t="shared" si="50"/>
        <v/>
      </c>
      <c r="V289" s="1659" t="str">
        <f t="shared" si="51"/>
        <v/>
      </c>
      <c r="W289" s="1676" t="str">
        <f t="shared" si="51"/>
        <v/>
      </c>
      <c r="X289" s="1659" t="str">
        <f t="shared" si="52"/>
        <v/>
      </c>
      <c r="Y289" s="1674" t="str">
        <f t="shared" si="53"/>
        <v/>
      </c>
      <c r="Z289" s="1655" t="str">
        <f t="shared" si="54"/>
        <v/>
      </c>
      <c r="AA289" s="1655" t="str">
        <f t="shared" si="55"/>
        <v/>
      </c>
      <c r="AB289" s="1655" t="str">
        <f t="shared" si="56"/>
        <v/>
      </c>
      <c r="AC289" s="1655" t="str">
        <f t="shared" si="57"/>
        <v/>
      </c>
      <c r="AD289" s="1675" t="str">
        <f t="shared" si="58"/>
        <v/>
      </c>
      <c r="AE289" s="1674" t="str">
        <f t="shared" si="59"/>
        <v/>
      </c>
      <c r="AF289" s="1657" t="str">
        <f t="shared" si="59"/>
        <v/>
      </c>
      <c r="AG289" s="1655" t="str">
        <f t="shared" si="60"/>
        <v/>
      </c>
      <c r="AH289" s="1665" t="str">
        <f t="shared" si="61"/>
        <v/>
      </c>
      <c r="AI289" s="1665" t="str">
        <f t="shared" si="62"/>
        <v/>
      </c>
      <c r="AJ289" s="1655" t="str">
        <f t="shared" si="63"/>
        <v/>
      </c>
      <c r="AK289" s="1659" t="str">
        <f t="shared" si="46"/>
        <v/>
      </c>
    </row>
    <row r="290" spans="1:37" x14ac:dyDescent="0.25">
      <c r="A290" s="1655" t="s">
        <v>1471</v>
      </c>
      <c r="B290" s="1655" t="str">
        <f>IF(BUILDING!D109="","",BUILDING!D109)</f>
        <v/>
      </c>
      <c r="C290" s="1655" t="str">
        <f>IF(BUILDING!E109="","",BUILDING!E109)</f>
        <v/>
      </c>
      <c r="D290" s="1655" t="str">
        <f>IF(BUILDING!F109="","",BUILDING!F109)</f>
        <v/>
      </c>
      <c r="E290" s="1655" t="str">
        <f>IF(BUILDING!G109="","",BUILDING!G109)</f>
        <v/>
      </c>
      <c r="F290" s="1674" t="str">
        <f>IF(BUILDING!C109="","",BUILDING!C109)</f>
        <v/>
      </c>
      <c r="G290" s="1655" t="str">
        <f>IF(BUILDING!H109="","",BUILDING!H109)</f>
        <v/>
      </c>
      <c r="H290" s="1655" t="str">
        <f>IF(BUILDING!I109="","",BUILDING!I109)</f>
        <v/>
      </c>
      <c r="I290" s="1659" t="str">
        <f>IF(BUILDING!K109="","",BUILDING!K109)</f>
        <v/>
      </c>
      <c r="J290" s="1659" t="str">
        <f>IF(BUILDING!L109="","",BUILDING!L109)</f>
        <v/>
      </c>
      <c r="K290" s="1675" t="str">
        <f>IF(BUILDING!N109=0,"",BUILDING!N109)</f>
        <v/>
      </c>
      <c r="L290" s="1674" t="str">
        <f>IF(BUILDING!O109="","",BUILDING!O109)</f>
        <v/>
      </c>
      <c r="M290" s="1655" t="str">
        <f>IF(BUILDING!P109="","",BUILDING!P109)</f>
        <v/>
      </c>
      <c r="O290" s="1655" t="s">
        <v>1472</v>
      </c>
      <c r="P290" s="1655" t="str">
        <f t="shared" si="47"/>
        <v/>
      </c>
      <c r="Q290" s="1655" t="str">
        <f t="shared" si="48"/>
        <v/>
      </c>
      <c r="R290" s="1655" t="str">
        <f t="shared" si="49"/>
        <v/>
      </c>
      <c r="T290" s="1655" t="s">
        <v>1473</v>
      </c>
      <c r="U290" s="1655" t="str">
        <f t="shared" si="50"/>
        <v/>
      </c>
      <c r="V290" s="1659" t="str">
        <f t="shared" si="51"/>
        <v/>
      </c>
      <c r="W290" s="1676" t="str">
        <f t="shared" si="51"/>
        <v/>
      </c>
      <c r="X290" s="1659" t="str">
        <f t="shared" si="52"/>
        <v/>
      </c>
      <c r="Y290" s="1674" t="str">
        <f t="shared" si="53"/>
        <v/>
      </c>
      <c r="Z290" s="1655" t="str">
        <f t="shared" si="54"/>
        <v/>
      </c>
      <c r="AA290" s="1655" t="str">
        <f t="shared" si="55"/>
        <v/>
      </c>
      <c r="AB290" s="1655" t="str">
        <f t="shared" si="56"/>
        <v/>
      </c>
      <c r="AC290" s="1655" t="str">
        <f t="shared" si="57"/>
        <v/>
      </c>
      <c r="AD290" s="1675" t="str">
        <f t="shared" si="58"/>
        <v/>
      </c>
      <c r="AE290" s="1674" t="str">
        <f t="shared" si="59"/>
        <v/>
      </c>
      <c r="AF290" s="1657" t="str">
        <f t="shared" si="59"/>
        <v/>
      </c>
      <c r="AG290" s="1655" t="str">
        <f t="shared" si="60"/>
        <v/>
      </c>
      <c r="AH290" s="1665" t="str">
        <f t="shared" si="61"/>
        <v/>
      </c>
      <c r="AI290" s="1665" t="str">
        <f t="shared" si="62"/>
        <v/>
      </c>
      <c r="AJ290" s="1655" t="str">
        <f t="shared" si="63"/>
        <v/>
      </c>
      <c r="AK290" s="1659" t="str">
        <f t="shared" si="46"/>
        <v/>
      </c>
    </row>
    <row r="293" spans="1:37" ht="13.8" x14ac:dyDescent="0.25">
      <c r="A293" s="1651" t="s">
        <v>1163</v>
      </c>
      <c r="B293" s="1651" t="s">
        <v>1164</v>
      </c>
      <c r="C293" s="1651"/>
      <c r="D293" s="1651"/>
      <c r="E293" s="1651"/>
      <c r="F293" s="1651"/>
      <c r="G293" s="1651"/>
      <c r="H293" s="1651"/>
      <c r="I293" s="1651"/>
      <c r="J293" s="1651"/>
      <c r="K293" s="1651"/>
      <c r="L293" s="1651"/>
      <c r="M293" s="1651"/>
      <c r="N293" s="1651"/>
      <c r="P293" s="1660" t="s">
        <v>1194</v>
      </c>
      <c r="Q293" s="1660"/>
      <c r="R293" s="1660"/>
      <c r="S293" s="1660"/>
      <c r="T293" s="1660"/>
      <c r="U293" s="1660"/>
      <c r="V293" s="1660"/>
      <c r="W293" s="1660"/>
      <c r="X293" s="1660"/>
      <c r="Y293" s="1660"/>
      <c r="Z293" s="1660"/>
      <c r="AA293" s="1660"/>
      <c r="AB293" s="1660"/>
      <c r="AD293" s="1661" t="s">
        <v>1195</v>
      </c>
      <c r="AE293" s="1661"/>
      <c r="AF293" s="1661"/>
      <c r="AG293" s="1661"/>
      <c r="AH293" s="1661"/>
      <c r="AI293" s="1661"/>
    </row>
    <row r="294" spans="1:37" x14ac:dyDescent="0.25">
      <c r="A294" s="1654" t="s">
        <v>1198</v>
      </c>
      <c r="B294" s="1654" t="s">
        <v>1199</v>
      </c>
      <c r="C294" s="1654" t="s">
        <v>569</v>
      </c>
      <c r="D294" s="1654" t="s">
        <v>570</v>
      </c>
      <c r="E294" s="1654" t="s">
        <v>571</v>
      </c>
      <c r="F294" s="1654" t="s">
        <v>572</v>
      </c>
      <c r="G294" s="1654" t="s">
        <v>573</v>
      </c>
      <c r="H294" s="1654" t="s">
        <v>574</v>
      </c>
      <c r="I294" s="1654" t="s">
        <v>575</v>
      </c>
      <c r="J294" s="1654" t="s">
        <v>576</v>
      </c>
      <c r="K294" s="1654" t="s">
        <v>577</v>
      </c>
      <c r="L294" s="1654" t="s">
        <v>1474</v>
      </c>
      <c r="M294" s="1654" t="s">
        <v>1475</v>
      </c>
      <c r="N294" s="1654" t="s">
        <v>1476</v>
      </c>
      <c r="P294" s="1662" t="s">
        <v>1202</v>
      </c>
      <c r="Q294" s="1654" t="s">
        <v>1477</v>
      </c>
      <c r="R294" s="1654" t="s">
        <v>1478</v>
      </c>
      <c r="S294" s="1654" t="s">
        <v>1479</v>
      </c>
      <c r="T294" s="1654" t="str">
        <f t="shared" ref="T294:Z294" si="64">F294</f>
        <v xml:space="preserve">Number of Units </v>
      </c>
      <c r="U294" s="1654" t="str">
        <f t="shared" si="64"/>
        <v>(Net leasable Sq. Ft.)</v>
      </c>
      <c r="V294" s="1654" t="str">
        <f t="shared" si="64"/>
        <v>Tenant Utilities*</v>
      </c>
      <c r="W294" s="1654" t="str">
        <f t="shared" si="64"/>
        <v>"Resident Paid" Rent</v>
      </c>
      <c r="X294" s="1654" t="str">
        <f t="shared" si="64"/>
        <v>Rent Subsidy</v>
      </c>
      <c r="Y294" s="1654" t="str">
        <f t="shared" si="64"/>
        <v>Rent Subsidy Source</v>
      </c>
      <c r="Z294" s="1654" t="str">
        <f t="shared" si="64"/>
        <v>Income Per Unit</v>
      </c>
      <c r="AA294" s="1654" t="s">
        <v>1475</v>
      </c>
      <c r="AB294" s="1654" t="s">
        <v>1476</v>
      </c>
      <c r="AD294" s="1662" t="s">
        <v>1202</v>
      </c>
      <c r="AE294" s="1654" t="s">
        <v>1477</v>
      </c>
      <c r="AF294" s="1654" t="s">
        <v>1478</v>
      </c>
      <c r="AG294" s="1654" t="str">
        <f>T294</f>
        <v xml:space="preserve">Number of Units </v>
      </c>
      <c r="AH294" s="1654" t="str">
        <f>U294</f>
        <v>(Net leasable Sq. Ft.)</v>
      </c>
      <c r="AI294" s="1654" t="str">
        <f>Z294</f>
        <v>Income Per Unit</v>
      </c>
    </row>
    <row r="295" spans="1:37" x14ac:dyDescent="0.25">
      <c r="A295" s="1655" t="s">
        <v>1164</v>
      </c>
      <c r="B295" s="1655" t="s">
        <v>566</v>
      </c>
      <c r="C295" s="661" t="str">
        <f>IF(INC_LIHTCMedianIncome1="","",INC_LIHTCMedianIncome1)</f>
        <v/>
      </c>
      <c r="D295" s="1655" t="str">
        <f>IF(INC_LIHTCBedrooms1="","",INC_LIHTCBedrooms1)</f>
        <v/>
      </c>
      <c r="E295" s="1655" t="str">
        <f>IF(INC_LIHTCBaths1="","",INC_LIHTCBaths1)</f>
        <v/>
      </c>
      <c r="F295" s="1655" t="str">
        <f>IF(INC_LIHTCNumberofUnits1="","",INC_LIHTCNumberofUnits1)</f>
        <v/>
      </c>
      <c r="G295" s="1674" t="str">
        <f>IF(INC_LIHTCUnitSize1="","",INC_LIHTCUnitSize1)</f>
        <v/>
      </c>
      <c r="H295" s="662" t="str">
        <f>IF(INC_LIHTCTenantUtilities1="","",INC_LIHTCTenantUtilities1)</f>
        <v/>
      </c>
      <c r="I295" s="662" t="str">
        <f>IF(INC_LIHTCResidentPaidRent1="","",INC_LIHTCResidentPaidRent1)</f>
        <v/>
      </c>
      <c r="J295" s="662" t="str">
        <f>IF(INC_LIHTCRentSubsidy1="","",INC_LIHTCRentSubsidy1)</f>
        <v/>
      </c>
      <c r="K295" s="1655" t="str">
        <f>IF(INC_LIHTCRentSubsidySource1="","",INC_LIHTCRentSubsidySource1)</f>
        <v/>
      </c>
      <c r="L295" s="662" t="str">
        <f>IF(INC_LIHTCIncomePerUnit1=0,"",INC_LIHTCIncomePerUnit1)</f>
        <v/>
      </c>
      <c r="M295" s="1659" t="str">
        <f>IF(INCOME!O11="","",INCOME!O11)</f>
        <v/>
      </c>
      <c r="N295" s="1659" t="str">
        <f>IF(INCOME!Q11="","",INCOME!Q11)</f>
        <v/>
      </c>
      <c r="P295" s="1655" t="s">
        <v>1480</v>
      </c>
      <c r="Q295" s="663" t="str">
        <f t="shared" ref="Q295:Q324" si="65">IF(C295="","",TEXT(C295,"0%"))</f>
        <v/>
      </c>
      <c r="R295" s="1657" t="str">
        <f>IF(AND($F295&lt;&gt;"",D295&lt;&gt;""),D295,"")</f>
        <v/>
      </c>
      <c r="S295" s="1657" t="str">
        <f t="shared" ref="S295:S335" si="66">IF(AND($F295&lt;&gt;"",E295&lt;&gt;""),E295,"")</f>
        <v/>
      </c>
      <c r="T295" s="1655" t="str">
        <f t="shared" ref="T295:T335" si="67">IF(AND($F295&lt;&gt;"",F295&lt;&gt;""),F295,"")</f>
        <v/>
      </c>
      <c r="U295" s="1674" t="str">
        <f t="shared" ref="U295:U335" si="68">IF(AND($F295&lt;&gt;"",G295&lt;&gt;""),G295,"")</f>
        <v/>
      </c>
      <c r="V295" s="662" t="str">
        <f t="shared" ref="V295:V324" si="69">IF(AND($F295&lt;&gt;"",H295&lt;&gt;""),H295,"")</f>
        <v/>
      </c>
      <c r="W295" s="662" t="str">
        <f t="shared" ref="W295:W324" si="70">IF(AND($F295&lt;&gt;"",I295&lt;&gt;""),I295,"")</f>
        <v/>
      </c>
      <c r="X295" s="662" t="str">
        <f t="shared" ref="X295:X324" si="71">IF(AND($F295&lt;&gt;"",J295&lt;&gt;""),J295,"")</f>
        <v/>
      </c>
      <c r="Y295" s="1655" t="str">
        <f t="shared" ref="Y295:Y324" si="72">IF(AND($F295&lt;&gt;"",K295&lt;&gt;""),K295,"")</f>
        <v/>
      </c>
      <c r="Z295" s="662" t="str">
        <f t="shared" ref="Z295:Z335" si="73">IF(AND($F295&lt;&gt;"",L295&lt;&gt;""),L295,"")</f>
        <v/>
      </c>
      <c r="AA295" s="1657" t="str">
        <f t="shared" ref="AA295:AA324" si="74">IF(AND($F295&lt;&gt;"",M295&lt;&gt;""),M295,"")</f>
        <v/>
      </c>
      <c r="AB295" s="1657" t="str">
        <f t="shared" ref="AB295:AB324" si="75">IF(AND($F295&lt;&gt;"",N295&lt;&gt;""),N295,"")</f>
        <v/>
      </c>
      <c r="AD295" s="1655" t="s">
        <v>1481</v>
      </c>
      <c r="AE295" s="663" t="str">
        <f t="shared" ref="AE295:AE324" si="76">IF(C295="","",TEXT(C295,"#%")&amp;" AMI")</f>
        <v/>
      </c>
      <c r="AF295" s="1657" t="str">
        <f t="shared" ref="AF295:AF335" si="77">IF(D295="","",D295)</f>
        <v/>
      </c>
      <c r="AG295" s="1655" t="str">
        <f t="shared" ref="AG295:AG335" si="78">IF(F295="","",F295)</f>
        <v/>
      </c>
      <c r="AH295" s="1674" t="str">
        <f t="shared" ref="AH295:AH335" si="79">IF(G295="","",G295)</f>
        <v/>
      </c>
      <c r="AI295" s="662" t="str">
        <f t="shared" ref="AI295:AI335" si="80">IF(L295="","",L295)</f>
        <v/>
      </c>
    </row>
    <row r="296" spans="1:37" x14ac:dyDescent="0.25">
      <c r="A296" s="1655" t="s">
        <v>1164</v>
      </c>
      <c r="B296" s="1655" t="s">
        <v>566</v>
      </c>
      <c r="C296" s="661" t="str">
        <f>IF(INC_LIHTCMedianIncome2="","",INC_LIHTCMedianIncome2)</f>
        <v/>
      </c>
      <c r="D296" s="1655" t="str">
        <f>IF(INC_LIHTCBedrooms2="","",INC_LIHTCBedrooms2)</f>
        <v/>
      </c>
      <c r="E296" s="1655" t="str">
        <f>IF(INC_LIHTCBaths2="","",INC_LIHTCBaths2)</f>
        <v/>
      </c>
      <c r="F296" s="1655" t="str">
        <f>IF(INC_LIHTCNumberofUnits2="","",INC_LIHTCNumberofUnits2)</f>
        <v/>
      </c>
      <c r="G296" s="1674" t="str">
        <f>IF(INC_LIHTCUnitSize2="","",INC_LIHTCUnitSize2)</f>
        <v/>
      </c>
      <c r="H296" s="662" t="str">
        <f>IF(INC_LIHTCTenantUtilities2="","",INC_LIHTCTenantUtilities2)</f>
        <v/>
      </c>
      <c r="I296" s="662" t="str">
        <f>IF(INC_LIHTCResidentPaidRent2="","",INC_LIHTCResidentPaidRent2)</f>
        <v/>
      </c>
      <c r="J296" s="662" t="str">
        <f>IF(INC_LIHTCRentSubsidy2="","",INC_LIHTCRentSubsidy2)</f>
        <v/>
      </c>
      <c r="K296" s="1655" t="str">
        <f>IF(INC_LIHTCRentSubsidySource2="","",INC_LIHTCRentSubsidySource2)</f>
        <v/>
      </c>
      <c r="L296" s="662" t="str">
        <f>IF(INC_LIHTCIncomePerUnit2=0,"",INC_LIHTCIncomePerUnit2)</f>
        <v/>
      </c>
      <c r="M296" s="1659" t="str">
        <f>IF(INCOME!O12="","",INCOME!O12)</f>
        <v/>
      </c>
      <c r="N296" s="1659" t="str">
        <f>IF(INCOME!Q12="","",INCOME!Q12)</f>
        <v/>
      </c>
      <c r="P296" s="1655" t="s">
        <v>1480</v>
      </c>
      <c r="Q296" s="663" t="str">
        <f t="shared" si="65"/>
        <v/>
      </c>
      <c r="R296" s="1657" t="str">
        <f t="shared" ref="R296:R335" si="81">IF(AND($F296&lt;&gt;"",D296&lt;&gt;""),D296,"")</f>
        <v/>
      </c>
      <c r="S296" s="1657" t="str">
        <f t="shared" si="66"/>
        <v/>
      </c>
      <c r="T296" s="1655" t="str">
        <f t="shared" si="67"/>
        <v/>
      </c>
      <c r="U296" s="1674" t="str">
        <f t="shared" si="68"/>
        <v/>
      </c>
      <c r="V296" s="662" t="str">
        <f t="shared" si="69"/>
        <v/>
      </c>
      <c r="W296" s="662" t="str">
        <f t="shared" si="70"/>
        <v/>
      </c>
      <c r="X296" s="662" t="str">
        <f t="shared" si="71"/>
        <v/>
      </c>
      <c r="Y296" s="1655" t="str">
        <f t="shared" si="72"/>
        <v/>
      </c>
      <c r="Z296" s="662" t="str">
        <f t="shared" si="73"/>
        <v/>
      </c>
      <c r="AA296" s="1657" t="str">
        <f t="shared" si="74"/>
        <v/>
      </c>
      <c r="AB296" s="1657" t="str">
        <f t="shared" si="75"/>
        <v/>
      </c>
      <c r="AD296" s="1655" t="s">
        <v>1481</v>
      </c>
      <c r="AE296" s="663" t="str">
        <f t="shared" si="76"/>
        <v/>
      </c>
      <c r="AF296" s="1657" t="str">
        <f t="shared" si="77"/>
        <v/>
      </c>
      <c r="AG296" s="1655" t="str">
        <f t="shared" si="78"/>
        <v/>
      </c>
      <c r="AH296" s="1674" t="str">
        <f t="shared" si="79"/>
        <v/>
      </c>
      <c r="AI296" s="662" t="str">
        <f t="shared" si="80"/>
        <v/>
      </c>
    </row>
    <row r="297" spans="1:37" x14ac:dyDescent="0.25">
      <c r="A297" s="1655" t="s">
        <v>1164</v>
      </c>
      <c r="B297" s="1655" t="s">
        <v>566</v>
      </c>
      <c r="C297" s="661" t="str">
        <f>IF(INC_LIHTCMedianIncome3="","",INC_LIHTCMedianIncome3)</f>
        <v/>
      </c>
      <c r="D297" s="1655" t="str">
        <f>IF(INC_LIHTCBedrooms3="","",INC_LIHTCBedrooms3)</f>
        <v/>
      </c>
      <c r="E297" s="1655" t="str">
        <f>IF(INC_LIHTCBaths3="","",INC_LIHTCBaths3)</f>
        <v/>
      </c>
      <c r="F297" s="1655" t="str">
        <f>IF(INC_LIHTCNumberofUnits3="","",INC_LIHTCNumberofUnits3)</f>
        <v/>
      </c>
      <c r="G297" s="1674" t="str">
        <f>IF(INC_LIHTCUnitSize3="","",INC_LIHTCUnitSize3)</f>
        <v/>
      </c>
      <c r="H297" s="662" t="str">
        <f>IF(INC_LIHTCTenantUtilities3="","",INC_LIHTCTenantUtilities3)</f>
        <v/>
      </c>
      <c r="I297" s="662" t="str">
        <f>IF(INC_LIHTCResidentPaidRent3="","",INC_LIHTCResidentPaidRent3)</f>
        <v/>
      </c>
      <c r="J297" s="662" t="str">
        <f>IF(INC_LIHTCRentSubsidy3="","",INC_LIHTCRentSubsidy3)</f>
        <v/>
      </c>
      <c r="K297" s="1655" t="str">
        <f>IF(INC_LIHTCRentSubsidySource3="","",INC_LIHTCRentSubsidySource3)</f>
        <v/>
      </c>
      <c r="L297" s="662" t="str">
        <f>IF(INC_LIHTCIncomePerUnit3=0,"",INC_LIHTCIncomePerUnit3)</f>
        <v/>
      </c>
      <c r="M297" s="1659" t="str">
        <f>IF(INCOME!O13="","",INCOME!O13)</f>
        <v/>
      </c>
      <c r="N297" s="1659" t="str">
        <f>IF(INCOME!Q13="","",INCOME!Q13)</f>
        <v/>
      </c>
      <c r="P297" s="1655" t="s">
        <v>1480</v>
      </c>
      <c r="Q297" s="663" t="str">
        <f t="shared" si="65"/>
        <v/>
      </c>
      <c r="R297" s="1657" t="str">
        <f t="shared" si="81"/>
        <v/>
      </c>
      <c r="S297" s="1657" t="str">
        <f t="shared" si="66"/>
        <v/>
      </c>
      <c r="T297" s="1655" t="str">
        <f t="shared" si="67"/>
        <v/>
      </c>
      <c r="U297" s="1674" t="str">
        <f t="shared" si="68"/>
        <v/>
      </c>
      <c r="V297" s="662" t="str">
        <f t="shared" si="69"/>
        <v/>
      </c>
      <c r="W297" s="662" t="str">
        <f t="shared" si="70"/>
        <v/>
      </c>
      <c r="X297" s="662" t="str">
        <f t="shared" si="71"/>
        <v/>
      </c>
      <c r="Y297" s="1655" t="str">
        <f t="shared" si="72"/>
        <v/>
      </c>
      <c r="Z297" s="662" t="str">
        <f t="shared" si="73"/>
        <v/>
      </c>
      <c r="AA297" s="1657" t="str">
        <f t="shared" si="74"/>
        <v/>
      </c>
      <c r="AB297" s="1657" t="str">
        <f t="shared" si="75"/>
        <v/>
      </c>
      <c r="AD297" s="1655" t="s">
        <v>1481</v>
      </c>
      <c r="AE297" s="663" t="str">
        <f t="shared" si="76"/>
        <v/>
      </c>
      <c r="AF297" s="1657" t="str">
        <f t="shared" si="77"/>
        <v/>
      </c>
      <c r="AG297" s="1655" t="str">
        <f t="shared" si="78"/>
        <v/>
      </c>
      <c r="AH297" s="1674" t="str">
        <f t="shared" si="79"/>
        <v/>
      </c>
      <c r="AI297" s="662" t="str">
        <f t="shared" si="80"/>
        <v/>
      </c>
    </row>
    <row r="298" spans="1:37" x14ac:dyDescent="0.25">
      <c r="A298" s="1655" t="s">
        <v>1164</v>
      </c>
      <c r="B298" s="1655" t="s">
        <v>566</v>
      </c>
      <c r="C298" s="661" t="str">
        <f>IF(INC_LIHTCMedianIncome4="","",INC_LIHTCMedianIncome4)</f>
        <v/>
      </c>
      <c r="D298" s="1655" t="str">
        <f>IF(INC_LIHTCBedrooms4="","",INC_LIHTCBedrooms4)</f>
        <v/>
      </c>
      <c r="E298" s="1655" t="str">
        <f>IF(INC_LIHTCBaths4="","",INC_LIHTCBaths4)</f>
        <v/>
      </c>
      <c r="F298" s="1655" t="str">
        <f>IF(INC_LIHTCNumberofUnits4="","",INC_LIHTCNumberofUnits4)</f>
        <v/>
      </c>
      <c r="G298" s="1674" t="str">
        <f>IF(INC_LIHTCUnitSize4="","",INC_LIHTCUnitSize4)</f>
        <v/>
      </c>
      <c r="H298" s="662" t="str">
        <f>IF(INC_LIHTCTenantUtilities4="","",INC_LIHTCTenantUtilities4)</f>
        <v/>
      </c>
      <c r="I298" s="662" t="str">
        <f>IF(INC_LIHTCResidentPaidRent4="","",INC_LIHTCResidentPaidRent4)</f>
        <v/>
      </c>
      <c r="J298" s="662" t="str">
        <f>IF(INC_LIHTCRentSubsidy4="","",INC_LIHTCRentSubsidy4)</f>
        <v/>
      </c>
      <c r="K298" s="1655" t="str">
        <f>IF(INC_LIHTCRentSubsidySource4="","",INC_LIHTCRentSubsidySource4)</f>
        <v/>
      </c>
      <c r="L298" s="662" t="str">
        <f>IF(INC_LIHTCIncomePerUnit4=0,"",INC_LIHTCIncomePerUnit4)</f>
        <v/>
      </c>
      <c r="M298" s="1659" t="str">
        <f>IF(INCOME!O14="","",INCOME!O14)</f>
        <v/>
      </c>
      <c r="N298" s="1659" t="str">
        <f>IF(INCOME!Q14="","",INCOME!Q14)</f>
        <v/>
      </c>
      <c r="P298" s="1655" t="s">
        <v>1480</v>
      </c>
      <c r="Q298" s="663" t="str">
        <f t="shared" si="65"/>
        <v/>
      </c>
      <c r="R298" s="1657" t="str">
        <f t="shared" si="81"/>
        <v/>
      </c>
      <c r="S298" s="1657" t="str">
        <f t="shared" si="66"/>
        <v/>
      </c>
      <c r="T298" s="1655" t="str">
        <f t="shared" si="67"/>
        <v/>
      </c>
      <c r="U298" s="1674" t="str">
        <f t="shared" si="68"/>
        <v/>
      </c>
      <c r="V298" s="662" t="str">
        <f t="shared" si="69"/>
        <v/>
      </c>
      <c r="W298" s="662" t="str">
        <f t="shared" si="70"/>
        <v/>
      </c>
      <c r="X298" s="662" t="str">
        <f t="shared" si="71"/>
        <v/>
      </c>
      <c r="Y298" s="1655" t="str">
        <f t="shared" si="72"/>
        <v/>
      </c>
      <c r="Z298" s="662" t="str">
        <f t="shared" si="73"/>
        <v/>
      </c>
      <c r="AA298" s="1657" t="str">
        <f t="shared" si="74"/>
        <v/>
      </c>
      <c r="AB298" s="1657" t="str">
        <f t="shared" si="75"/>
        <v/>
      </c>
      <c r="AD298" s="1655" t="s">
        <v>1481</v>
      </c>
      <c r="AE298" s="663" t="str">
        <f t="shared" si="76"/>
        <v/>
      </c>
      <c r="AF298" s="1657" t="str">
        <f t="shared" si="77"/>
        <v/>
      </c>
      <c r="AG298" s="1655" t="str">
        <f t="shared" si="78"/>
        <v/>
      </c>
      <c r="AH298" s="1674" t="str">
        <f t="shared" si="79"/>
        <v/>
      </c>
      <c r="AI298" s="662" t="str">
        <f t="shared" si="80"/>
        <v/>
      </c>
    </row>
    <row r="299" spans="1:37" x14ac:dyDescent="0.25">
      <c r="A299" s="1655" t="s">
        <v>1164</v>
      </c>
      <c r="B299" s="1655" t="s">
        <v>566</v>
      </c>
      <c r="C299" s="661" t="str">
        <f>IF(INC_LIHTCMedianIncome5="","",INC_LIHTCMedianIncome5)</f>
        <v/>
      </c>
      <c r="D299" s="1655" t="str">
        <f>IF(INC_LIHTCBedrooms5="","",INC_LIHTCBedrooms5)</f>
        <v/>
      </c>
      <c r="E299" s="1655" t="str">
        <f>IF(INC_LIHTCBaths5="","",INC_LIHTCBaths5)</f>
        <v/>
      </c>
      <c r="F299" s="1655" t="str">
        <f>IF(INC_LIHTCNumberofUnits5="","",INC_LIHTCNumberofUnits5)</f>
        <v/>
      </c>
      <c r="G299" s="1674" t="str">
        <f>IF(INC_LIHTCUnitSize5="","",INC_LIHTCUnitSize5)</f>
        <v/>
      </c>
      <c r="H299" s="662" t="str">
        <f>IF(INC_LIHTCTenantUtilities5="","",INC_LIHTCTenantUtilities5)</f>
        <v/>
      </c>
      <c r="I299" s="662" t="str">
        <f>IF(INC_LIHTCResidentPaidRent5="","",INC_LIHTCResidentPaidRent5)</f>
        <v/>
      </c>
      <c r="J299" s="662" t="str">
        <f>IF(INC_LIHTCRentSubsidy5="","",INC_LIHTCRentSubsidy5)</f>
        <v/>
      </c>
      <c r="K299" s="1655" t="str">
        <f>IF(INC_LIHTCRentSubsidySource5="","",INC_LIHTCRentSubsidySource5)</f>
        <v/>
      </c>
      <c r="L299" s="662" t="str">
        <f>IF(INC_LIHTCIncomePerUnit5=0,"",INC_LIHTCIncomePerUnit5)</f>
        <v/>
      </c>
      <c r="M299" s="1659" t="str">
        <f>IF(INCOME!O15="","",INCOME!O15)</f>
        <v/>
      </c>
      <c r="N299" s="1659" t="str">
        <f>IF(INCOME!Q15="","",INCOME!Q15)</f>
        <v/>
      </c>
      <c r="P299" s="1655" t="s">
        <v>1480</v>
      </c>
      <c r="Q299" s="663" t="str">
        <f t="shared" si="65"/>
        <v/>
      </c>
      <c r="R299" s="1657" t="str">
        <f t="shared" si="81"/>
        <v/>
      </c>
      <c r="S299" s="1657" t="str">
        <f t="shared" si="66"/>
        <v/>
      </c>
      <c r="T299" s="1655" t="str">
        <f t="shared" si="67"/>
        <v/>
      </c>
      <c r="U299" s="1674" t="str">
        <f t="shared" si="68"/>
        <v/>
      </c>
      <c r="V299" s="662" t="str">
        <f t="shared" si="69"/>
        <v/>
      </c>
      <c r="W299" s="662" t="str">
        <f t="shared" si="70"/>
        <v/>
      </c>
      <c r="X299" s="662" t="str">
        <f t="shared" si="71"/>
        <v/>
      </c>
      <c r="Y299" s="1655" t="str">
        <f t="shared" si="72"/>
        <v/>
      </c>
      <c r="Z299" s="662" t="str">
        <f t="shared" si="73"/>
        <v/>
      </c>
      <c r="AA299" s="1657" t="str">
        <f t="shared" si="74"/>
        <v/>
      </c>
      <c r="AB299" s="1657" t="str">
        <f t="shared" si="75"/>
        <v/>
      </c>
      <c r="AD299" s="1655" t="s">
        <v>1481</v>
      </c>
      <c r="AE299" s="663" t="str">
        <f t="shared" si="76"/>
        <v/>
      </c>
      <c r="AF299" s="1657" t="str">
        <f t="shared" si="77"/>
        <v/>
      </c>
      <c r="AG299" s="1655" t="str">
        <f t="shared" si="78"/>
        <v/>
      </c>
      <c r="AH299" s="1674" t="str">
        <f t="shared" si="79"/>
        <v/>
      </c>
      <c r="AI299" s="662" t="str">
        <f t="shared" si="80"/>
        <v/>
      </c>
    </row>
    <row r="300" spans="1:37" x14ac:dyDescent="0.25">
      <c r="A300" s="1655" t="s">
        <v>1164</v>
      </c>
      <c r="B300" s="1655" t="s">
        <v>566</v>
      </c>
      <c r="C300" s="661" t="str">
        <f>IF(INC_LIHTCMedianIncome6="","",INC_LIHTCMedianIncome6)</f>
        <v/>
      </c>
      <c r="D300" s="1655" t="str">
        <f>IF(INC_LIHTCBedrooms6="","",INC_LIHTCBedrooms6)</f>
        <v/>
      </c>
      <c r="E300" s="1655" t="str">
        <f>IF(INC_LIHTCBaths6="","",INC_LIHTCBaths6)</f>
        <v/>
      </c>
      <c r="F300" s="1655" t="str">
        <f>IF(INC_LIHTCNumberofUnits6="","",INC_LIHTCNumberofUnits6)</f>
        <v/>
      </c>
      <c r="G300" s="1674" t="str">
        <f>IF(INC_LIHTCUnitSize6="","",INC_LIHTCUnitSize6)</f>
        <v/>
      </c>
      <c r="H300" s="662" t="str">
        <f>IF(INC_LIHTCTenantUtilities6="","",INC_LIHTCTenantUtilities6)</f>
        <v/>
      </c>
      <c r="I300" s="662" t="str">
        <f>IF(INC_LIHTCResidentPaidRent6="","",INC_LIHTCResidentPaidRent6)</f>
        <v/>
      </c>
      <c r="J300" s="662" t="str">
        <f>IF(INC_LIHTCRentSubsidy6="","",INC_LIHTCRentSubsidy6)</f>
        <v/>
      </c>
      <c r="K300" s="1655" t="str">
        <f>IF(INC_LIHTCRentSubsidySource6="","",INC_LIHTCRentSubsidySource6)</f>
        <v/>
      </c>
      <c r="L300" s="662" t="str">
        <f>IF(INC_LIHTCIncomePerUnit6=0,"",INC_LIHTCIncomePerUnit6)</f>
        <v/>
      </c>
      <c r="M300" s="1659" t="str">
        <f>IF(INCOME!O16="","",INCOME!O16)</f>
        <v/>
      </c>
      <c r="N300" s="1659" t="str">
        <f>IF(INCOME!Q16="","",INCOME!Q16)</f>
        <v/>
      </c>
      <c r="P300" s="1655" t="s">
        <v>1480</v>
      </c>
      <c r="Q300" s="663" t="str">
        <f t="shared" si="65"/>
        <v/>
      </c>
      <c r="R300" s="1657" t="str">
        <f t="shared" si="81"/>
        <v/>
      </c>
      <c r="S300" s="1657" t="str">
        <f t="shared" si="66"/>
        <v/>
      </c>
      <c r="T300" s="1655" t="str">
        <f t="shared" si="67"/>
        <v/>
      </c>
      <c r="U300" s="1674" t="str">
        <f t="shared" si="68"/>
        <v/>
      </c>
      <c r="V300" s="662" t="str">
        <f t="shared" si="69"/>
        <v/>
      </c>
      <c r="W300" s="662" t="str">
        <f t="shared" si="70"/>
        <v/>
      </c>
      <c r="X300" s="662" t="str">
        <f t="shared" si="71"/>
        <v/>
      </c>
      <c r="Y300" s="1655" t="str">
        <f t="shared" si="72"/>
        <v/>
      </c>
      <c r="Z300" s="662" t="str">
        <f t="shared" si="73"/>
        <v/>
      </c>
      <c r="AA300" s="1657" t="str">
        <f t="shared" si="74"/>
        <v/>
      </c>
      <c r="AB300" s="1657" t="str">
        <f t="shared" si="75"/>
        <v/>
      </c>
      <c r="AD300" s="1655" t="s">
        <v>1481</v>
      </c>
      <c r="AE300" s="663" t="str">
        <f t="shared" si="76"/>
        <v/>
      </c>
      <c r="AF300" s="1657" t="str">
        <f t="shared" si="77"/>
        <v/>
      </c>
      <c r="AG300" s="1655" t="str">
        <f t="shared" si="78"/>
        <v/>
      </c>
      <c r="AH300" s="1674" t="str">
        <f t="shared" si="79"/>
        <v/>
      </c>
      <c r="AI300" s="662" t="str">
        <f t="shared" si="80"/>
        <v/>
      </c>
    </row>
    <row r="301" spans="1:37" x14ac:dyDescent="0.25">
      <c r="A301" s="1655" t="s">
        <v>1164</v>
      </c>
      <c r="B301" s="1655" t="s">
        <v>566</v>
      </c>
      <c r="C301" s="661" t="str">
        <f>IF(INC_LIHTCMedianIncome7="","",INC_LIHTCMedianIncome7)</f>
        <v/>
      </c>
      <c r="D301" s="1655" t="str">
        <f>IF(INC_LIHTCBedrooms7="","",INC_LIHTCBedrooms7)</f>
        <v/>
      </c>
      <c r="E301" s="1655" t="str">
        <f>IF(INC_LIHTCBaths7="","",INC_LIHTCBaths7)</f>
        <v/>
      </c>
      <c r="F301" s="1655" t="str">
        <f>IF(INC_LIHTCNumberofUnits7="","",INC_LIHTCNumberofUnits7)</f>
        <v/>
      </c>
      <c r="G301" s="1674" t="str">
        <f>IF(INC_LIHTCUnitSize7="","",INC_LIHTCUnitSize7)</f>
        <v/>
      </c>
      <c r="H301" s="662" t="str">
        <f>IF(INC_LIHTCTenantUtilities7="","",INC_LIHTCTenantUtilities7)</f>
        <v/>
      </c>
      <c r="I301" s="662" t="str">
        <f>IF(INC_LIHTCResidentPaidRent7="","",INC_LIHTCResidentPaidRent7)</f>
        <v/>
      </c>
      <c r="J301" s="662" t="str">
        <f>IF(INC_LIHTCRentSubsidy7="","",INC_LIHTCRentSubsidy7)</f>
        <v/>
      </c>
      <c r="K301" s="1655" t="str">
        <f>IF(INC_LIHTCRentSubsidySource7="","",INC_LIHTCRentSubsidySource7)</f>
        <v/>
      </c>
      <c r="L301" s="662" t="str">
        <f>IF(INC_LIHTCIncomePerUnit7=0,"",INC_LIHTCIncomePerUnit7)</f>
        <v/>
      </c>
      <c r="M301" s="1659" t="str">
        <f>IF(INCOME!O17="","",INCOME!O17)</f>
        <v/>
      </c>
      <c r="N301" s="1659" t="str">
        <f>IF(INCOME!Q17="","",INCOME!Q17)</f>
        <v/>
      </c>
      <c r="P301" s="1655" t="s">
        <v>1480</v>
      </c>
      <c r="Q301" s="663" t="str">
        <f t="shared" si="65"/>
        <v/>
      </c>
      <c r="R301" s="1657" t="str">
        <f t="shared" si="81"/>
        <v/>
      </c>
      <c r="S301" s="1657" t="str">
        <f t="shared" si="66"/>
        <v/>
      </c>
      <c r="T301" s="1655" t="str">
        <f t="shared" si="67"/>
        <v/>
      </c>
      <c r="U301" s="1674" t="str">
        <f t="shared" si="68"/>
        <v/>
      </c>
      <c r="V301" s="662" t="str">
        <f t="shared" si="69"/>
        <v/>
      </c>
      <c r="W301" s="662" t="str">
        <f t="shared" si="70"/>
        <v/>
      </c>
      <c r="X301" s="662" t="str">
        <f t="shared" si="71"/>
        <v/>
      </c>
      <c r="Y301" s="1655" t="str">
        <f t="shared" si="72"/>
        <v/>
      </c>
      <c r="Z301" s="662" t="str">
        <f t="shared" si="73"/>
        <v/>
      </c>
      <c r="AA301" s="1657" t="str">
        <f t="shared" si="74"/>
        <v/>
      </c>
      <c r="AB301" s="1657" t="str">
        <f t="shared" si="75"/>
        <v/>
      </c>
      <c r="AD301" s="1655" t="s">
        <v>1481</v>
      </c>
      <c r="AE301" s="663" t="str">
        <f t="shared" si="76"/>
        <v/>
      </c>
      <c r="AF301" s="1657" t="str">
        <f t="shared" si="77"/>
        <v/>
      </c>
      <c r="AG301" s="1655" t="str">
        <f t="shared" si="78"/>
        <v/>
      </c>
      <c r="AH301" s="1674" t="str">
        <f t="shared" si="79"/>
        <v/>
      </c>
      <c r="AI301" s="662" t="str">
        <f t="shared" si="80"/>
        <v/>
      </c>
    </row>
    <row r="302" spans="1:37" x14ac:dyDescent="0.25">
      <c r="A302" s="1655" t="s">
        <v>1164</v>
      </c>
      <c r="B302" s="1655" t="s">
        <v>566</v>
      </c>
      <c r="C302" s="661" t="str">
        <f>IF(INC_LIHTCMedianIncome8="","",INC_LIHTCMedianIncome8)</f>
        <v/>
      </c>
      <c r="D302" s="1655" t="str">
        <f>IF(INC_LIHTCBedrooms8="","",INC_LIHTCBedrooms8)</f>
        <v/>
      </c>
      <c r="E302" s="1655" t="str">
        <f>IF(INC_LIHTCBaths8="","",INC_LIHTCBaths8)</f>
        <v/>
      </c>
      <c r="F302" s="1655" t="str">
        <f>IF(INC_LIHTCNumberofUnits8="","",INC_LIHTCNumberofUnits8)</f>
        <v/>
      </c>
      <c r="G302" s="1674" t="str">
        <f>IF(INC_LIHTCUnitSize8="","",INC_LIHTCUnitSize8)</f>
        <v/>
      </c>
      <c r="H302" s="662" t="str">
        <f>IF(INC_LIHTCTenantUtilities8="","",INC_LIHTCTenantUtilities8)</f>
        <v/>
      </c>
      <c r="I302" s="662" t="str">
        <f>IF(INC_LIHTCResidentPaidRent8="","",INC_LIHTCResidentPaidRent8)</f>
        <v/>
      </c>
      <c r="J302" s="662" t="str">
        <f>IF(INC_LIHTCRentSubsidy8="","",INC_LIHTCRentSubsidy8)</f>
        <v/>
      </c>
      <c r="K302" s="1655" t="str">
        <f>IF(INC_LIHTCRentSubsidySource8="","",INC_LIHTCRentSubsidySource8)</f>
        <v/>
      </c>
      <c r="L302" s="662" t="str">
        <f>IF(INC_LIHTCIncomePerUnit8=0,"",INC_LIHTCIncomePerUnit8)</f>
        <v/>
      </c>
      <c r="M302" s="1659" t="str">
        <f>IF(INCOME!O18="","",INCOME!O18)</f>
        <v/>
      </c>
      <c r="N302" s="1659" t="str">
        <f>IF(INCOME!Q18="","",INCOME!Q18)</f>
        <v/>
      </c>
      <c r="P302" s="1655" t="s">
        <v>1480</v>
      </c>
      <c r="Q302" s="663" t="str">
        <f t="shared" si="65"/>
        <v/>
      </c>
      <c r="R302" s="1657" t="str">
        <f t="shared" si="81"/>
        <v/>
      </c>
      <c r="S302" s="1657" t="str">
        <f t="shared" si="66"/>
        <v/>
      </c>
      <c r="T302" s="1655" t="str">
        <f t="shared" si="67"/>
        <v/>
      </c>
      <c r="U302" s="1674" t="str">
        <f t="shared" si="68"/>
        <v/>
      </c>
      <c r="V302" s="662" t="str">
        <f t="shared" si="69"/>
        <v/>
      </c>
      <c r="W302" s="662" t="str">
        <f t="shared" si="70"/>
        <v/>
      </c>
      <c r="X302" s="662" t="str">
        <f t="shared" si="71"/>
        <v/>
      </c>
      <c r="Y302" s="1655" t="str">
        <f t="shared" si="72"/>
        <v/>
      </c>
      <c r="Z302" s="662" t="str">
        <f t="shared" si="73"/>
        <v/>
      </c>
      <c r="AA302" s="1657" t="str">
        <f t="shared" si="74"/>
        <v/>
      </c>
      <c r="AB302" s="1657" t="str">
        <f t="shared" si="75"/>
        <v/>
      </c>
      <c r="AD302" s="1655" t="s">
        <v>1481</v>
      </c>
      <c r="AE302" s="663" t="str">
        <f t="shared" si="76"/>
        <v/>
      </c>
      <c r="AF302" s="1657" t="str">
        <f t="shared" si="77"/>
        <v/>
      </c>
      <c r="AG302" s="1655" t="str">
        <f t="shared" si="78"/>
        <v/>
      </c>
      <c r="AH302" s="1674" t="str">
        <f t="shared" si="79"/>
        <v/>
      </c>
      <c r="AI302" s="662" t="str">
        <f t="shared" si="80"/>
        <v/>
      </c>
    </row>
    <row r="303" spans="1:37" x14ac:dyDescent="0.25">
      <c r="A303" s="1655" t="s">
        <v>1164</v>
      </c>
      <c r="B303" s="1655" t="s">
        <v>566</v>
      </c>
      <c r="C303" s="661" t="str">
        <f>IF(INC_LIHTCMedianIncome9="","",INC_LIHTCMedianIncome9)</f>
        <v/>
      </c>
      <c r="D303" s="1655" t="str">
        <f>IF(INC_LIHTCBedrooms9="","",INC_LIHTCBedrooms9)</f>
        <v/>
      </c>
      <c r="E303" s="1655" t="str">
        <f>IF(INC_LIHTCBaths9="","",INC_LIHTCBaths9)</f>
        <v/>
      </c>
      <c r="F303" s="1655" t="str">
        <f>IF(INC_LIHTCNumberofUnits9="","",INC_LIHTCNumberofUnits9)</f>
        <v/>
      </c>
      <c r="G303" s="1674" t="str">
        <f>IF(INC_LIHTCUnitSize9="","",INC_LIHTCUnitSize9)</f>
        <v/>
      </c>
      <c r="H303" s="662" t="str">
        <f>IF(INC_LIHTCTenantUtilities9="","",INC_LIHTCTenantUtilities9)</f>
        <v/>
      </c>
      <c r="I303" s="662" t="str">
        <f>IF(INC_LIHTCResidentPaidRent9="","",INC_LIHTCResidentPaidRent9)</f>
        <v/>
      </c>
      <c r="J303" s="662" t="str">
        <f>IF(INC_LIHTCRentSubsidy9="","",INC_LIHTCRentSubsidy9)</f>
        <v/>
      </c>
      <c r="K303" s="1655" t="str">
        <f>IF(INC_LIHTCRentSubsidySource9="","",INC_LIHTCRentSubsidySource9)</f>
        <v/>
      </c>
      <c r="L303" s="662" t="str">
        <f>IF(INC_LIHTCIncomePerUnit9=0,"",INC_LIHTCIncomePerUnit9)</f>
        <v/>
      </c>
      <c r="M303" s="1659" t="str">
        <f>IF(INCOME!O19="","",INCOME!O19)</f>
        <v/>
      </c>
      <c r="N303" s="1659" t="str">
        <f>IF(INCOME!Q19="","",INCOME!Q19)</f>
        <v/>
      </c>
      <c r="P303" s="1655" t="s">
        <v>1480</v>
      </c>
      <c r="Q303" s="663" t="str">
        <f t="shared" si="65"/>
        <v/>
      </c>
      <c r="R303" s="1657" t="str">
        <f t="shared" si="81"/>
        <v/>
      </c>
      <c r="S303" s="1657" t="str">
        <f t="shared" si="66"/>
        <v/>
      </c>
      <c r="T303" s="1655" t="str">
        <f t="shared" si="67"/>
        <v/>
      </c>
      <c r="U303" s="1674" t="str">
        <f t="shared" si="68"/>
        <v/>
      </c>
      <c r="V303" s="662" t="str">
        <f t="shared" si="69"/>
        <v/>
      </c>
      <c r="W303" s="662" t="str">
        <f t="shared" si="70"/>
        <v/>
      </c>
      <c r="X303" s="662" t="str">
        <f t="shared" si="71"/>
        <v/>
      </c>
      <c r="Y303" s="1655" t="str">
        <f t="shared" si="72"/>
        <v/>
      </c>
      <c r="Z303" s="662" t="str">
        <f t="shared" si="73"/>
        <v/>
      </c>
      <c r="AA303" s="1657" t="str">
        <f t="shared" si="74"/>
        <v/>
      </c>
      <c r="AB303" s="1657" t="str">
        <f t="shared" si="75"/>
        <v/>
      </c>
      <c r="AD303" s="1655" t="s">
        <v>1481</v>
      </c>
      <c r="AE303" s="663" t="str">
        <f t="shared" si="76"/>
        <v/>
      </c>
      <c r="AF303" s="1657" t="str">
        <f t="shared" si="77"/>
        <v/>
      </c>
      <c r="AG303" s="1655" t="str">
        <f t="shared" si="78"/>
        <v/>
      </c>
      <c r="AH303" s="1674" t="str">
        <f t="shared" si="79"/>
        <v/>
      </c>
      <c r="AI303" s="662" t="str">
        <f t="shared" si="80"/>
        <v/>
      </c>
    </row>
    <row r="304" spans="1:37" x14ac:dyDescent="0.25">
      <c r="A304" s="1655" t="s">
        <v>1164</v>
      </c>
      <c r="B304" s="1655" t="s">
        <v>566</v>
      </c>
      <c r="C304" s="661" t="str">
        <f>IF(INC_LIHTCMedianIncome10="","",INC_LIHTCMedianIncome10)</f>
        <v/>
      </c>
      <c r="D304" s="1655" t="str">
        <f>IF(INC_LIHTCBedrooms10="","",INC_LIHTCBedrooms10)</f>
        <v/>
      </c>
      <c r="E304" s="1655" t="str">
        <f>IF(INC_LIHTCBaths10="","",INC_LIHTCBaths10)</f>
        <v/>
      </c>
      <c r="F304" s="1655" t="str">
        <f>IF(INC_LIHTCNumberofUnits10="","",INC_LIHTCNumberofUnits10)</f>
        <v/>
      </c>
      <c r="G304" s="1674" t="str">
        <f>IF(INC_LIHTCUnitSize10="","",INC_LIHTCUnitSize10)</f>
        <v/>
      </c>
      <c r="H304" s="662" t="str">
        <f>IF(INC_LIHTCTenantUtilities10="","",INC_LIHTCTenantUtilities10)</f>
        <v/>
      </c>
      <c r="I304" s="662" t="str">
        <f>IF(INC_LIHTCResidentPaidRent10="","",INC_LIHTCResidentPaidRent10)</f>
        <v/>
      </c>
      <c r="J304" s="662" t="str">
        <f>IF(INC_LIHTCRentSubsidy10="","",INC_LIHTCRentSubsidy10)</f>
        <v/>
      </c>
      <c r="K304" s="1655" t="str">
        <f>IF(INC_LIHTCRentSubsidySource10="","",INC_LIHTCRentSubsidySource10)</f>
        <v/>
      </c>
      <c r="L304" s="662" t="str">
        <f>IF(INC_LIHTCIncomePerUnit10=0,"",INC_LIHTCIncomePerUnit10)</f>
        <v/>
      </c>
      <c r="M304" s="1659" t="str">
        <f>IF(INCOME!O20="","",INCOME!O20)</f>
        <v/>
      </c>
      <c r="N304" s="1659" t="str">
        <f>IF(INCOME!Q20="","",INCOME!Q20)</f>
        <v/>
      </c>
      <c r="P304" s="1655" t="s">
        <v>1480</v>
      </c>
      <c r="Q304" s="663" t="str">
        <f t="shared" si="65"/>
        <v/>
      </c>
      <c r="R304" s="1657" t="str">
        <f t="shared" si="81"/>
        <v/>
      </c>
      <c r="S304" s="1657" t="str">
        <f t="shared" si="66"/>
        <v/>
      </c>
      <c r="T304" s="1655" t="str">
        <f t="shared" si="67"/>
        <v/>
      </c>
      <c r="U304" s="1674" t="str">
        <f t="shared" si="68"/>
        <v/>
      </c>
      <c r="V304" s="662" t="str">
        <f t="shared" si="69"/>
        <v/>
      </c>
      <c r="W304" s="662" t="str">
        <f t="shared" si="70"/>
        <v/>
      </c>
      <c r="X304" s="662" t="str">
        <f t="shared" si="71"/>
        <v/>
      </c>
      <c r="Y304" s="1655" t="str">
        <f t="shared" si="72"/>
        <v/>
      </c>
      <c r="Z304" s="662" t="str">
        <f t="shared" si="73"/>
        <v/>
      </c>
      <c r="AA304" s="1657" t="str">
        <f t="shared" si="74"/>
        <v/>
      </c>
      <c r="AB304" s="1657" t="str">
        <f t="shared" si="75"/>
        <v/>
      </c>
      <c r="AD304" s="1655" t="s">
        <v>1481</v>
      </c>
      <c r="AE304" s="663" t="str">
        <f t="shared" si="76"/>
        <v/>
      </c>
      <c r="AF304" s="1657" t="str">
        <f t="shared" si="77"/>
        <v/>
      </c>
      <c r="AG304" s="1655" t="str">
        <f t="shared" si="78"/>
        <v/>
      </c>
      <c r="AH304" s="1674" t="str">
        <f t="shared" si="79"/>
        <v/>
      </c>
      <c r="AI304" s="662" t="str">
        <f t="shared" si="80"/>
        <v/>
      </c>
    </row>
    <row r="305" spans="1:35" x14ac:dyDescent="0.25">
      <c r="A305" s="1655" t="s">
        <v>1164</v>
      </c>
      <c r="B305" s="1655" t="s">
        <v>566</v>
      </c>
      <c r="C305" s="661" t="str">
        <f>IF(INC_LIHTCMedianIncome11="","",INC_LIHTCMedianIncome11)</f>
        <v/>
      </c>
      <c r="D305" s="1655" t="str">
        <f>IF(INC_LIHTCBedrooms11="","",INC_LIHTCBedrooms11)</f>
        <v/>
      </c>
      <c r="E305" s="1655" t="str">
        <f>IF(INC_LIHTCBaths11="","",INC_LIHTCBaths11)</f>
        <v/>
      </c>
      <c r="F305" s="1655" t="str">
        <f>IF(INC_LIHTCNumberofUnits11="","",INC_LIHTCNumberofUnits11)</f>
        <v/>
      </c>
      <c r="G305" s="1674" t="str">
        <f>IF(INC_LIHTCUnitSize11="","",INC_LIHTCUnitSize11)</f>
        <v/>
      </c>
      <c r="H305" s="662" t="str">
        <f>IF(INC_LIHTCTenantUtilities11="","",INC_LIHTCTenantUtilities11)</f>
        <v/>
      </c>
      <c r="I305" s="662" t="str">
        <f>IF(INC_LIHTCResidentPaidRent11="","",INC_LIHTCResidentPaidRent11)</f>
        <v/>
      </c>
      <c r="J305" s="662" t="str">
        <f>IF(INC_LIHTCRentSubsidy11="","",INC_LIHTCRentSubsidy11)</f>
        <v/>
      </c>
      <c r="K305" s="1655" t="str">
        <f>IF(INC_LIHTCRentSubsidySource11="","",INC_LIHTCRentSubsidySource11)</f>
        <v/>
      </c>
      <c r="L305" s="662" t="str">
        <f>IF(INC_LIHTCIncomePerUnit11=0,"",INC_LIHTCIncomePerUnit11)</f>
        <v/>
      </c>
      <c r="M305" s="1659" t="str">
        <f>IF(INCOME!O21="","",INCOME!O21)</f>
        <v/>
      </c>
      <c r="N305" s="1659" t="str">
        <f>IF(INCOME!Q21="","",INCOME!Q21)</f>
        <v/>
      </c>
      <c r="P305" s="1655" t="s">
        <v>1480</v>
      </c>
      <c r="Q305" s="663" t="str">
        <f t="shared" si="65"/>
        <v/>
      </c>
      <c r="R305" s="1657" t="str">
        <f t="shared" si="81"/>
        <v/>
      </c>
      <c r="S305" s="1657" t="str">
        <f t="shared" si="66"/>
        <v/>
      </c>
      <c r="T305" s="1655" t="str">
        <f t="shared" si="67"/>
        <v/>
      </c>
      <c r="U305" s="1674" t="str">
        <f t="shared" si="68"/>
        <v/>
      </c>
      <c r="V305" s="662" t="str">
        <f t="shared" si="69"/>
        <v/>
      </c>
      <c r="W305" s="662" t="str">
        <f t="shared" si="70"/>
        <v/>
      </c>
      <c r="X305" s="662" t="str">
        <f t="shared" si="71"/>
        <v/>
      </c>
      <c r="Y305" s="1655" t="str">
        <f t="shared" si="72"/>
        <v/>
      </c>
      <c r="Z305" s="662" t="str">
        <f t="shared" si="73"/>
        <v/>
      </c>
      <c r="AA305" s="1657" t="str">
        <f t="shared" si="74"/>
        <v/>
      </c>
      <c r="AB305" s="1657" t="str">
        <f t="shared" si="75"/>
        <v/>
      </c>
      <c r="AD305" s="1655" t="s">
        <v>1481</v>
      </c>
      <c r="AE305" s="663" t="str">
        <f t="shared" si="76"/>
        <v/>
      </c>
      <c r="AF305" s="1657" t="str">
        <f t="shared" si="77"/>
        <v/>
      </c>
      <c r="AG305" s="1655" t="str">
        <f t="shared" si="78"/>
        <v/>
      </c>
      <c r="AH305" s="1674" t="str">
        <f t="shared" si="79"/>
        <v/>
      </c>
      <c r="AI305" s="662" t="str">
        <f t="shared" si="80"/>
        <v/>
      </c>
    </row>
    <row r="306" spans="1:35" x14ac:dyDescent="0.25">
      <c r="A306" s="1655" t="s">
        <v>1164</v>
      </c>
      <c r="B306" s="1655" t="s">
        <v>566</v>
      </c>
      <c r="C306" s="661" t="str">
        <f>IF(INC_LIHTCMedianIncome12="","",INC_LIHTCMedianIncome12)</f>
        <v/>
      </c>
      <c r="D306" s="1655" t="str">
        <f>IF(INC_LIHTCBedrooms12="","",INC_LIHTCBedrooms12)</f>
        <v/>
      </c>
      <c r="E306" s="1655" t="str">
        <f>IF(INC_LIHTCBaths12="","",INC_LIHTCBaths12)</f>
        <v/>
      </c>
      <c r="F306" s="1655" t="str">
        <f>IF(INC_LIHTCNumberofUnits12="","",INC_LIHTCNumberofUnits12)</f>
        <v/>
      </c>
      <c r="G306" s="1674" t="str">
        <f>IF(INC_LIHTCUnitSize12="","",INC_LIHTCUnitSize12)</f>
        <v/>
      </c>
      <c r="H306" s="662" t="str">
        <f>IF(INC_LIHTCTenantUtilities12="","",INC_LIHTCTenantUtilities12)</f>
        <v/>
      </c>
      <c r="I306" s="662" t="str">
        <f>IF(INC_LIHTCResidentPaidRent12="","",INC_LIHTCResidentPaidRent12)</f>
        <v/>
      </c>
      <c r="J306" s="662" t="str">
        <f>IF(INC_LIHTCRentSubsidy12="","",INC_LIHTCRentSubsidy12)</f>
        <v/>
      </c>
      <c r="K306" s="1655" t="str">
        <f>IF(INC_LIHTCRentSubsidySource12="","",INC_LIHTCRentSubsidySource12)</f>
        <v/>
      </c>
      <c r="L306" s="662" t="str">
        <f>IF(INC_LIHTCIncomePerUnit12=0,"",INC_LIHTCIncomePerUnit12)</f>
        <v/>
      </c>
      <c r="M306" s="1659" t="str">
        <f>IF(INCOME!O22="","",INCOME!O22)</f>
        <v/>
      </c>
      <c r="N306" s="1659" t="str">
        <f>IF(INCOME!Q22="","",INCOME!Q22)</f>
        <v/>
      </c>
      <c r="P306" s="1655" t="s">
        <v>1480</v>
      </c>
      <c r="Q306" s="663" t="str">
        <f t="shared" si="65"/>
        <v/>
      </c>
      <c r="R306" s="1657" t="str">
        <f t="shared" si="81"/>
        <v/>
      </c>
      <c r="S306" s="1657" t="str">
        <f t="shared" si="66"/>
        <v/>
      </c>
      <c r="T306" s="1655" t="str">
        <f t="shared" si="67"/>
        <v/>
      </c>
      <c r="U306" s="1674" t="str">
        <f t="shared" si="68"/>
        <v/>
      </c>
      <c r="V306" s="662" t="str">
        <f t="shared" si="69"/>
        <v/>
      </c>
      <c r="W306" s="662" t="str">
        <f t="shared" si="70"/>
        <v/>
      </c>
      <c r="X306" s="662" t="str">
        <f t="shared" si="71"/>
        <v/>
      </c>
      <c r="Y306" s="1655" t="str">
        <f t="shared" si="72"/>
        <v/>
      </c>
      <c r="Z306" s="662" t="str">
        <f t="shared" si="73"/>
        <v/>
      </c>
      <c r="AA306" s="1657" t="str">
        <f t="shared" si="74"/>
        <v/>
      </c>
      <c r="AB306" s="1657" t="str">
        <f t="shared" si="75"/>
        <v/>
      </c>
      <c r="AD306" s="1655" t="s">
        <v>1481</v>
      </c>
      <c r="AE306" s="663" t="str">
        <f t="shared" si="76"/>
        <v/>
      </c>
      <c r="AF306" s="1657" t="str">
        <f t="shared" si="77"/>
        <v/>
      </c>
      <c r="AG306" s="1655" t="str">
        <f t="shared" si="78"/>
        <v/>
      </c>
      <c r="AH306" s="1674" t="str">
        <f t="shared" si="79"/>
        <v/>
      </c>
      <c r="AI306" s="662" t="str">
        <f t="shared" si="80"/>
        <v/>
      </c>
    </row>
    <row r="307" spans="1:35" x14ac:dyDescent="0.25">
      <c r="A307" s="1655" t="s">
        <v>1164</v>
      </c>
      <c r="B307" s="1655" t="s">
        <v>566</v>
      </c>
      <c r="C307" s="661" t="str">
        <f>IF(INC_LIHTCMedianIncome13="","",INC_LIHTCMedianIncome13)</f>
        <v/>
      </c>
      <c r="D307" s="1655" t="str">
        <f>IF(INC_LIHTCBedrooms13="","",INC_LIHTCBedrooms13)</f>
        <v/>
      </c>
      <c r="E307" s="1655" t="str">
        <f>IF(INC_LIHTCBaths13="","",INC_LIHTCBaths13)</f>
        <v/>
      </c>
      <c r="F307" s="1655" t="str">
        <f>IF(INC_LIHTCNumberofUnits13="","",INC_LIHTCNumberofUnits13)</f>
        <v/>
      </c>
      <c r="G307" s="1674" t="str">
        <f>IF(INC_LIHTCUnitSize13="","",INC_LIHTCUnitSize13)</f>
        <v/>
      </c>
      <c r="H307" s="662" t="str">
        <f>IF(INC_LIHTCTenantUtilities13="","",INC_LIHTCTenantUtilities13)</f>
        <v/>
      </c>
      <c r="I307" s="662" t="str">
        <f>IF(INC_LIHTCResidentPaidRent13="","",INC_LIHTCResidentPaidRent13)</f>
        <v/>
      </c>
      <c r="J307" s="662" t="str">
        <f>IF(INC_LIHTCRentSubsidy13="","",INC_LIHTCRentSubsidy13)</f>
        <v/>
      </c>
      <c r="K307" s="1655" t="str">
        <f>IF(INC_LIHTCRentSubsidySource13="","",INC_LIHTCRentSubsidySource13)</f>
        <v/>
      </c>
      <c r="L307" s="662" t="str">
        <f>IF(INC_LIHTCIncomePerUnit13=0,"",INC_LIHTCIncomePerUnit13)</f>
        <v/>
      </c>
      <c r="M307" s="1659" t="str">
        <f>IF(INCOME!O23="","",INCOME!O23)</f>
        <v/>
      </c>
      <c r="N307" s="1659" t="str">
        <f>IF(INCOME!Q23="","",INCOME!Q23)</f>
        <v/>
      </c>
      <c r="P307" s="1655" t="s">
        <v>1480</v>
      </c>
      <c r="Q307" s="663" t="str">
        <f t="shared" si="65"/>
        <v/>
      </c>
      <c r="R307" s="1657" t="str">
        <f t="shared" si="81"/>
        <v/>
      </c>
      <c r="S307" s="1657" t="str">
        <f t="shared" si="66"/>
        <v/>
      </c>
      <c r="T307" s="1655" t="str">
        <f t="shared" si="67"/>
        <v/>
      </c>
      <c r="U307" s="1674" t="str">
        <f t="shared" si="68"/>
        <v/>
      </c>
      <c r="V307" s="662" t="str">
        <f t="shared" si="69"/>
        <v/>
      </c>
      <c r="W307" s="662" t="str">
        <f t="shared" si="70"/>
        <v/>
      </c>
      <c r="X307" s="662" t="str">
        <f t="shared" si="71"/>
        <v/>
      </c>
      <c r="Y307" s="1655" t="str">
        <f t="shared" si="72"/>
        <v/>
      </c>
      <c r="Z307" s="662" t="str">
        <f t="shared" si="73"/>
        <v/>
      </c>
      <c r="AA307" s="1657" t="str">
        <f t="shared" si="74"/>
        <v/>
      </c>
      <c r="AB307" s="1657" t="str">
        <f t="shared" si="75"/>
        <v/>
      </c>
      <c r="AD307" s="1655" t="s">
        <v>1481</v>
      </c>
      <c r="AE307" s="663" t="str">
        <f t="shared" si="76"/>
        <v/>
      </c>
      <c r="AF307" s="1657" t="str">
        <f t="shared" si="77"/>
        <v/>
      </c>
      <c r="AG307" s="1655" t="str">
        <f t="shared" si="78"/>
        <v/>
      </c>
      <c r="AH307" s="1674" t="str">
        <f t="shared" si="79"/>
        <v/>
      </c>
      <c r="AI307" s="662" t="str">
        <f t="shared" si="80"/>
        <v/>
      </c>
    </row>
    <row r="308" spans="1:35" x14ac:dyDescent="0.25">
      <c r="A308" s="1655" t="s">
        <v>1164</v>
      </c>
      <c r="B308" s="1655" t="s">
        <v>566</v>
      </c>
      <c r="C308" s="661" t="str">
        <f>IF(INC_LIHTCMedianIncome14="","",INC_LIHTCMedianIncome14)</f>
        <v/>
      </c>
      <c r="D308" s="1655" t="str">
        <f>IF(INC_LIHTCBedrooms14="","",INC_LIHTCBedrooms14)</f>
        <v/>
      </c>
      <c r="E308" s="1655" t="str">
        <f>IF(INC_LIHTCBaths14="","",INC_LIHTCBaths14)</f>
        <v/>
      </c>
      <c r="F308" s="1655" t="str">
        <f>IF(INC_LIHTCNumberofUnits14="","",INC_LIHTCNumberofUnits14)</f>
        <v/>
      </c>
      <c r="G308" s="1674" t="str">
        <f>IF(INC_LIHTCUnitSize14="","",INC_LIHTCUnitSize14)</f>
        <v/>
      </c>
      <c r="H308" s="662" t="str">
        <f>IF(INC_LIHTCTenantUtilities14="","",INC_LIHTCTenantUtilities14)</f>
        <v/>
      </c>
      <c r="I308" s="662" t="str">
        <f>IF(INC_LIHTCResidentPaidRent14="","",INC_LIHTCResidentPaidRent14)</f>
        <v/>
      </c>
      <c r="J308" s="662" t="str">
        <f>IF(INC_LIHTCRentSubsidy14="","",INC_LIHTCRentSubsidy14)</f>
        <v/>
      </c>
      <c r="K308" s="1655" t="str">
        <f>IF(INC_LIHTCRentSubsidySource14="","",INC_LIHTCRentSubsidySource14)</f>
        <v/>
      </c>
      <c r="L308" s="662" t="str">
        <f>IF(INC_LIHTCIncomePerUnit14=0,"",INC_LIHTCIncomePerUnit14)</f>
        <v/>
      </c>
      <c r="M308" s="1659" t="str">
        <f>IF(INCOME!O24="","",INCOME!O24)</f>
        <v/>
      </c>
      <c r="N308" s="1659" t="str">
        <f>IF(INCOME!Q24="","",INCOME!Q24)</f>
        <v/>
      </c>
      <c r="P308" s="1655" t="s">
        <v>1480</v>
      </c>
      <c r="Q308" s="663" t="str">
        <f t="shared" si="65"/>
        <v/>
      </c>
      <c r="R308" s="1657" t="str">
        <f t="shared" si="81"/>
        <v/>
      </c>
      <c r="S308" s="1657" t="str">
        <f t="shared" si="66"/>
        <v/>
      </c>
      <c r="T308" s="1655" t="str">
        <f t="shared" si="67"/>
        <v/>
      </c>
      <c r="U308" s="1674" t="str">
        <f t="shared" si="68"/>
        <v/>
      </c>
      <c r="V308" s="662" t="str">
        <f t="shared" si="69"/>
        <v/>
      </c>
      <c r="W308" s="662" t="str">
        <f t="shared" si="70"/>
        <v/>
      </c>
      <c r="X308" s="662" t="str">
        <f t="shared" si="71"/>
        <v/>
      </c>
      <c r="Y308" s="1655" t="str">
        <f t="shared" si="72"/>
        <v/>
      </c>
      <c r="Z308" s="662" t="str">
        <f t="shared" si="73"/>
        <v/>
      </c>
      <c r="AA308" s="1657" t="str">
        <f t="shared" si="74"/>
        <v/>
      </c>
      <c r="AB308" s="1657" t="str">
        <f t="shared" si="75"/>
        <v/>
      </c>
      <c r="AD308" s="1655" t="s">
        <v>1481</v>
      </c>
      <c r="AE308" s="663" t="str">
        <f t="shared" si="76"/>
        <v/>
      </c>
      <c r="AF308" s="1657" t="str">
        <f t="shared" si="77"/>
        <v/>
      </c>
      <c r="AG308" s="1655" t="str">
        <f t="shared" si="78"/>
        <v/>
      </c>
      <c r="AH308" s="1674" t="str">
        <f t="shared" si="79"/>
        <v/>
      </c>
      <c r="AI308" s="662" t="str">
        <f t="shared" si="80"/>
        <v/>
      </c>
    </row>
    <row r="309" spans="1:35" x14ac:dyDescent="0.25">
      <c r="A309" s="1655" t="s">
        <v>1164</v>
      </c>
      <c r="B309" s="1655" t="s">
        <v>566</v>
      </c>
      <c r="C309" s="661" t="str">
        <f>IF(INC_LIHTCMedianIncome15="","",INC_LIHTCMedianIncome15)</f>
        <v/>
      </c>
      <c r="D309" s="1655" t="str">
        <f>IF(INC_LIHTCBedrooms15="","",INC_LIHTCBedrooms15)</f>
        <v/>
      </c>
      <c r="E309" s="1655" t="str">
        <f>IF(INC_LIHTCBaths15="","",INC_LIHTCBaths15)</f>
        <v/>
      </c>
      <c r="F309" s="1655" t="str">
        <f>IF(INC_LIHTCNumberofUnits15="","",INC_LIHTCNumberofUnits15)</f>
        <v/>
      </c>
      <c r="G309" s="1674" t="str">
        <f>IF(INC_LIHTCUnitSize15="","",INC_LIHTCUnitSize15)</f>
        <v/>
      </c>
      <c r="H309" s="662" t="str">
        <f>IF(INC_LIHTCTenantUtilities15="","",INC_LIHTCTenantUtilities15)</f>
        <v/>
      </c>
      <c r="I309" s="662" t="str">
        <f>IF(INC_LIHTCResidentPaidRent15="","",INC_LIHTCResidentPaidRent15)</f>
        <v/>
      </c>
      <c r="J309" s="662" t="str">
        <f>IF(INC_LIHTCRentSubsidy15="","",INC_LIHTCRentSubsidy15)</f>
        <v/>
      </c>
      <c r="K309" s="1655" t="str">
        <f>IF(INC_LIHTCRentSubsidySource15="","",INC_LIHTCRentSubsidySource15)</f>
        <v/>
      </c>
      <c r="L309" s="662" t="str">
        <f>IF(INC_LIHTCIncomePerUnit15=0,"",INC_LIHTCIncomePerUnit15)</f>
        <v/>
      </c>
      <c r="M309" s="1659" t="str">
        <f>IF(INCOME!O25="","",INCOME!O25)</f>
        <v/>
      </c>
      <c r="N309" s="1659" t="str">
        <f>IF(INCOME!Q25="","",INCOME!Q25)</f>
        <v/>
      </c>
      <c r="P309" s="1655" t="s">
        <v>1480</v>
      </c>
      <c r="Q309" s="663" t="str">
        <f t="shared" si="65"/>
        <v/>
      </c>
      <c r="R309" s="1657" t="str">
        <f t="shared" si="81"/>
        <v/>
      </c>
      <c r="S309" s="1657" t="str">
        <f t="shared" si="66"/>
        <v/>
      </c>
      <c r="T309" s="1655" t="str">
        <f t="shared" si="67"/>
        <v/>
      </c>
      <c r="U309" s="1674" t="str">
        <f t="shared" si="68"/>
        <v/>
      </c>
      <c r="V309" s="662" t="str">
        <f t="shared" si="69"/>
        <v/>
      </c>
      <c r="W309" s="662" t="str">
        <f t="shared" si="70"/>
        <v/>
      </c>
      <c r="X309" s="662" t="str">
        <f t="shared" si="71"/>
        <v/>
      </c>
      <c r="Y309" s="1655" t="str">
        <f t="shared" si="72"/>
        <v/>
      </c>
      <c r="Z309" s="662" t="str">
        <f t="shared" si="73"/>
        <v/>
      </c>
      <c r="AA309" s="1657" t="str">
        <f t="shared" si="74"/>
        <v/>
      </c>
      <c r="AB309" s="1657" t="str">
        <f t="shared" si="75"/>
        <v/>
      </c>
      <c r="AD309" s="1655" t="s">
        <v>1481</v>
      </c>
      <c r="AE309" s="663" t="str">
        <f t="shared" si="76"/>
        <v/>
      </c>
      <c r="AF309" s="1657" t="str">
        <f t="shared" si="77"/>
        <v/>
      </c>
      <c r="AG309" s="1655" t="str">
        <f t="shared" si="78"/>
        <v/>
      </c>
      <c r="AH309" s="1674" t="str">
        <f t="shared" si="79"/>
        <v/>
      </c>
      <c r="AI309" s="662" t="str">
        <f t="shared" si="80"/>
        <v/>
      </c>
    </row>
    <row r="310" spans="1:35" x14ac:dyDescent="0.25">
      <c r="A310" s="1655" t="s">
        <v>1164</v>
      </c>
      <c r="B310" s="1655" t="s">
        <v>566</v>
      </c>
      <c r="C310" s="661" t="str">
        <f>IF(INC_LIHTCMedianIncome16="","",INC_LIHTCMedianIncome16)</f>
        <v/>
      </c>
      <c r="D310" s="1655" t="str">
        <f>IF(INC_LIHTCBedrooms16="","",INC_LIHTCBedrooms16)</f>
        <v/>
      </c>
      <c r="E310" s="1655" t="str">
        <f>IF(INC_LIHTCBaths16="","",INC_LIHTCBaths16)</f>
        <v/>
      </c>
      <c r="F310" s="1655" t="str">
        <f>IF(INC_LIHTCNumberofUnits16="","",INC_LIHTCNumberofUnits16)</f>
        <v/>
      </c>
      <c r="G310" s="1674" t="str">
        <f>IF(INC_LIHTCUnitSize16="","",INC_LIHTCUnitSize16)</f>
        <v/>
      </c>
      <c r="H310" s="662" t="str">
        <f>IF(INC_LIHTCTenantUtilities16="","",INC_LIHTCTenantUtilities16)</f>
        <v/>
      </c>
      <c r="I310" s="662" t="str">
        <f>IF(INC_LIHTCResidentPaidRent16="","",INC_LIHTCResidentPaidRent16)</f>
        <v/>
      </c>
      <c r="J310" s="662" t="str">
        <f>IF(INC_LIHTCRentSubsidy16="","",INC_LIHTCRentSubsidy16)</f>
        <v/>
      </c>
      <c r="K310" s="1655" t="str">
        <f>IF(INC_LIHTCRentSubsidySource16="","",INC_LIHTCRentSubsidySource16)</f>
        <v/>
      </c>
      <c r="L310" s="662" t="str">
        <f>IF(INC_LIHTCIncomePerUnit16=0,"",INC_LIHTCIncomePerUnit16)</f>
        <v/>
      </c>
      <c r="M310" s="1659" t="str">
        <f>IF(INCOME!O26="","",INCOME!O26)</f>
        <v/>
      </c>
      <c r="N310" s="1659" t="str">
        <f>IF(INCOME!Q26="","",INCOME!Q26)</f>
        <v/>
      </c>
      <c r="P310" s="1655" t="s">
        <v>1480</v>
      </c>
      <c r="Q310" s="663" t="str">
        <f t="shared" si="65"/>
        <v/>
      </c>
      <c r="R310" s="1657" t="str">
        <f t="shared" si="81"/>
        <v/>
      </c>
      <c r="S310" s="1657" t="str">
        <f t="shared" si="66"/>
        <v/>
      </c>
      <c r="T310" s="1655" t="str">
        <f t="shared" si="67"/>
        <v/>
      </c>
      <c r="U310" s="1674" t="str">
        <f t="shared" si="68"/>
        <v/>
      </c>
      <c r="V310" s="662" t="str">
        <f t="shared" si="69"/>
        <v/>
      </c>
      <c r="W310" s="662" t="str">
        <f t="shared" si="70"/>
        <v/>
      </c>
      <c r="X310" s="662" t="str">
        <f t="shared" si="71"/>
        <v/>
      </c>
      <c r="Y310" s="1655" t="str">
        <f t="shared" si="72"/>
        <v/>
      </c>
      <c r="Z310" s="662" t="str">
        <f t="shared" si="73"/>
        <v/>
      </c>
      <c r="AA310" s="1657" t="str">
        <f t="shared" si="74"/>
        <v/>
      </c>
      <c r="AB310" s="1657" t="str">
        <f t="shared" si="75"/>
        <v/>
      </c>
      <c r="AD310" s="1655" t="s">
        <v>1481</v>
      </c>
      <c r="AE310" s="663" t="str">
        <f t="shared" si="76"/>
        <v/>
      </c>
      <c r="AF310" s="1657" t="str">
        <f t="shared" si="77"/>
        <v/>
      </c>
      <c r="AG310" s="1655" t="str">
        <f t="shared" si="78"/>
        <v/>
      </c>
      <c r="AH310" s="1674" t="str">
        <f t="shared" si="79"/>
        <v/>
      </c>
      <c r="AI310" s="662" t="str">
        <f t="shared" si="80"/>
        <v/>
      </c>
    </row>
    <row r="311" spans="1:35" x14ac:dyDescent="0.25">
      <c r="A311" s="1655" t="s">
        <v>1164</v>
      </c>
      <c r="B311" s="1655" t="s">
        <v>566</v>
      </c>
      <c r="C311" s="661" t="str">
        <f>IF(INC_LIHTCMedianIncome17="","",INC_LIHTCMedianIncome17)</f>
        <v/>
      </c>
      <c r="D311" s="1655" t="str">
        <f>IF(INC_LIHTCBedrooms17="","",INC_LIHTCBedrooms17)</f>
        <v/>
      </c>
      <c r="E311" s="1655" t="str">
        <f>IF(INC_LIHTCBaths17="","",INC_LIHTCBaths17)</f>
        <v/>
      </c>
      <c r="F311" s="1655" t="str">
        <f>IF(INC_LIHTCNumberofUnits17="","",INC_LIHTCNumberofUnits17)</f>
        <v/>
      </c>
      <c r="G311" s="1674" t="str">
        <f>IF(INC_LIHTCUnitSize17="","",INC_LIHTCUnitSize17)</f>
        <v/>
      </c>
      <c r="H311" s="662" t="str">
        <f>IF(INC_LIHTCTenantUtilities17="","",INC_LIHTCTenantUtilities17)</f>
        <v/>
      </c>
      <c r="I311" s="662" t="str">
        <f>IF(INC_LIHTCResidentPaidRent17="","",INC_LIHTCResidentPaidRent17)</f>
        <v/>
      </c>
      <c r="J311" s="662" t="str">
        <f>IF(INC_LIHTCRentSubsidy17="","",INC_LIHTCRentSubsidy17)</f>
        <v/>
      </c>
      <c r="K311" s="1655" t="str">
        <f>IF(INC_LIHTCRentSubsidySource17="","",INC_LIHTCRentSubsidySource17)</f>
        <v/>
      </c>
      <c r="L311" s="662" t="str">
        <f>IF(INC_LIHTCIncomePerUnit17=0,"",INC_LIHTCIncomePerUnit17)</f>
        <v/>
      </c>
      <c r="M311" s="1659" t="str">
        <f>IF(INCOME!O27="","",INCOME!O27)</f>
        <v/>
      </c>
      <c r="N311" s="1659" t="str">
        <f>IF(INCOME!Q27="","",INCOME!Q27)</f>
        <v/>
      </c>
      <c r="P311" s="1655" t="s">
        <v>1480</v>
      </c>
      <c r="Q311" s="663" t="str">
        <f t="shared" si="65"/>
        <v/>
      </c>
      <c r="R311" s="1657" t="str">
        <f t="shared" si="81"/>
        <v/>
      </c>
      <c r="S311" s="1657" t="str">
        <f t="shared" si="66"/>
        <v/>
      </c>
      <c r="T311" s="1655" t="str">
        <f t="shared" si="67"/>
        <v/>
      </c>
      <c r="U311" s="1674" t="str">
        <f t="shared" si="68"/>
        <v/>
      </c>
      <c r="V311" s="662" t="str">
        <f t="shared" si="69"/>
        <v/>
      </c>
      <c r="W311" s="662" t="str">
        <f t="shared" si="70"/>
        <v/>
      </c>
      <c r="X311" s="662" t="str">
        <f t="shared" si="71"/>
        <v/>
      </c>
      <c r="Y311" s="1655" t="str">
        <f t="shared" si="72"/>
        <v/>
      </c>
      <c r="Z311" s="662" t="str">
        <f t="shared" si="73"/>
        <v/>
      </c>
      <c r="AA311" s="1657" t="str">
        <f t="shared" si="74"/>
        <v/>
      </c>
      <c r="AB311" s="1657" t="str">
        <f t="shared" si="75"/>
        <v/>
      </c>
      <c r="AD311" s="1655" t="s">
        <v>1481</v>
      </c>
      <c r="AE311" s="663" t="str">
        <f t="shared" si="76"/>
        <v/>
      </c>
      <c r="AF311" s="1657" t="str">
        <f t="shared" si="77"/>
        <v/>
      </c>
      <c r="AG311" s="1655" t="str">
        <f t="shared" si="78"/>
        <v/>
      </c>
      <c r="AH311" s="1674" t="str">
        <f t="shared" si="79"/>
        <v/>
      </c>
      <c r="AI311" s="662" t="str">
        <f t="shared" si="80"/>
        <v/>
      </c>
    </row>
    <row r="312" spans="1:35" x14ac:dyDescent="0.25">
      <c r="A312" s="1655" t="s">
        <v>1164</v>
      </c>
      <c r="B312" s="1655" t="s">
        <v>566</v>
      </c>
      <c r="C312" s="661" t="str">
        <f>IF(INC_LIHTCMedianIncome18="","",INC_LIHTCMedianIncome18)</f>
        <v/>
      </c>
      <c r="D312" s="1655" t="str">
        <f>IF(INC_LIHTCBedrooms18="","",INC_LIHTCBedrooms18)</f>
        <v/>
      </c>
      <c r="E312" s="1655" t="str">
        <f>IF(INC_LIHTCBaths18="","",INC_LIHTCBaths18)</f>
        <v/>
      </c>
      <c r="F312" s="1655" t="str">
        <f>IF(INC_LIHTCNumberofUnits18="","",INC_LIHTCNumberofUnits18)</f>
        <v/>
      </c>
      <c r="G312" s="1674" t="str">
        <f>IF(INC_LIHTCUnitSize18="","",INC_LIHTCUnitSize18)</f>
        <v/>
      </c>
      <c r="H312" s="662" t="str">
        <f>IF(INC_LIHTCTenantUtilities18="","",INC_LIHTCTenantUtilities18)</f>
        <v/>
      </c>
      <c r="I312" s="662" t="str">
        <f>IF(INC_LIHTCResidentPaidRent18="","",INC_LIHTCResidentPaidRent18)</f>
        <v/>
      </c>
      <c r="J312" s="662" t="str">
        <f>IF(INC_LIHTCRentSubsidy18="","",INC_LIHTCRentSubsidy18)</f>
        <v/>
      </c>
      <c r="K312" s="1655" t="str">
        <f>IF(INC_LIHTCRentSubsidySource18="","",INC_LIHTCRentSubsidySource18)</f>
        <v/>
      </c>
      <c r="L312" s="662" t="str">
        <f>IF(INC_LIHTCIncomePerUnit18=0,"",INC_LIHTCIncomePerUnit18)</f>
        <v/>
      </c>
      <c r="M312" s="1659" t="str">
        <f>IF(INCOME!O28="","",INCOME!O28)</f>
        <v/>
      </c>
      <c r="N312" s="1659" t="str">
        <f>IF(INCOME!Q28="","",INCOME!Q28)</f>
        <v/>
      </c>
      <c r="P312" s="1655" t="s">
        <v>1480</v>
      </c>
      <c r="Q312" s="663" t="str">
        <f t="shared" si="65"/>
        <v/>
      </c>
      <c r="R312" s="1657" t="str">
        <f t="shared" si="81"/>
        <v/>
      </c>
      <c r="S312" s="1657" t="str">
        <f t="shared" si="66"/>
        <v/>
      </c>
      <c r="T312" s="1655" t="str">
        <f t="shared" si="67"/>
        <v/>
      </c>
      <c r="U312" s="1674" t="str">
        <f t="shared" si="68"/>
        <v/>
      </c>
      <c r="V312" s="662" t="str">
        <f t="shared" si="69"/>
        <v/>
      </c>
      <c r="W312" s="662" t="str">
        <f t="shared" si="70"/>
        <v/>
      </c>
      <c r="X312" s="662" t="str">
        <f t="shared" si="71"/>
        <v/>
      </c>
      <c r="Y312" s="1655" t="str">
        <f t="shared" si="72"/>
        <v/>
      </c>
      <c r="Z312" s="662" t="str">
        <f t="shared" si="73"/>
        <v/>
      </c>
      <c r="AA312" s="1657" t="str">
        <f t="shared" si="74"/>
        <v/>
      </c>
      <c r="AB312" s="1657" t="str">
        <f t="shared" si="75"/>
        <v/>
      </c>
      <c r="AD312" s="1655" t="s">
        <v>1481</v>
      </c>
      <c r="AE312" s="663" t="str">
        <f t="shared" si="76"/>
        <v/>
      </c>
      <c r="AF312" s="1657" t="str">
        <f t="shared" si="77"/>
        <v/>
      </c>
      <c r="AG312" s="1655" t="str">
        <f t="shared" si="78"/>
        <v/>
      </c>
      <c r="AH312" s="1674" t="str">
        <f t="shared" si="79"/>
        <v/>
      </c>
      <c r="AI312" s="662" t="str">
        <f t="shared" si="80"/>
        <v/>
      </c>
    </row>
    <row r="313" spans="1:35" x14ac:dyDescent="0.25">
      <c r="A313" s="1655" t="s">
        <v>1164</v>
      </c>
      <c r="B313" s="1655" t="s">
        <v>566</v>
      </c>
      <c r="C313" s="661" t="str">
        <f>IF(INC_LIHTCMedianIncome19="","",INC_LIHTCMedianIncome19)</f>
        <v/>
      </c>
      <c r="D313" s="1655" t="str">
        <f>IF(INC_LIHTCBedrooms19="","",INC_LIHTCBedrooms19)</f>
        <v/>
      </c>
      <c r="E313" s="1655" t="str">
        <f>IF(INC_LIHTCBaths19="","",INC_LIHTCBaths19)</f>
        <v/>
      </c>
      <c r="F313" s="1655" t="str">
        <f>IF(INC_LIHTCNumberofUnits19="","",INC_LIHTCNumberofUnits19)</f>
        <v/>
      </c>
      <c r="G313" s="1674" t="str">
        <f>IF(INC_LIHTCUnitSize19="","",INC_LIHTCUnitSize19)</f>
        <v/>
      </c>
      <c r="H313" s="662" t="str">
        <f>IF(INC_LIHTCTenantUtilities19="","",INC_LIHTCTenantUtilities19)</f>
        <v/>
      </c>
      <c r="I313" s="662" t="str">
        <f>IF(INC_LIHTCResidentPaidRent19="","",INC_LIHTCResidentPaidRent19)</f>
        <v/>
      </c>
      <c r="J313" s="662" t="str">
        <f>IF(INC_LIHTCRentSubsidy19="","",INC_LIHTCRentSubsidy19)</f>
        <v/>
      </c>
      <c r="K313" s="1655" t="str">
        <f>IF(INC_LIHTCRentSubsidySource19="","",INC_LIHTCRentSubsidySource19)</f>
        <v/>
      </c>
      <c r="L313" s="662" t="str">
        <f>IF(INC_LIHTCIncomePerUnit19=0,"",INC_LIHTCIncomePerUnit19)</f>
        <v/>
      </c>
      <c r="M313" s="1659" t="str">
        <f>IF(INCOME!O29="","",INCOME!O29)</f>
        <v/>
      </c>
      <c r="N313" s="1659" t="str">
        <f>IF(INCOME!Q29="","",INCOME!Q29)</f>
        <v/>
      </c>
      <c r="P313" s="1655" t="s">
        <v>1480</v>
      </c>
      <c r="Q313" s="663" t="str">
        <f t="shared" si="65"/>
        <v/>
      </c>
      <c r="R313" s="1657" t="str">
        <f t="shared" si="81"/>
        <v/>
      </c>
      <c r="S313" s="1657" t="str">
        <f t="shared" si="66"/>
        <v/>
      </c>
      <c r="T313" s="1655" t="str">
        <f t="shared" si="67"/>
        <v/>
      </c>
      <c r="U313" s="1674" t="str">
        <f t="shared" si="68"/>
        <v/>
      </c>
      <c r="V313" s="662" t="str">
        <f t="shared" si="69"/>
        <v/>
      </c>
      <c r="W313" s="662" t="str">
        <f t="shared" si="70"/>
        <v/>
      </c>
      <c r="X313" s="662" t="str">
        <f t="shared" si="71"/>
        <v/>
      </c>
      <c r="Y313" s="1655" t="str">
        <f t="shared" si="72"/>
        <v/>
      </c>
      <c r="Z313" s="662" t="str">
        <f t="shared" si="73"/>
        <v/>
      </c>
      <c r="AA313" s="1657" t="str">
        <f t="shared" si="74"/>
        <v/>
      </c>
      <c r="AB313" s="1657" t="str">
        <f t="shared" si="75"/>
        <v/>
      </c>
      <c r="AD313" s="1655" t="s">
        <v>1481</v>
      </c>
      <c r="AE313" s="663" t="str">
        <f t="shared" si="76"/>
        <v/>
      </c>
      <c r="AF313" s="1657" t="str">
        <f t="shared" si="77"/>
        <v/>
      </c>
      <c r="AG313" s="1655" t="str">
        <f t="shared" si="78"/>
        <v/>
      </c>
      <c r="AH313" s="1674" t="str">
        <f t="shared" si="79"/>
        <v/>
      </c>
      <c r="AI313" s="662" t="str">
        <f t="shared" si="80"/>
        <v/>
      </c>
    </row>
    <row r="314" spans="1:35" x14ac:dyDescent="0.25">
      <c r="A314" s="1655" t="s">
        <v>1164</v>
      </c>
      <c r="B314" s="1655" t="s">
        <v>566</v>
      </c>
      <c r="C314" s="661" t="str">
        <f>IF(INC_LIHTCMedianIncome20="","",INC_LIHTCMedianIncome20)</f>
        <v/>
      </c>
      <c r="D314" s="1655" t="str">
        <f>IF(INC_LIHTCBedrooms20="","",INC_LIHTCBedrooms20)</f>
        <v/>
      </c>
      <c r="E314" s="1655" t="str">
        <f>IF(INC_LIHTCBaths20="","",INC_LIHTCBaths20)</f>
        <v/>
      </c>
      <c r="F314" s="1655" t="str">
        <f>IF(INC_LIHTCNumberofUnits20="","",INC_LIHTCNumberofUnits20)</f>
        <v/>
      </c>
      <c r="G314" s="1674" t="str">
        <f>IF(INC_LIHTCUnitSize20="","",INC_LIHTCUnitSize20)</f>
        <v/>
      </c>
      <c r="H314" s="662" t="str">
        <f>IF(INC_LIHTCTenantUtilities20="","",INC_LIHTCTenantUtilities20)</f>
        <v/>
      </c>
      <c r="I314" s="662" t="str">
        <f>IF(INC_LIHTCResidentPaidRent20="","",INC_LIHTCResidentPaidRent20)</f>
        <v/>
      </c>
      <c r="J314" s="662" t="str">
        <f>IF(INC_LIHTCRentSubsidy20="","",INC_LIHTCRentSubsidy20)</f>
        <v/>
      </c>
      <c r="K314" s="1655" t="str">
        <f>IF(INC_LIHTCRentSubsidySource20="","",INC_LIHTCRentSubsidySource20)</f>
        <v/>
      </c>
      <c r="L314" s="662" t="str">
        <f>IF(INC_LIHTCIncomePerUnit20=0,"",INC_LIHTCIncomePerUnit20)</f>
        <v/>
      </c>
      <c r="M314" s="1659" t="str">
        <f>IF(INCOME!O30="","",INCOME!O30)</f>
        <v/>
      </c>
      <c r="N314" s="1659" t="str">
        <f>IF(INCOME!Q30="","",INCOME!Q30)</f>
        <v/>
      </c>
      <c r="P314" s="1655" t="s">
        <v>1480</v>
      </c>
      <c r="Q314" s="663" t="str">
        <f t="shared" si="65"/>
        <v/>
      </c>
      <c r="R314" s="1657" t="str">
        <f t="shared" si="81"/>
        <v/>
      </c>
      <c r="S314" s="1657" t="str">
        <f t="shared" si="66"/>
        <v/>
      </c>
      <c r="T314" s="1655" t="str">
        <f t="shared" si="67"/>
        <v/>
      </c>
      <c r="U314" s="1674" t="str">
        <f t="shared" si="68"/>
        <v/>
      </c>
      <c r="V314" s="662" t="str">
        <f t="shared" si="69"/>
        <v/>
      </c>
      <c r="W314" s="662" t="str">
        <f t="shared" si="70"/>
        <v/>
      </c>
      <c r="X314" s="662" t="str">
        <f t="shared" si="71"/>
        <v/>
      </c>
      <c r="Y314" s="1655" t="str">
        <f t="shared" si="72"/>
        <v/>
      </c>
      <c r="Z314" s="662" t="str">
        <f t="shared" si="73"/>
        <v/>
      </c>
      <c r="AA314" s="1657" t="str">
        <f t="shared" si="74"/>
        <v/>
      </c>
      <c r="AB314" s="1657" t="str">
        <f t="shared" si="75"/>
        <v/>
      </c>
      <c r="AD314" s="1655" t="s">
        <v>1481</v>
      </c>
      <c r="AE314" s="663" t="str">
        <f t="shared" si="76"/>
        <v/>
      </c>
      <c r="AF314" s="1657" t="str">
        <f t="shared" si="77"/>
        <v/>
      </c>
      <c r="AG314" s="1655" t="str">
        <f t="shared" si="78"/>
        <v/>
      </c>
      <c r="AH314" s="1674" t="str">
        <f t="shared" si="79"/>
        <v/>
      </c>
      <c r="AI314" s="662" t="str">
        <f t="shared" si="80"/>
        <v/>
      </c>
    </row>
    <row r="315" spans="1:35" x14ac:dyDescent="0.25">
      <c r="A315" s="1655" t="s">
        <v>1164</v>
      </c>
      <c r="B315" s="1655" t="s">
        <v>566</v>
      </c>
      <c r="C315" s="661" t="str">
        <f>IF(INC_LIHTCMedianIncome21="","",INC_LIHTCMedianIncome21)</f>
        <v/>
      </c>
      <c r="D315" s="1655" t="str">
        <f>IF(INC_LIHTCBedrooms21="","",INC_LIHTCBedrooms21)</f>
        <v/>
      </c>
      <c r="E315" s="1655" t="str">
        <f>IF(INC_LIHTCBaths21="","",INC_LIHTCBaths21)</f>
        <v/>
      </c>
      <c r="F315" s="1655" t="str">
        <f>IF(INC_LIHTCNumberofUnits21="","",INC_LIHTCNumberofUnits21)</f>
        <v/>
      </c>
      <c r="G315" s="1674" t="str">
        <f>IF(INC_LIHTCUnitSize21="","",INC_LIHTCUnitSize21)</f>
        <v/>
      </c>
      <c r="H315" s="662" t="str">
        <f>IF(INC_LIHTCTenantUtilities21="","",INC_LIHTCTenantUtilities21)</f>
        <v/>
      </c>
      <c r="I315" s="662" t="str">
        <f>IF(INC_LIHTCResidentPaidRent21="","",INC_LIHTCResidentPaidRent21)</f>
        <v/>
      </c>
      <c r="J315" s="662" t="str">
        <f>IF(INC_LIHTCRentSubsidy21="","",INC_LIHTCRentSubsidy21)</f>
        <v/>
      </c>
      <c r="K315" s="1655" t="str">
        <f>IF(INC_LIHTCRentSubsidySource21="","",INC_LIHTCRentSubsidySource21)</f>
        <v/>
      </c>
      <c r="L315" s="662" t="str">
        <f>IF(INC_LIHTCIncomePerUnit21=0,"",INC_LIHTCIncomePerUnit21)</f>
        <v/>
      </c>
      <c r="M315" s="1659" t="str">
        <f>IF(INCOME!O31="","",INCOME!O31)</f>
        <v/>
      </c>
      <c r="N315" s="1659" t="str">
        <f>IF(INCOME!Q31="","",INCOME!Q31)</f>
        <v/>
      </c>
      <c r="P315" s="1655" t="s">
        <v>1480</v>
      </c>
      <c r="Q315" s="663" t="str">
        <f t="shared" si="65"/>
        <v/>
      </c>
      <c r="R315" s="1657" t="str">
        <f t="shared" si="81"/>
        <v/>
      </c>
      <c r="S315" s="1657" t="str">
        <f t="shared" si="66"/>
        <v/>
      </c>
      <c r="T315" s="1655" t="str">
        <f t="shared" si="67"/>
        <v/>
      </c>
      <c r="U315" s="1674" t="str">
        <f t="shared" si="68"/>
        <v/>
      </c>
      <c r="V315" s="662" t="str">
        <f t="shared" si="69"/>
        <v/>
      </c>
      <c r="W315" s="662" t="str">
        <f t="shared" si="70"/>
        <v/>
      </c>
      <c r="X315" s="662" t="str">
        <f t="shared" si="71"/>
        <v/>
      </c>
      <c r="Y315" s="1655" t="str">
        <f t="shared" si="72"/>
        <v/>
      </c>
      <c r="Z315" s="662" t="str">
        <f t="shared" si="73"/>
        <v/>
      </c>
      <c r="AA315" s="1657" t="str">
        <f t="shared" si="74"/>
        <v/>
      </c>
      <c r="AB315" s="1657" t="str">
        <f t="shared" si="75"/>
        <v/>
      </c>
      <c r="AD315" s="1655" t="s">
        <v>1481</v>
      </c>
      <c r="AE315" s="663" t="str">
        <f t="shared" si="76"/>
        <v/>
      </c>
      <c r="AF315" s="1657" t="str">
        <f t="shared" si="77"/>
        <v/>
      </c>
      <c r="AG315" s="1655" t="str">
        <f t="shared" si="78"/>
        <v/>
      </c>
      <c r="AH315" s="1674" t="str">
        <f t="shared" si="79"/>
        <v/>
      </c>
      <c r="AI315" s="662" t="str">
        <f t="shared" si="80"/>
        <v/>
      </c>
    </row>
    <row r="316" spans="1:35" x14ac:dyDescent="0.25">
      <c r="A316" s="1655" t="s">
        <v>1164</v>
      </c>
      <c r="B316" s="1655" t="s">
        <v>566</v>
      </c>
      <c r="C316" s="661" t="str">
        <f>IF(INC_LIHTCMedianIncome22="","",INC_LIHTCMedianIncome22)</f>
        <v/>
      </c>
      <c r="D316" s="1655" t="str">
        <f>IF(INC_LIHTCBedrooms22="","",INC_LIHTCBedrooms22)</f>
        <v/>
      </c>
      <c r="E316" s="1655" t="str">
        <f>IF(INC_LIHTCBaths22="","",INC_LIHTCBaths22)</f>
        <v/>
      </c>
      <c r="F316" s="1655" t="str">
        <f>IF(INC_LIHTCNumberofUnits22="","",INC_LIHTCNumberofUnits22)</f>
        <v/>
      </c>
      <c r="G316" s="1674" t="str">
        <f>IF(INC_LIHTCUnitSize22="","",INC_LIHTCUnitSize22)</f>
        <v/>
      </c>
      <c r="H316" s="662" t="str">
        <f>IF(INC_LIHTCTenantUtilities22="","",INC_LIHTCTenantUtilities22)</f>
        <v/>
      </c>
      <c r="I316" s="662" t="str">
        <f>IF(INC_LIHTCResidentPaidRent22="","",INC_LIHTCResidentPaidRent22)</f>
        <v/>
      </c>
      <c r="J316" s="662" t="str">
        <f>IF(INC_LIHTCRentSubsidy22="","",INC_LIHTCRentSubsidy22)</f>
        <v/>
      </c>
      <c r="K316" s="1655" t="str">
        <f>IF(INC_LIHTCRentSubsidySource22="","",INC_LIHTCRentSubsidySource22)</f>
        <v/>
      </c>
      <c r="L316" s="662" t="str">
        <f>IF(INC_LIHTCIncomePerUnit22=0,"",INC_LIHTCIncomePerUnit22)</f>
        <v/>
      </c>
      <c r="M316" s="1659" t="str">
        <f>IF(INCOME!O32="","",INCOME!O32)</f>
        <v/>
      </c>
      <c r="N316" s="1659" t="str">
        <f>IF(INCOME!Q32="","",INCOME!Q32)</f>
        <v/>
      </c>
      <c r="P316" s="1655" t="s">
        <v>1480</v>
      </c>
      <c r="Q316" s="663" t="str">
        <f t="shared" si="65"/>
        <v/>
      </c>
      <c r="R316" s="1657" t="str">
        <f t="shared" si="81"/>
        <v/>
      </c>
      <c r="S316" s="1657" t="str">
        <f t="shared" si="66"/>
        <v/>
      </c>
      <c r="T316" s="1655" t="str">
        <f t="shared" si="67"/>
        <v/>
      </c>
      <c r="U316" s="1674" t="str">
        <f t="shared" si="68"/>
        <v/>
      </c>
      <c r="V316" s="662" t="str">
        <f t="shared" si="69"/>
        <v/>
      </c>
      <c r="W316" s="662" t="str">
        <f t="shared" si="70"/>
        <v/>
      </c>
      <c r="X316" s="662" t="str">
        <f t="shared" si="71"/>
        <v/>
      </c>
      <c r="Y316" s="1655" t="str">
        <f t="shared" si="72"/>
        <v/>
      </c>
      <c r="Z316" s="662" t="str">
        <f t="shared" si="73"/>
        <v/>
      </c>
      <c r="AA316" s="1657" t="str">
        <f t="shared" si="74"/>
        <v/>
      </c>
      <c r="AB316" s="1657" t="str">
        <f t="shared" si="75"/>
        <v/>
      </c>
      <c r="AD316" s="1655" t="s">
        <v>1481</v>
      </c>
      <c r="AE316" s="663" t="str">
        <f t="shared" si="76"/>
        <v/>
      </c>
      <c r="AF316" s="1657" t="str">
        <f t="shared" si="77"/>
        <v/>
      </c>
      <c r="AG316" s="1655" t="str">
        <f t="shared" si="78"/>
        <v/>
      </c>
      <c r="AH316" s="1674" t="str">
        <f t="shared" si="79"/>
        <v/>
      </c>
      <c r="AI316" s="662" t="str">
        <f t="shared" si="80"/>
        <v/>
      </c>
    </row>
    <row r="317" spans="1:35" x14ac:dyDescent="0.25">
      <c r="A317" s="1655" t="s">
        <v>1164</v>
      </c>
      <c r="B317" s="1655" t="s">
        <v>566</v>
      </c>
      <c r="C317" s="661" t="str">
        <f>IF(INC_LIHTCMedianIncome23="","",INC_LIHTCMedianIncome23)</f>
        <v/>
      </c>
      <c r="D317" s="1655" t="str">
        <f>IF(INC_LIHTCBedrooms23="","",INC_LIHTCBedrooms23)</f>
        <v/>
      </c>
      <c r="E317" s="1655" t="str">
        <f>IF(INC_LIHTCBaths23="","",INC_LIHTCBaths23)</f>
        <v/>
      </c>
      <c r="F317" s="1655" t="str">
        <f>IF(INC_LIHTCNumberofUnits23="","",INC_LIHTCNumberofUnits23)</f>
        <v/>
      </c>
      <c r="G317" s="1674" t="str">
        <f>IF(INC_LIHTCUnitSize23="","",INC_LIHTCUnitSize23)</f>
        <v/>
      </c>
      <c r="H317" s="662" t="str">
        <f>IF(INC_LIHTCTenantUtilities23="","",INC_LIHTCTenantUtilities23)</f>
        <v/>
      </c>
      <c r="I317" s="662" t="str">
        <f>IF(INC_LIHTCResidentPaidRent23="","",INC_LIHTCResidentPaidRent23)</f>
        <v/>
      </c>
      <c r="J317" s="662" t="str">
        <f>IF(INC_LIHTCRentSubsidy23="","",INC_LIHTCRentSubsidy23)</f>
        <v/>
      </c>
      <c r="K317" s="1655" t="str">
        <f>IF(INC_LIHTCRentSubsidySource23="","",INC_LIHTCRentSubsidySource23)</f>
        <v/>
      </c>
      <c r="L317" s="662" t="str">
        <f>IF(INC_LIHTCIncomePerUnit23=0,"",INC_LIHTCIncomePerUnit23)</f>
        <v/>
      </c>
      <c r="M317" s="1659" t="str">
        <f>IF(INCOME!O33="","",INCOME!O33)</f>
        <v/>
      </c>
      <c r="N317" s="1659" t="str">
        <f>IF(INCOME!Q33="","",INCOME!Q33)</f>
        <v/>
      </c>
      <c r="P317" s="1655" t="s">
        <v>1480</v>
      </c>
      <c r="Q317" s="663" t="str">
        <f t="shared" si="65"/>
        <v/>
      </c>
      <c r="R317" s="1657" t="str">
        <f t="shared" si="81"/>
        <v/>
      </c>
      <c r="S317" s="1657" t="str">
        <f t="shared" si="66"/>
        <v/>
      </c>
      <c r="T317" s="1655" t="str">
        <f t="shared" si="67"/>
        <v/>
      </c>
      <c r="U317" s="1674" t="str">
        <f t="shared" si="68"/>
        <v/>
      </c>
      <c r="V317" s="662" t="str">
        <f t="shared" si="69"/>
        <v/>
      </c>
      <c r="W317" s="662" t="str">
        <f t="shared" si="70"/>
        <v/>
      </c>
      <c r="X317" s="662" t="str">
        <f t="shared" si="71"/>
        <v/>
      </c>
      <c r="Y317" s="1655" t="str">
        <f t="shared" si="72"/>
        <v/>
      </c>
      <c r="Z317" s="662" t="str">
        <f t="shared" si="73"/>
        <v/>
      </c>
      <c r="AA317" s="1657" t="str">
        <f t="shared" si="74"/>
        <v/>
      </c>
      <c r="AB317" s="1657" t="str">
        <f t="shared" si="75"/>
        <v/>
      </c>
      <c r="AD317" s="1655" t="s">
        <v>1481</v>
      </c>
      <c r="AE317" s="663" t="str">
        <f t="shared" si="76"/>
        <v/>
      </c>
      <c r="AF317" s="1657" t="str">
        <f t="shared" si="77"/>
        <v/>
      </c>
      <c r="AG317" s="1655" t="str">
        <f t="shared" si="78"/>
        <v/>
      </c>
      <c r="AH317" s="1674" t="str">
        <f t="shared" si="79"/>
        <v/>
      </c>
      <c r="AI317" s="662" t="str">
        <f t="shared" si="80"/>
        <v/>
      </c>
    </row>
    <row r="318" spans="1:35" x14ac:dyDescent="0.25">
      <c r="A318" s="1655" t="s">
        <v>1164</v>
      </c>
      <c r="B318" s="1655" t="s">
        <v>566</v>
      </c>
      <c r="C318" s="661" t="str">
        <f>IF(INC_LIHTCMedianIncome24="","",INC_LIHTCMedianIncome24)</f>
        <v/>
      </c>
      <c r="D318" s="1655" t="str">
        <f>IF(INC_LIHTCBedrooms24="","",INC_LIHTCBedrooms24)</f>
        <v/>
      </c>
      <c r="E318" s="1655" t="str">
        <f>IF(INC_LIHTCBaths24="","",INC_LIHTCBaths24)</f>
        <v/>
      </c>
      <c r="F318" s="1655" t="str">
        <f>IF(INC_LIHTCNumberofUnits24="","",INC_LIHTCNumberofUnits24)</f>
        <v/>
      </c>
      <c r="G318" s="1674" t="str">
        <f>IF(INC_LIHTCUnitSize24="","",INC_LIHTCUnitSize24)</f>
        <v/>
      </c>
      <c r="H318" s="662" t="str">
        <f>IF(INC_LIHTCTenantUtilities24="","",INC_LIHTCTenantUtilities24)</f>
        <v/>
      </c>
      <c r="I318" s="662" t="str">
        <f>IF(INC_LIHTCResidentPaidRent24="","",INC_LIHTCResidentPaidRent24)</f>
        <v/>
      </c>
      <c r="J318" s="662" t="str">
        <f>IF(INC_LIHTCRentSubsidy24="","",INC_LIHTCRentSubsidy24)</f>
        <v/>
      </c>
      <c r="K318" s="1655" t="str">
        <f>IF(INC_LIHTCRentSubsidySource24="","",INC_LIHTCRentSubsidySource24)</f>
        <v/>
      </c>
      <c r="L318" s="662" t="str">
        <f>IF(INC_LIHTCIncomePerUnit24=0,"",INC_LIHTCIncomePerUnit24)</f>
        <v/>
      </c>
      <c r="M318" s="1659" t="str">
        <f>IF(INCOME!O34="","",INCOME!O34)</f>
        <v/>
      </c>
      <c r="N318" s="1659" t="str">
        <f>IF(INCOME!Q34="","",INCOME!Q34)</f>
        <v/>
      </c>
      <c r="P318" s="1655" t="s">
        <v>1480</v>
      </c>
      <c r="Q318" s="663" t="str">
        <f t="shared" si="65"/>
        <v/>
      </c>
      <c r="R318" s="1657" t="str">
        <f t="shared" si="81"/>
        <v/>
      </c>
      <c r="S318" s="1657" t="str">
        <f t="shared" si="66"/>
        <v/>
      </c>
      <c r="T318" s="1655" t="str">
        <f t="shared" si="67"/>
        <v/>
      </c>
      <c r="U318" s="1674" t="str">
        <f t="shared" si="68"/>
        <v/>
      </c>
      <c r="V318" s="662" t="str">
        <f t="shared" si="69"/>
        <v/>
      </c>
      <c r="W318" s="662" t="str">
        <f t="shared" si="70"/>
        <v/>
      </c>
      <c r="X318" s="662" t="str">
        <f t="shared" si="71"/>
        <v/>
      </c>
      <c r="Y318" s="1655" t="str">
        <f t="shared" si="72"/>
        <v/>
      </c>
      <c r="Z318" s="662" t="str">
        <f t="shared" si="73"/>
        <v/>
      </c>
      <c r="AA318" s="1657" t="str">
        <f t="shared" si="74"/>
        <v/>
      </c>
      <c r="AB318" s="1657" t="str">
        <f t="shared" si="75"/>
        <v/>
      </c>
      <c r="AD318" s="1655" t="s">
        <v>1481</v>
      </c>
      <c r="AE318" s="663" t="str">
        <f t="shared" si="76"/>
        <v/>
      </c>
      <c r="AF318" s="1657" t="str">
        <f t="shared" si="77"/>
        <v/>
      </c>
      <c r="AG318" s="1655" t="str">
        <f t="shared" si="78"/>
        <v/>
      </c>
      <c r="AH318" s="1674" t="str">
        <f t="shared" si="79"/>
        <v/>
      </c>
      <c r="AI318" s="662" t="str">
        <f t="shared" si="80"/>
        <v/>
      </c>
    </row>
    <row r="319" spans="1:35" x14ac:dyDescent="0.25">
      <c r="A319" s="1655" t="s">
        <v>1164</v>
      </c>
      <c r="B319" s="1655" t="s">
        <v>566</v>
      </c>
      <c r="C319" s="661" t="str">
        <f>IF(INC_LIHTCMedianIncome25="","",INC_LIHTCMedianIncome25)</f>
        <v/>
      </c>
      <c r="D319" s="1655" t="str">
        <f>IF(INC_LIHTCBedrooms25="","",INC_LIHTCBedrooms25)</f>
        <v/>
      </c>
      <c r="E319" s="1655" t="str">
        <f>IF(INC_LIHTCBaths25="","",INC_LIHTCBaths25)</f>
        <v/>
      </c>
      <c r="F319" s="1655" t="str">
        <f>IF(INC_LIHTCNumberofUnits25="","",INC_LIHTCNumberofUnits25)</f>
        <v/>
      </c>
      <c r="G319" s="1674" t="str">
        <f>IF(INC_LIHTCUnitSize25="","",INC_LIHTCUnitSize25)</f>
        <v/>
      </c>
      <c r="H319" s="662" t="str">
        <f>IF(INC_LIHTCTenantUtilities25="","",INC_LIHTCTenantUtilities25)</f>
        <v/>
      </c>
      <c r="I319" s="662" t="str">
        <f>IF(INC_LIHTCResidentPaidRent25="","",INC_LIHTCResidentPaidRent25)</f>
        <v/>
      </c>
      <c r="J319" s="662" t="str">
        <f>IF(INC_LIHTCRentSubsidy25="","",INC_LIHTCRentSubsidy25)</f>
        <v/>
      </c>
      <c r="K319" s="1655" t="str">
        <f>IF(INC_LIHTCRentSubsidySource25="","",INC_LIHTCRentSubsidySource25)</f>
        <v/>
      </c>
      <c r="L319" s="662" t="str">
        <f>IF(INC_LIHTCIncomePerUnit25=0,"",INC_LIHTCIncomePerUnit25)</f>
        <v/>
      </c>
      <c r="M319" s="1659" t="str">
        <f>IF(INCOME!O35="","",INCOME!O35)</f>
        <v/>
      </c>
      <c r="N319" s="1659" t="str">
        <f>IF(INCOME!Q35="","",INCOME!Q35)</f>
        <v/>
      </c>
      <c r="P319" s="1655" t="s">
        <v>1480</v>
      </c>
      <c r="Q319" s="663" t="str">
        <f t="shared" si="65"/>
        <v/>
      </c>
      <c r="R319" s="1657" t="str">
        <f t="shared" si="81"/>
        <v/>
      </c>
      <c r="S319" s="1657" t="str">
        <f t="shared" si="66"/>
        <v/>
      </c>
      <c r="T319" s="1655" t="str">
        <f t="shared" si="67"/>
        <v/>
      </c>
      <c r="U319" s="1674" t="str">
        <f t="shared" si="68"/>
        <v/>
      </c>
      <c r="V319" s="662" t="str">
        <f t="shared" si="69"/>
        <v/>
      </c>
      <c r="W319" s="662" t="str">
        <f t="shared" si="70"/>
        <v/>
      </c>
      <c r="X319" s="662" t="str">
        <f t="shared" si="71"/>
        <v/>
      </c>
      <c r="Y319" s="1655" t="str">
        <f t="shared" si="72"/>
        <v/>
      </c>
      <c r="Z319" s="662" t="str">
        <f t="shared" si="73"/>
        <v/>
      </c>
      <c r="AA319" s="1657" t="str">
        <f t="shared" si="74"/>
        <v/>
      </c>
      <c r="AB319" s="1657" t="str">
        <f t="shared" si="75"/>
        <v/>
      </c>
      <c r="AD319" s="1655" t="s">
        <v>1481</v>
      </c>
      <c r="AE319" s="663" t="str">
        <f t="shared" si="76"/>
        <v/>
      </c>
      <c r="AF319" s="1657" t="str">
        <f t="shared" si="77"/>
        <v/>
      </c>
      <c r="AG319" s="1655" t="str">
        <f t="shared" si="78"/>
        <v/>
      </c>
      <c r="AH319" s="1674" t="str">
        <f t="shared" si="79"/>
        <v/>
      </c>
      <c r="AI319" s="662" t="str">
        <f t="shared" si="80"/>
        <v/>
      </c>
    </row>
    <row r="320" spans="1:35" x14ac:dyDescent="0.25">
      <c r="A320" s="1655" t="s">
        <v>1164</v>
      </c>
      <c r="B320" s="1655" t="s">
        <v>566</v>
      </c>
      <c r="C320" s="661" t="str">
        <f>IF(INC_LIHTCMedianIncome26="","",INC_LIHTCMedianIncome26)</f>
        <v/>
      </c>
      <c r="D320" s="1655" t="str">
        <f>IF(INC_LIHTCBedrooms26="","",INC_LIHTCBedrooms26)</f>
        <v/>
      </c>
      <c r="E320" s="1655" t="str">
        <f>IF(INC_LIHTCBaths26="","",INC_LIHTCBaths26)</f>
        <v/>
      </c>
      <c r="F320" s="1655" t="str">
        <f>IF(INC_LIHTCNumberofUnits26="","",INC_LIHTCNumberofUnits26)</f>
        <v/>
      </c>
      <c r="G320" s="1674" t="str">
        <f>IF(INC_LIHTCUnitSize26="","",INC_LIHTCUnitSize26)</f>
        <v/>
      </c>
      <c r="H320" s="662" t="str">
        <f>IF(INC_LIHTCTenantUtilities26="","",INC_LIHTCTenantUtilities26)</f>
        <v/>
      </c>
      <c r="I320" s="662" t="str">
        <f>IF(INC_LIHTCResidentPaidRent26="","",INC_LIHTCResidentPaidRent26)</f>
        <v/>
      </c>
      <c r="J320" s="662" t="str">
        <f>IF(INC_LIHTCRentSubsidy26="","",INC_LIHTCRentSubsidy26)</f>
        <v/>
      </c>
      <c r="K320" s="1655" t="str">
        <f>IF(INC_LIHTCRentSubsidySource26="","",INC_LIHTCRentSubsidySource26)</f>
        <v/>
      </c>
      <c r="L320" s="662" t="str">
        <f>IF(INC_LIHTCIncomePerUnit26=0,"",INC_LIHTCIncomePerUnit26)</f>
        <v/>
      </c>
      <c r="M320" s="1659" t="str">
        <f>IF(INCOME!O36="","",INCOME!O36)</f>
        <v/>
      </c>
      <c r="N320" s="1659" t="str">
        <f>IF(INCOME!Q36="","",INCOME!Q36)</f>
        <v/>
      </c>
      <c r="P320" s="1655" t="s">
        <v>1480</v>
      </c>
      <c r="Q320" s="663" t="str">
        <f t="shared" si="65"/>
        <v/>
      </c>
      <c r="R320" s="1657" t="str">
        <f t="shared" si="81"/>
        <v/>
      </c>
      <c r="S320" s="1657" t="str">
        <f t="shared" si="66"/>
        <v/>
      </c>
      <c r="T320" s="1655" t="str">
        <f t="shared" si="67"/>
        <v/>
      </c>
      <c r="U320" s="1674" t="str">
        <f t="shared" si="68"/>
        <v/>
      </c>
      <c r="V320" s="662" t="str">
        <f t="shared" si="69"/>
        <v/>
      </c>
      <c r="W320" s="662" t="str">
        <f t="shared" si="70"/>
        <v/>
      </c>
      <c r="X320" s="662" t="str">
        <f t="shared" si="71"/>
        <v/>
      </c>
      <c r="Y320" s="1655" t="str">
        <f t="shared" si="72"/>
        <v/>
      </c>
      <c r="Z320" s="662" t="str">
        <f t="shared" si="73"/>
        <v/>
      </c>
      <c r="AA320" s="1657" t="str">
        <f t="shared" si="74"/>
        <v/>
      </c>
      <c r="AB320" s="1657" t="str">
        <f t="shared" si="75"/>
        <v/>
      </c>
      <c r="AD320" s="1655" t="s">
        <v>1481</v>
      </c>
      <c r="AE320" s="663" t="str">
        <f t="shared" si="76"/>
        <v/>
      </c>
      <c r="AF320" s="1657" t="str">
        <f t="shared" si="77"/>
        <v/>
      </c>
      <c r="AG320" s="1655" t="str">
        <f t="shared" si="78"/>
        <v/>
      </c>
      <c r="AH320" s="1674" t="str">
        <f t="shared" si="79"/>
        <v/>
      </c>
      <c r="AI320" s="662" t="str">
        <f t="shared" si="80"/>
        <v/>
      </c>
    </row>
    <row r="321" spans="1:35" x14ac:dyDescent="0.25">
      <c r="A321" s="1655" t="s">
        <v>1164</v>
      </c>
      <c r="B321" s="1655" t="s">
        <v>566</v>
      </c>
      <c r="C321" s="661" t="str">
        <f>IF(INC_LIHTCMedianIncome27="","",INC_LIHTCMedianIncome27)</f>
        <v/>
      </c>
      <c r="D321" s="1655" t="str">
        <f>IF(INC_LIHTCBedrooms27="","",INC_LIHTCBedrooms27)</f>
        <v/>
      </c>
      <c r="E321" s="1655" t="str">
        <f>IF(INC_LIHTCBaths27="","",INC_LIHTCBaths27)</f>
        <v/>
      </c>
      <c r="F321" s="1655" t="str">
        <f>IF(INC_LIHTCNumberofUnits27="","",INC_LIHTCNumberofUnits27)</f>
        <v/>
      </c>
      <c r="G321" s="1674" t="str">
        <f>IF(INC_LIHTCUnitSize27="","",INC_LIHTCUnitSize27)</f>
        <v/>
      </c>
      <c r="H321" s="662" t="str">
        <f>IF(INC_LIHTCTenantUtilities27="","",INC_LIHTCTenantUtilities27)</f>
        <v/>
      </c>
      <c r="I321" s="662" t="str">
        <f>IF(INC_LIHTCResidentPaidRent27="","",INC_LIHTCResidentPaidRent27)</f>
        <v/>
      </c>
      <c r="J321" s="662" t="str">
        <f>IF(INC_LIHTCRentSubsidy27="","",INC_LIHTCRentSubsidy27)</f>
        <v/>
      </c>
      <c r="K321" s="1655" t="str">
        <f>IF(INC_LIHTCRentSubsidySource27="","",INC_LIHTCRentSubsidySource27)</f>
        <v/>
      </c>
      <c r="L321" s="662" t="str">
        <f>IF(INC_LIHTCIncomePerUnit27=0,"",INC_LIHTCIncomePerUnit27)</f>
        <v/>
      </c>
      <c r="M321" s="1659" t="str">
        <f>IF(INCOME!O37="","",INCOME!O37)</f>
        <v/>
      </c>
      <c r="N321" s="1659" t="str">
        <f>IF(INCOME!Q37="","",INCOME!Q37)</f>
        <v/>
      </c>
      <c r="P321" s="1655" t="s">
        <v>1480</v>
      </c>
      <c r="Q321" s="663" t="str">
        <f t="shared" si="65"/>
        <v/>
      </c>
      <c r="R321" s="1657" t="str">
        <f t="shared" si="81"/>
        <v/>
      </c>
      <c r="S321" s="1657" t="str">
        <f t="shared" si="66"/>
        <v/>
      </c>
      <c r="T321" s="1655" t="str">
        <f t="shared" si="67"/>
        <v/>
      </c>
      <c r="U321" s="1674" t="str">
        <f t="shared" si="68"/>
        <v/>
      </c>
      <c r="V321" s="662" t="str">
        <f t="shared" si="69"/>
        <v/>
      </c>
      <c r="W321" s="662" t="str">
        <f t="shared" si="70"/>
        <v/>
      </c>
      <c r="X321" s="662" t="str">
        <f t="shared" si="71"/>
        <v/>
      </c>
      <c r="Y321" s="1655" t="str">
        <f t="shared" si="72"/>
        <v/>
      </c>
      <c r="Z321" s="662" t="str">
        <f t="shared" si="73"/>
        <v/>
      </c>
      <c r="AA321" s="1657" t="str">
        <f t="shared" si="74"/>
        <v/>
      </c>
      <c r="AB321" s="1657" t="str">
        <f t="shared" si="75"/>
        <v/>
      </c>
      <c r="AD321" s="1655" t="s">
        <v>1481</v>
      </c>
      <c r="AE321" s="663" t="str">
        <f t="shared" si="76"/>
        <v/>
      </c>
      <c r="AF321" s="1657" t="str">
        <f t="shared" si="77"/>
        <v/>
      </c>
      <c r="AG321" s="1655" t="str">
        <f t="shared" si="78"/>
        <v/>
      </c>
      <c r="AH321" s="1674" t="str">
        <f t="shared" si="79"/>
        <v/>
      </c>
      <c r="AI321" s="662" t="str">
        <f t="shared" si="80"/>
        <v/>
      </c>
    </row>
    <row r="322" spans="1:35" x14ac:dyDescent="0.25">
      <c r="A322" s="1655" t="s">
        <v>1164</v>
      </c>
      <c r="B322" s="1655" t="s">
        <v>566</v>
      </c>
      <c r="C322" s="661" t="str">
        <f>IF(INC_LIHTCMedianIncome28="","",INC_LIHTCMedianIncome28)</f>
        <v/>
      </c>
      <c r="D322" s="1655" t="str">
        <f>IF(INC_LIHTCBedrooms28="","",INC_LIHTCBedrooms28)</f>
        <v/>
      </c>
      <c r="E322" s="1655" t="str">
        <f>IF(INC_LIHTCBaths28="","",INC_LIHTCBaths28)</f>
        <v/>
      </c>
      <c r="F322" s="1655" t="str">
        <f>IF(INC_LIHTCNumberofUnits28="","",INC_LIHTCNumberofUnits28)</f>
        <v/>
      </c>
      <c r="G322" s="1674" t="str">
        <f>IF(INC_LIHTCUnitSize28="","",INC_LIHTCUnitSize28)</f>
        <v/>
      </c>
      <c r="H322" s="662" t="str">
        <f>IF(INC_LIHTCTenantUtilities28="","",INC_LIHTCTenantUtilities28)</f>
        <v/>
      </c>
      <c r="I322" s="662" t="str">
        <f>IF(INC_LIHTCResidentPaidRent28="","",INC_LIHTCResidentPaidRent28)</f>
        <v/>
      </c>
      <c r="J322" s="662" t="str">
        <f>IF(INC_LIHTCRentSubsidy28="","",INC_LIHTCRentSubsidy28)</f>
        <v/>
      </c>
      <c r="K322" s="1655" t="str">
        <f>IF(INC_LIHTCRentSubsidySource28="","",INC_LIHTCRentSubsidySource28)</f>
        <v/>
      </c>
      <c r="L322" s="662" t="str">
        <f>IF(INC_LIHTCIncomePerUnit28=0,"",INC_LIHTCIncomePerUnit28)</f>
        <v/>
      </c>
      <c r="M322" s="1659" t="str">
        <f>IF(INCOME!O38="","",INCOME!O38)</f>
        <v/>
      </c>
      <c r="N322" s="1659" t="str">
        <f>IF(INCOME!Q38="","",INCOME!Q38)</f>
        <v/>
      </c>
      <c r="P322" s="1655" t="s">
        <v>1480</v>
      </c>
      <c r="Q322" s="663" t="str">
        <f t="shared" si="65"/>
        <v/>
      </c>
      <c r="R322" s="1657" t="str">
        <f t="shared" si="81"/>
        <v/>
      </c>
      <c r="S322" s="1657" t="str">
        <f t="shared" si="66"/>
        <v/>
      </c>
      <c r="T322" s="1655" t="str">
        <f t="shared" si="67"/>
        <v/>
      </c>
      <c r="U322" s="1674" t="str">
        <f t="shared" si="68"/>
        <v/>
      </c>
      <c r="V322" s="662" t="str">
        <f t="shared" si="69"/>
        <v/>
      </c>
      <c r="W322" s="662" t="str">
        <f t="shared" si="70"/>
        <v/>
      </c>
      <c r="X322" s="662" t="str">
        <f t="shared" si="71"/>
        <v/>
      </c>
      <c r="Y322" s="1655" t="str">
        <f t="shared" si="72"/>
        <v/>
      </c>
      <c r="Z322" s="662" t="str">
        <f t="shared" si="73"/>
        <v/>
      </c>
      <c r="AA322" s="1657" t="str">
        <f t="shared" si="74"/>
        <v/>
      </c>
      <c r="AB322" s="1657" t="str">
        <f t="shared" si="75"/>
        <v/>
      </c>
      <c r="AD322" s="1655" t="s">
        <v>1481</v>
      </c>
      <c r="AE322" s="663" t="str">
        <f t="shared" si="76"/>
        <v/>
      </c>
      <c r="AF322" s="1657" t="str">
        <f t="shared" si="77"/>
        <v/>
      </c>
      <c r="AG322" s="1655" t="str">
        <f t="shared" si="78"/>
        <v/>
      </c>
      <c r="AH322" s="1674" t="str">
        <f t="shared" si="79"/>
        <v/>
      </c>
      <c r="AI322" s="662" t="str">
        <f t="shared" si="80"/>
        <v/>
      </c>
    </row>
    <row r="323" spans="1:35" x14ac:dyDescent="0.25">
      <c r="A323" s="1655" t="s">
        <v>1164</v>
      </c>
      <c r="B323" s="1655" t="s">
        <v>566</v>
      </c>
      <c r="C323" s="661" t="str">
        <f>IF(INC_LIHTCMedianIncome29="","",INC_LIHTCMedianIncome29)</f>
        <v/>
      </c>
      <c r="D323" s="1655" t="str">
        <f>IF(INC_LIHTCBedrooms29="","",INC_LIHTCBedrooms29)</f>
        <v/>
      </c>
      <c r="E323" s="1655" t="str">
        <f>IF(INC_LIHTCBaths29="","",INC_LIHTCBaths29)</f>
        <v/>
      </c>
      <c r="F323" s="1655" t="str">
        <f>IF(INC_LIHTCNumberofUnits29="","",INC_LIHTCNumberofUnits29)</f>
        <v/>
      </c>
      <c r="G323" s="1674" t="str">
        <f>IF(INC_LIHTCUnitSize29="","",INC_LIHTCUnitSize29)</f>
        <v/>
      </c>
      <c r="H323" s="662" t="str">
        <f>IF(INC_LIHTCTenantUtilities29="","",INC_LIHTCTenantUtilities29)</f>
        <v/>
      </c>
      <c r="I323" s="662" t="str">
        <f>IF(INC_LIHTCResidentPaidRent29="","",INC_LIHTCResidentPaidRent29)</f>
        <v/>
      </c>
      <c r="J323" s="662" t="str">
        <f>IF(INC_LIHTCRentSubsidy29="","",INC_LIHTCRentSubsidy29)</f>
        <v/>
      </c>
      <c r="K323" s="1655" t="str">
        <f>IF(INC_LIHTCRentSubsidySource29="","",INC_LIHTCRentSubsidySource29)</f>
        <v/>
      </c>
      <c r="L323" s="662" t="str">
        <f>IF(INC_LIHTCIncomePerUnit29=0,"",INC_LIHTCIncomePerUnit29)</f>
        <v/>
      </c>
      <c r="M323" s="1659" t="str">
        <f>IF(INCOME!O39="","",INCOME!O39)</f>
        <v/>
      </c>
      <c r="N323" s="1659" t="str">
        <f>IF(INCOME!Q39="","",INCOME!Q39)</f>
        <v/>
      </c>
      <c r="P323" s="1655" t="s">
        <v>1480</v>
      </c>
      <c r="Q323" s="663" t="str">
        <f t="shared" si="65"/>
        <v/>
      </c>
      <c r="R323" s="1657" t="str">
        <f t="shared" si="81"/>
        <v/>
      </c>
      <c r="S323" s="1657" t="str">
        <f t="shared" si="66"/>
        <v/>
      </c>
      <c r="T323" s="1655" t="str">
        <f t="shared" si="67"/>
        <v/>
      </c>
      <c r="U323" s="1674" t="str">
        <f t="shared" si="68"/>
        <v/>
      </c>
      <c r="V323" s="662" t="str">
        <f t="shared" si="69"/>
        <v/>
      </c>
      <c r="W323" s="662" t="str">
        <f t="shared" si="70"/>
        <v/>
      </c>
      <c r="X323" s="662" t="str">
        <f t="shared" si="71"/>
        <v/>
      </c>
      <c r="Y323" s="1655" t="str">
        <f t="shared" si="72"/>
        <v/>
      </c>
      <c r="Z323" s="662" t="str">
        <f t="shared" si="73"/>
        <v/>
      </c>
      <c r="AA323" s="1657" t="str">
        <f t="shared" si="74"/>
        <v/>
      </c>
      <c r="AB323" s="1657" t="str">
        <f t="shared" si="75"/>
        <v/>
      </c>
      <c r="AD323" s="1655" t="s">
        <v>1481</v>
      </c>
      <c r="AE323" s="663" t="str">
        <f t="shared" si="76"/>
        <v/>
      </c>
      <c r="AF323" s="1657" t="str">
        <f t="shared" si="77"/>
        <v/>
      </c>
      <c r="AG323" s="1655" t="str">
        <f t="shared" si="78"/>
        <v/>
      </c>
      <c r="AH323" s="1674" t="str">
        <f t="shared" si="79"/>
        <v/>
      </c>
      <c r="AI323" s="662" t="str">
        <f t="shared" si="80"/>
        <v/>
      </c>
    </row>
    <row r="324" spans="1:35" x14ac:dyDescent="0.25">
      <c r="A324" s="1655" t="s">
        <v>1164</v>
      </c>
      <c r="B324" s="1655" t="s">
        <v>566</v>
      </c>
      <c r="C324" s="661" t="str">
        <f>IF(INC_LIHTCMedianIncome30="","",INC_LIHTCMedianIncome30)</f>
        <v/>
      </c>
      <c r="D324" s="1655" t="str">
        <f>IF(INC_LIHTCBedrooms30="","",INC_LIHTCBedrooms30)</f>
        <v/>
      </c>
      <c r="E324" s="1655" t="str">
        <f>IF(INC_LIHTCBaths30="","",INC_LIHTCBaths30)</f>
        <v/>
      </c>
      <c r="F324" s="1655" t="str">
        <f>IF(INC_LIHTCNumberofUnits30="","",INC_LIHTCNumberofUnits30)</f>
        <v/>
      </c>
      <c r="G324" s="1674" t="str">
        <f>IF(INC_LIHTCUnitSize30="","",INC_LIHTCUnitSize30)</f>
        <v/>
      </c>
      <c r="H324" s="662" t="str">
        <f>IF(INC_LIHTCTenantUtilities30="","",INC_LIHTCTenantUtilities30)</f>
        <v/>
      </c>
      <c r="I324" s="662" t="str">
        <f>IF(INC_LIHTCResidentPaidRent30="","",INC_LIHTCResidentPaidRent30)</f>
        <v/>
      </c>
      <c r="J324" s="662" t="str">
        <f>IF(INC_LIHTCRentSubsidy30="","",INC_LIHTCRentSubsidy30)</f>
        <v/>
      </c>
      <c r="K324" s="1655" t="str">
        <f>IF(INC_LIHTCRentSubsidySource30="","",INC_LIHTCRentSubsidySource30)</f>
        <v/>
      </c>
      <c r="L324" s="662" t="str">
        <f>IF(INC_LIHTCIncomePerUnit30=0,"",INC_LIHTCIncomePerUnit30)</f>
        <v/>
      </c>
      <c r="M324" s="1659" t="str">
        <f>IF(INCOME!O40="","",INCOME!O40)</f>
        <v/>
      </c>
      <c r="N324" s="1659" t="str">
        <f>IF(INCOME!Q40="","",INCOME!Q40)</f>
        <v/>
      </c>
      <c r="P324" s="1655" t="s">
        <v>1480</v>
      </c>
      <c r="Q324" s="663" t="str">
        <f t="shared" si="65"/>
        <v/>
      </c>
      <c r="R324" s="1657" t="str">
        <f t="shared" si="81"/>
        <v/>
      </c>
      <c r="S324" s="1657" t="str">
        <f t="shared" si="66"/>
        <v/>
      </c>
      <c r="T324" s="1655" t="str">
        <f t="shared" si="67"/>
        <v/>
      </c>
      <c r="U324" s="1674" t="str">
        <f t="shared" si="68"/>
        <v/>
      </c>
      <c r="V324" s="662" t="str">
        <f t="shared" si="69"/>
        <v/>
      </c>
      <c r="W324" s="662" t="str">
        <f t="shared" si="70"/>
        <v/>
      </c>
      <c r="X324" s="662" t="str">
        <f t="shared" si="71"/>
        <v/>
      </c>
      <c r="Y324" s="1655" t="str">
        <f t="shared" si="72"/>
        <v/>
      </c>
      <c r="Z324" s="662" t="str">
        <f t="shared" si="73"/>
        <v/>
      </c>
      <c r="AA324" s="1657" t="str">
        <f t="shared" si="74"/>
        <v/>
      </c>
      <c r="AB324" s="1657" t="str">
        <f t="shared" si="75"/>
        <v/>
      </c>
      <c r="AD324" s="1655" t="s">
        <v>1481</v>
      </c>
      <c r="AE324" s="663" t="str">
        <f t="shared" si="76"/>
        <v/>
      </c>
      <c r="AF324" s="1657" t="str">
        <f t="shared" si="77"/>
        <v/>
      </c>
      <c r="AG324" s="1655" t="str">
        <f t="shared" si="78"/>
        <v/>
      </c>
      <c r="AH324" s="1674" t="str">
        <f t="shared" si="79"/>
        <v/>
      </c>
      <c r="AI324" s="662" t="str">
        <f t="shared" si="80"/>
        <v/>
      </c>
    </row>
    <row r="325" spans="1:35" x14ac:dyDescent="0.25">
      <c r="A325" s="1655" t="s">
        <v>1164</v>
      </c>
      <c r="B325" s="1655" t="s">
        <v>595</v>
      </c>
      <c r="C325" s="664"/>
      <c r="D325" s="1655" t="str">
        <f>IF(INC_MKTBedrooms1="","",INC_MKTBedrooms1)</f>
        <v/>
      </c>
      <c r="E325" s="1655" t="str">
        <f>IF(INC_MKTBaths1="","",INC_MKTBaths1)</f>
        <v/>
      </c>
      <c r="F325" s="1655" t="str">
        <f>IF(INC_MKTNumberofUnits1="","",INC_MKTNumberofUnits1)</f>
        <v/>
      </c>
      <c r="G325" s="1674" t="str">
        <f>IF(INC_MKTUnitSize1="","",INC_MKTUnitSize1)</f>
        <v/>
      </c>
      <c r="H325" s="665"/>
      <c r="I325" s="665"/>
      <c r="J325" s="665"/>
      <c r="K325" s="1658"/>
      <c r="L325" s="662" t="str">
        <f>IF(INC_MKTResidentPaidRent1="","",INC_MKTResidentPaidRent1)</f>
        <v/>
      </c>
      <c r="M325" s="1668"/>
      <c r="N325" s="1668"/>
      <c r="P325" s="1655" t="s">
        <v>1480</v>
      </c>
      <c r="Q325" s="663" t="str">
        <f t="shared" ref="Q325:Q335" si="82">IF(D325="","","Market")</f>
        <v/>
      </c>
      <c r="R325" s="1657" t="str">
        <f t="shared" si="81"/>
        <v/>
      </c>
      <c r="S325" s="1657" t="str">
        <f t="shared" si="66"/>
        <v/>
      </c>
      <c r="T325" s="1655" t="str">
        <f t="shared" si="67"/>
        <v/>
      </c>
      <c r="U325" s="1674" t="str">
        <f t="shared" si="68"/>
        <v/>
      </c>
      <c r="V325" s="665"/>
      <c r="W325" s="665"/>
      <c r="X325" s="665"/>
      <c r="Y325" s="1658"/>
      <c r="Z325" s="662" t="str">
        <f t="shared" si="73"/>
        <v/>
      </c>
      <c r="AA325" s="1658"/>
      <c r="AB325" s="1658"/>
      <c r="AD325" s="1655" t="s">
        <v>1481</v>
      </c>
      <c r="AE325" s="663" t="str">
        <f t="shared" ref="AE325:AE335" si="83">IF(D325="","","Market")</f>
        <v/>
      </c>
      <c r="AF325" s="1657" t="str">
        <f t="shared" si="77"/>
        <v/>
      </c>
      <c r="AG325" s="1655" t="str">
        <f t="shared" si="78"/>
        <v/>
      </c>
      <c r="AH325" s="1674" t="str">
        <f t="shared" si="79"/>
        <v/>
      </c>
      <c r="AI325" s="662" t="str">
        <f t="shared" si="80"/>
        <v/>
      </c>
    </row>
    <row r="326" spans="1:35" x14ac:dyDescent="0.25">
      <c r="A326" s="1655" t="s">
        <v>1164</v>
      </c>
      <c r="B326" s="1655" t="s">
        <v>595</v>
      </c>
      <c r="C326" s="664"/>
      <c r="D326" s="1655" t="str">
        <f>IF(INC_MKTBedrooms2="","",INC_MKTBedrooms2)</f>
        <v/>
      </c>
      <c r="E326" s="1655" t="str">
        <f>IF(INC_MKTBaths2="","",INC_MKTBaths2)</f>
        <v/>
      </c>
      <c r="F326" s="1655" t="str">
        <f>IF(INC_MKTNumberofUnits2="","",INC_MKTNumberofUnits2)</f>
        <v/>
      </c>
      <c r="G326" s="1674" t="str">
        <f>IF(INC_MKTUnitSize2="","",INC_MKTUnitSize2)</f>
        <v/>
      </c>
      <c r="H326" s="665"/>
      <c r="I326" s="665"/>
      <c r="J326" s="665"/>
      <c r="K326" s="1658"/>
      <c r="L326" s="662" t="str">
        <f>IF(INC_MKTResidentPaidRent2="","",INC_MKTResidentPaidRent2)</f>
        <v/>
      </c>
      <c r="M326" s="1668"/>
      <c r="N326" s="1668"/>
      <c r="P326" s="1655" t="s">
        <v>1480</v>
      </c>
      <c r="Q326" s="663" t="str">
        <f t="shared" si="82"/>
        <v/>
      </c>
      <c r="R326" s="1657" t="str">
        <f t="shared" si="81"/>
        <v/>
      </c>
      <c r="S326" s="1657" t="str">
        <f t="shared" si="66"/>
        <v/>
      </c>
      <c r="T326" s="1655" t="str">
        <f t="shared" si="67"/>
        <v/>
      </c>
      <c r="U326" s="1674" t="str">
        <f t="shared" si="68"/>
        <v/>
      </c>
      <c r="V326" s="665"/>
      <c r="W326" s="665"/>
      <c r="X326" s="665"/>
      <c r="Y326" s="1658"/>
      <c r="Z326" s="662" t="str">
        <f t="shared" si="73"/>
        <v/>
      </c>
      <c r="AA326" s="1658"/>
      <c r="AB326" s="1658"/>
      <c r="AD326" s="1655" t="s">
        <v>1481</v>
      </c>
      <c r="AE326" s="663" t="str">
        <f t="shared" si="83"/>
        <v/>
      </c>
      <c r="AF326" s="1657" t="str">
        <f t="shared" si="77"/>
        <v/>
      </c>
      <c r="AG326" s="1655" t="str">
        <f t="shared" si="78"/>
        <v/>
      </c>
      <c r="AH326" s="1674" t="str">
        <f t="shared" si="79"/>
        <v/>
      </c>
      <c r="AI326" s="662" t="str">
        <f t="shared" si="80"/>
        <v/>
      </c>
    </row>
    <row r="327" spans="1:35" x14ac:dyDescent="0.25">
      <c r="A327" s="1655" t="s">
        <v>1164</v>
      </c>
      <c r="B327" s="1655" t="s">
        <v>595</v>
      </c>
      <c r="C327" s="664"/>
      <c r="D327" s="1655" t="str">
        <f>IF(INC_MKTBedrooms3="","",INC_MKTBedrooms3)</f>
        <v/>
      </c>
      <c r="E327" s="1655" t="str">
        <f>IF(INC_MKTBaths3="","",INC_MKTBaths3)</f>
        <v/>
      </c>
      <c r="F327" s="1655" t="str">
        <f>IF(INC_MKTNumberofUnits3="","",INC_MKTNumberofUnits3)</f>
        <v/>
      </c>
      <c r="G327" s="1674" t="str">
        <f>IF(INC_MKTUnitSize3="","",INC_MKTUnitSize3)</f>
        <v/>
      </c>
      <c r="H327" s="665"/>
      <c r="I327" s="665"/>
      <c r="J327" s="665"/>
      <c r="K327" s="1658"/>
      <c r="L327" s="662" t="str">
        <f>IF(INC_MKTResidentPaidRent3="","",INC_MKTResidentPaidRent3)</f>
        <v/>
      </c>
      <c r="M327" s="1668"/>
      <c r="N327" s="1668"/>
      <c r="P327" s="1655" t="s">
        <v>1480</v>
      </c>
      <c r="Q327" s="663" t="str">
        <f t="shared" si="82"/>
        <v/>
      </c>
      <c r="R327" s="1657" t="str">
        <f t="shared" si="81"/>
        <v/>
      </c>
      <c r="S327" s="1657" t="str">
        <f t="shared" si="66"/>
        <v/>
      </c>
      <c r="T327" s="1655" t="str">
        <f t="shared" si="67"/>
        <v/>
      </c>
      <c r="U327" s="1674" t="str">
        <f t="shared" si="68"/>
        <v/>
      </c>
      <c r="V327" s="665"/>
      <c r="W327" s="665"/>
      <c r="X327" s="665"/>
      <c r="Y327" s="1658"/>
      <c r="Z327" s="662" t="str">
        <f t="shared" si="73"/>
        <v/>
      </c>
      <c r="AA327" s="1658"/>
      <c r="AB327" s="1658"/>
      <c r="AD327" s="1655" t="s">
        <v>1481</v>
      </c>
      <c r="AE327" s="663" t="str">
        <f t="shared" si="83"/>
        <v/>
      </c>
      <c r="AF327" s="1657" t="str">
        <f t="shared" si="77"/>
        <v/>
      </c>
      <c r="AG327" s="1655" t="str">
        <f t="shared" si="78"/>
        <v/>
      </c>
      <c r="AH327" s="1674" t="str">
        <f t="shared" si="79"/>
        <v/>
      </c>
      <c r="AI327" s="662" t="str">
        <f t="shared" si="80"/>
        <v/>
      </c>
    </row>
    <row r="328" spans="1:35" x14ac:dyDescent="0.25">
      <c r="A328" s="1655" t="s">
        <v>1164</v>
      </c>
      <c r="B328" s="1655" t="s">
        <v>595</v>
      </c>
      <c r="C328" s="664"/>
      <c r="D328" s="1655" t="str">
        <f>IF(INC_MKTBedrooms4="","",INC_MKTBedrooms4)</f>
        <v/>
      </c>
      <c r="E328" s="1655" t="str">
        <f>IF(INC_MKTBaths4="","",INC_MKTBaths4)</f>
        <v/>
      </c>
      <c r="F328" s="1655" t="str">
        <f>IF(INC_MKTNumberofUnits4="","",INC_MKTNumberofUnits4)</f>
        <v/>
      </c>
      <c r="G328" s="1674" t="str">
        <f>IF(INC_MKTUnitSize4="","",INC_MKTUnitSize4)</f>
        <v/>
      </c>
      <c r="H328" s="665"/>
      <c r="I328" s="665"/>
      <c r="J328" s="665"/>
      <c r="K328" s="1658"/>
      <c r="L328" s="662" t="str">
        <f>IF(INC_MKTResidentPaidRent4="","",INC_MKTResidentPaidRent4)</f>
        <v/>
      </c>
      <c r="M328" s="1668"/>
      <c r="N328" s="1668"/>
      <c r="P328" s="1655" t="s">
        <v>1480</v>
      </c>
      <c r="Q328" s="663" t="str">
        <f t="shared" si="82"/>
        <v/>
      </c>
      <c r="R328" s="1657" t="str">
        <f t="shared" si="81"/>
        <v/>
      </c>
      <c r="S328" s="1657" t="str">
        <f t="shared" si="66"/>
        <v/>
      </c>
      <c r="T328" s="1655" t="str">
        <f t="shared" si="67"/>
        <v/>
      </c>
      <c r="U328" s="1674" t="str">
        <f t="shared" si="68"/>
        <v/>
      </c>
      <c r="V328" s="665"/>
      <c r="W328" s="665"/>
      <c r="X328" s="665"/>
      <c r="Y328" s="1658"/>
      <c r="Z328" s="662" t="str">
        <f t="shared" si="73"/>
        <v/>
      </c>
      <c r="AA328" s="1658"/>
      <c r="AB328" s="1658"/>
      <c r="AD328" s="1655" t="s">
        <v>1481</v>
      </c>
      <c r="AE328" s="663" t="str">
        <f t="shared" si="83"/>
        <v/>
      </c>
      <c r="AF328" s="1657" t="str">
        <f t="shared" si="77"/>
        <v/>
      </c>
      <c r="AG328" s="1655" t="str">
        <f t="shared" si="78"/>
        <v/>
      </c>
      <c r="AH328" s="1674" t="str">
        <f t="shared" si="79"/>
        <v/>
      </c>
      <c r="AI328" s="662" t="str">
        <f t="shared" si="80"/>
        <v/>
      </c>
    </row>
    <row r="329" spans="1:35" x14ac:dyDescent="0.25">
      <c r="A329" s="1655" t="s">
        <v>1164</v>
      </c>
      <c r="B329" s="1655" t="s">
        <v>595</v>
      </c>
      <c r="C329" s="664"/>
      <c r="D329" s="1655" t="str">
        <f>IF(INC_MKTBedrooms5="","",INC_MKTBedrooms5)</f>
        <v/>
      </c>
      <c r="E329" s="1655" t="str">
        <f>IF(INC_MKTBaths5="","",INC_MKTBaths5)</f>
        <v/>
      </c>
      <c r="F329" s="1655" t="str">
        <f>IF(INC_MKTNumberofUnits5="","",INC_MKTNumberofUnits5)</f>
        <v/>
      </c>
      <c r="G329" s="1674" t="str">
        <f>IF(INC_MKTUnitSize5="","",INC_MKTUnitSize5)</f>
        <v/>
      </c>
      <c r="H329" s="665"/>
      <c r="I329" s="665"/>
      <c r="J329" s="665"/>
      <c r="K329" s="1658"/>
      <c r="L329" s="662" t="str">
        <f>IF(INC_MKTResidentPaidRent5="","",INC_MKTResidentPaidRent5)</f>
        <v/>
      </c>
      <c r="M329" s="1668"/>
      <c r="N329" s="1668"/>
      <c r="P329" s="1655" t="s">
        <v>1480</v>
      </c>
      <c r="Q329" s="663" t="str">
        <f t="shared" si="82"/>
        <v/>
      </c>
      <c r="R329" s="1657" t="str">
        <f t="shared" si="81"/>
        <v/>
      </c>
      <c r="S329" s="1657" t="str">
        <f t="shared" si="66"/>
        <v/>
      </c>
      <c r="T329" s="1655" t="str">
        <f t="shared" si="67"/>
        <v/>
      </c>
      <c r="U329" s="1674" t="str">
        <f t="shared" si="68"/>
        <v/>
      </c>
      <c r="V329" s="665"/>
      <c r="W329" s="665"/>
      <c r="X329" s="665"/>
      <c r="Y329" s="1658"/>
      <c r="Z329" s="662" t="str">
        <f t="shared" si="73"/>
        <v/>
      </c>
      <c r="AA329" s="1658"/>
      <c r="AB329" s="1658"/>
      <c r="AD329" s="1655" t="s">
        <v>1481</v>
      </c>
      <c r="AE329" s="663" t="str">
        <f t="shared" si="83"/>
        <v/>
      </c>
      <c r="AF329" s="1657" t="str">
        <f t="shared" si="77"/>
        <v/>
      </c>
      <c r="AG329" s="1655" t="str">
        <f t="shared" si="78"/>
        <v/>
      </c>
      <c r="AH329" s="1674" t="str">
        <f t="shared" si="79"/>
        <v/>
      </c>
      <c r="AI329" s="662" t="str">
        <f t="shared" si="80"/>
        <v/>
      </c>
    </row>
    <row r="330" spans="1:35" x14ac:dyDescent="0.25">
      <c r="A330" s="1655" t="s">
        <v>1164</v>
      </c>
      <c r="B330" s="1655" t="s">
        <v>595</v>
      </c>
      <c r="C330" s="664"/>
      <c r="D330" s="1655" t="str">
        <f>IF(INC_MKTBedrooms6="","",INC_MKTBedrooms6)</f>
        <v/>
      </c>
      <c r="E330" s="1655" t="str">
        <f>IF(INC_MKTBaths6="","",INC_MKTBaths6)</f>
        <v/>
      </c>
      <c r="F330" s="1655" t="str">
        <f>IF(INC_MKTNumberofUnits6="","",INC_MKTNumberofUnits6)</f>
        <v/>
      </c>
      <c r="G330" s="1674" t="str">
        <f>IF(INC_MKTUnitSize6="","",INC_MKTUnitSize6)</f>
        <v/>
      </c>
      <c r="H330" s="665"/>
      <c r="I330" s="665"/>
      <c r="J330" s="665"/>
      <c r="K330" s="1658"/>
      <c r="L330" s="662" t="str">
        <f>IF(INC_MKTResidentPaidRent6="","",INC_MKTResidentPaidRent6)</f>
        <v/>
      </c>
      <c r="M330" s="1668"/>
      <c r="N330" s="1668"/>
      <c r="P330" s="1655" t="s">
        <v>1480</v>
      </c>
      <c r="Q330" s="663" t="str">
        <f t="shared" si="82"/>
        <v/>
      </c>
      <c r="R330" s="1657" t="str">
        <f t="shared" si="81"/>
        <v/>
      </c>
      <c r="S330" s="1657" t="str">
        <f t="shared" si="66"/>
        <v/>
      </c>
      <c r="T330" s="1655" t="str">
        <f t="shared" si="67"/>
        <v/>
      </c>
      <c r="U330" s="1674" t="str">
        <f t="shared" si="68"/>
        <v/>
      </c>
      <c r="V330" s="665"/>
      <c r="W330" s="665"/>
      <c r="X330" s="665"/>
      <c r="Y330" s="1658"/>
      <c r="Z330" s="662" t="str">
        <f t="shared" si="73"/>
        <v/>
      </c>
      <c r="AA330" s="1658"/>
      <c r="AB330" s="1658"/>
      <c r="AD330" s="1655" t="s">
        <v>1481</v>
      </c>
      <c r="AE330" s="663" t="str">
        <f t="shared" si="83"/>
        <v/>
      </c>
      <c r="AF330" s="1657" t="str">
        <f t="shared" si="77"/>
        <v/>
      </c>
      <c r="AG330" s="1655" t="str">
        <f t="shared" si="78"/>
        <v/>
      </c>
      <c r="AH330" s="1674" t="str">
        <f t="shared" si="79"/>
        <v/>
      </c>
      <c r="AI330" s="662" t="str">
        <f t="shared" si="80"/>
        <v/>
      </c>
    </row>
    <row r="331" spans="1:35" x14ac:dyDescent="0.25">
      <c r="A331" s="1655" t="s">
        <v>1164</v>
      </c>
      <c r="B331" s="1655" t="s">
        <v>595</v>
      </c>
      <c r="C331" s="664"/>
      <c r="D331" s="1655" t="str">
        <f>IF(INC_MKTBedrooms7="","",INC_MKTBedrooms7)</f>
        <v/>
      </c>
      <c r="E331" s="1655" t="str">
        <f>IF(INC_MKTBaths7="","",INC_MKTBaths7)</f>
        <v/>
      </c>
      <c r="F331" s="1655" t="str">
        <f>IF(INC_MKTNumberofUnits7="","",INC_MKTNumberofUnits7)</f>
        <v/>
      </c>
      <c r="G331" s="1674" t="str">
        <f>IF(INC_MKTUnitSize7="","",INC_MKTUnitSize7)</f>
        <v/>
      </c>
      <c r="H331" s="665"/>
      <c r="I331" s="665"/>
      <c r="J331" s="665"/>
      <c r="K331" s="1658"/>
      <c r="L331" s="662" t="str">
        <f>IF(INC_MKTResidentPaidRent7="","",INC_MKTResidentPaidRent7)</f>
        <v/>
      </c>
      <c r="M331" s="1668"/>
      <c r="N331" s="1668"/>
      <c r="P331" s="1655" t="s">
        <v>1480</v>
      </c>
      <c r="Q331" s="663" t="str">
        <f t="shared" si="82"/>
        <v/>
      </c>
      <c r="R331" s="1657" t="str">
        <f t="shared" si="81"/>
        <v/>
      </c>
      <c r="S331" s="1657" t="str">
        <f t="shared" si="66"/>
        <v/>
      </c>
      <c r="T331" s="1655" t="str">
        <f t="shared" si="67"/>
        <v/>
      </c>
      <c r="U331" s="1674" t="str">
        <f t="shared" si="68"/>
        <v/>
      </c>
      <c r="V331" s="665"/>
      <c r="W331" s="665"/>
      <c r="X331" s="665"/>
      <c r="Y331" s="1658"/>
      <c r="Z331" s="662" t="str">
        <f t="shared" si="73"/>
        <v/>
      </c>
      <c r="AA331" s="1658"/>
      <c r="AB331" s="1658"/>
      <c r="AD331" s="1655" t="s">
        <v>1481</v>
      </c>
      <c r="AE331" s="663" t="str">
        <f t="shared" si="83"/>
        <v/>
      </c>
      <c r="AF331" s="1657" t="str">
        <f t="shared" si="77"/>
        <v/>
      </c>
      <c r="AG331" s="1655" t="str">
        <f t="shared" si="78"/>
        <v/>
      </c>
      <c r="AH331" s="1674" t="str">
        <f t="shared" si="79"/>
        <v/>
      </c>
      <c r="AI331" s="662" t="str">
        <f t="shared" si="80"/>
        <v/>
      </c>
    </row>
    <row r="332" spans="1:35" x14ac:dyDescent="0.25">
      <c r="A332" s="1655" t="s">
        <v>1164</v>
      </c>
      <c r="B332" s="1655" t="s">
        <v>595</v>
      </c>
      <c r="C332" s="664"/>
      <c r="D332" s="1655" t="str">
        <f>IF(INC_MKTBedrooms8="","",INC_MKTBedrooms8)</f>
        <v/>
      </c>
      <c r="E332" s="1655" t="str">
        <f>IF(INC_MKTBaths8="","",INC_MKTBaths8)</f>
        <v/>
      </c>
      <c r="F332" s="1655" t="str">
        <f>IF(INC_MKTNumberofUnits8="","",INC_MKTNumberofUnits8)</f>
        <v/>
      </c>
      <c r="G332" s="1674" t="str">
        <f>IF(INC_MKTUnitSize8="","",INC_MKTUnitSize8)</f>
        <v/>
      </c>
      <c r="H332" s="665"/>
      <c r="I332" s="665"/>
      <c r="J332" s="665"/>
      <c r="K332" s="1658"/>
      <c r="L332" s="662" t="str">
        <f>IF(INC_MKTResidentPaidRent8="","",INC_MKTResidentPaidRent8)</f>
        <v/>
      </c>
      <c r="M332" s="1668"/>
      <c r="N332" s="1668"/>
      <c r="P332" s="1655" t="s">
        <v>1480</v>
      </c>
      <c r="Q332" s="663" t="str">
        <f t="shared" si="82"/>
        <v/>
      </c>
      <c r="R332" s="1657" t="str">
        <f t="shared" si="81"/>
        <v/>
      </c>
      <c r="S332" s="1657" t="str">
        <f t="shared" si="66"/>
        <v/>
      </c>
      <c r="T332" s="1655" t="str">
        <f t="shared" si="67"/>
        <v/>
      </c>
      <c r="U332" s="1674" t="str">
        <f t="shared" si="68"/>
        <v/>
      </c>
      <c r="V332" s="665"/>
      <c r="W332" s="665"/>
      <c r="X332" s="665"/>
      <c r="Y332" s="1658"/>
      <c r="Z332" s="662" t="str">
        <f t="shared" si="73"/>
        <v/>
      </c>
      <c r="AA332" s="1658"/>
      <c r="AB332" s="1658"/>
      <c r="AD332" s="1655" t="s">
        <v>1481</v>
      </c>
      <c r="AE332" s="663" t="str">
        <f t="shared" si="83"/>
        <v/>
      </c>
      <c r="AF332" s="1657" t="str">
        <f t="shared" si="77"/>
        <v/>
      </c>
      <c r="AG332" s="1655" t="str">
        <f t="shared" si="78"/>
        <v/>
      </c>
      <c r="AH332" s="1674" t="str">
        <f t="shared" si="79"/>
        <v/>
      </c>
      <c r="AI332" s="662" t="str">
        <f t="shared" si="80"/>
        <v/>
      </c>
    </row>
    <row r="333" spans="1:35" x14ac:dyDescent="0.25">
      <c r="A333" s="1655" t="s">
        <v>1164</v>
      </c>
      <c r="B333" s="1655" t="s">
        <v>595</v>
      </c>
      <c r="C333" s="664"/>
      <c r="D333" s="1655" t="str">
        <f>IF(INC_MKTBedrooms9="","",INC_MKTBedrooms9)</f>
        <v/>
      </c>
      <c r="E333" s="1655" t="str">
        <f>IF(INC_MKTBaths9="","",INC_MKTBaths9)</f>
        <v/>
      </c>
      <c r="F333" s="1655" t="str">
        <f>IF(INC_MKTNumberofUnits9="","",INC_MKTNumberofUnits9)</f>
        <v/>
      </c>
      <c r="G333" s="1674" t="str">
        <f>IF(INC_MKTUnitSize9="","",INC_MKTUnitSize9)</f>
        <v/>
      </c>
      <c r="H333" s="665"/>
      <c r="I333" s="665"/>
      <c r="J333" s="665"/>
      <c r="K333" s="1658"/>
      <c r="L333" s="662" t="str">
        <f>IF(INC_MKTResidentPaidRent9="","",INC_MKTResidentPaidRent9)</f>
        <v/>
      </c>
      <c r="M333" s="1668"/>
      <c r="N333" s="1668"/>
      <c r="P333" s="1655" t="s">
        <v>1480</v>
      </c>
      <c r="Q333" s="663" t="str">
        <f t="shared" si="82"/>
        <v/>
      </c>
      <c r="R333" s="1657" t="str">
        <f t="shared" si="81"/>
        <v/>
      </c>
      <c r="S333" s="1657" t="str">
        <f t="shared" si="66"/>
        <v/>
      </c>
      <c r="T333" s="1655" t="str">
        <f t="shared" si="67"/>
        <v/>
      </c>
      <c r="U333" s="1674" t="str">
        <f t="shared" si="68"/>
        <v/>
      </c>
      <c r="V333" s="665"/>
      <c r="W333" s="665"/>
      <c r="X333" s="665"/>
      <c r="Y333" s="1658"/>
      <c r="Z333" s="662" t="str">
        <f t="shared" si="73"/>
        <v/>
      </c>
      <c r="AA333" s="1658"/>
      <c r="AB333" s="1658"/>
      <c r="AD333" s="1655" t="s">
        <v>1481</v>
      </c>
      <c r="AE333" s="663" t="str">
        <f t="shared" si="83"/>
        <v/>
      </c>
      <c r="AF333" s="1657" t="str">
        <f t="shared" si="77"/>
        <v/>
      </c>
      <c r="AG333" s="1655" t="str">
        <f t="shared" si="78"/>
        <v/>
      </c>
      <c r="AH333" s="1674" t="str">
        <f t="shared" si="79"/>
        <v/>
      </c>
      <c r="AI333" s="662" t="str">
        <f t="shared" si="80"/>
        <v/>
      </c>
    </row>
    <row r="334" spans="1:35" x14ac:dyDescent="0.25">
      <c r="A334" s="1655" t="s">
        <v>1164</v>
      </c>
      <c r="B334" s="1655" t="s">
        <v>595</v>
      </c>
      <c r="C334" s="664"/>
      <c r="D334" s="1655" t="str">
        <f>IF(INC_MKTBedrooms10="","",INC_MKTBedrooms10)</f>
        <v/>
      </c>
      <c r="E334" s="1655" t="str">
        <f>IF(INC_MKTBaths10="","",INC_MKTBaths10)</f>
        <v/>
      </c>
      <c r="F334" s="1655" t="str">
        <f>IF(INC_MKTNumberofUnits10="","",INC_MKTNumberofUnits10)</f>
        <v/>
      </c>
      <c r="G334" s="1674" t="str">
        <f>IF(INC_MKTUnitSize10="","",INC_MKTUnitSize10)</f>
        <v/>
      </c>
      <c r="H334" s="665"/>
      <c r="I334" s="665"/>
      <c r="J334" s="665"/>
      <c r="K334" s="1658"/>
      <c r="L334" s="662" t="str">
        <f>IF(INC_MKTResidentPaidRent10="","",INC_MKTResidentPaidRent10)</f>
        <v/>
      </c>
      <c r="M334" s="1668"/>
      <c r="N334" s="1668"/>
      <c r="P334" s="1655" t="s">
        <v>1480</v>
      </c>
      <c r="Q334" s="663" t="str">
        <f t="shared" si="82"/>
        <v/>
      </c>
      <c r="R334" s="1657" t="str">
        <f t="shared" si="81"/>
        <v/>
      </c>
      <c r="S334" s="1657" t="str">
        <f t="shared" si="66"/>
        <v/>
      </c>
      <c r="T334" s="1655" t="str">
        <f t="shared" si="67"/>
        <v/>
      </c>
      <c r="U334" s="1674" t="str">
        <f t="shared" si="68"/>
        <v/>
      </c>
      <c r="V334" s="665"/>
      <c r="W334" s="665"/>
      <c r="X334" s="665"/>
      <c r="Y334" s="1658"/>
      <c r="Z334" s="662" t="str">
        <f t="shared" si="73"/>
        <v/>
      </c>
      <c r="AA334" s="1658"/>
      <c r="AB334" s="1658"/>
      <c r="AD334" s="1655" t="s">
        <v>1481</v>
      </c>
      <c r="AE334" s="663" t="str">
        <f t="shared" si="83"/>
        <v/>
      </c>
      <c r="AF334" s="1657" t="str">
        <f t="shared" si="77"/>
        <v/>
      </c>
      <c r="AG334" s="1655" t="str">
        <f t="shared" si="78"/>
        <v/>
      </c>
      <c r="AH334" s="1674" t="str">
        <f t="shared" si="79"/>
        <v/>
      </c>
      <c r="AI334" s="662" t="str">
        <f t="shared" si="80"/>
        <v/>
      </c>
    </row>
    <row r="335" spans="1:35" x14ac:dyDescent="0.25">
      <c r="A335" s="1655" t="s">
        <v>1164</v>
      </c>
      <c r="B335" s="1655" t="s">
        <v>595</v>
      </c>
      <c r="C335" s="664"/>
      <c r="D335" s="1655" t="str">
        <f>IF(INC_MKTBedrooms11="","",INC_MKTBedrooms11)</f>
        <v/>
      </c>
      <c r="E335" s="1655" t="str">
        <f>IF(INC_MKTBaths11="","",INC_MKTBaths11)</f>
        <v/>
      </c>
      <c r="F335" s="1655" t="str">
        <f>IF(INC_MKTNumberofUnits11="","",INC_MKTNumberofUnits11)</f>
        <v/>
      </c>
      <c r="G335" s="1674" t="str">
        <f>IF(INC_MKTUnitSize11="","",INC_MKTUnitSize11)</f>
        <v/>
      </c>
      <c r="H335" s="665"/>
      <c r="I335" s="665"/>
      <c r="J335" s="665"/>
      <c r="K335" s="1658"/>
      <c r="L335" s="662" t="str">
        <f>IF(INC_MKTResidentPaidRent11="","",INC_MKTResidentPaidRent11)</f>
        <v/>
      </c>
      <c r="M335" s="1668"/>
      <c r="N335" s="1668"/>
      <c r="P335" s="1655" t="s">
        <v>1480</v>
      </c>
      <c r="Q335" s="663" t="str">
        <f t="shared" si="82"/>
        <v/>
      </c>
      <c r="R335" s="1657" t="str">
        <f t="shared" si="81"/>
        <v/>
      </c>
      <c r="S335" s="1657" t="str">
        <f t="shared" si="66"/>
        <v/>
      </c>
      <c r="T335" s="1655" t="str">
        <f t="shared" si="67"/>
        <v/>
      </c>
      <c r="U335" s="1674" t="str">
        <f t="shared" si="68"/>
        <v/>
      </c>
      <c r="V335" s="665"/>
      <c r="W335" s="665"/>
      <c r="X335" s="665"/>
      <c r="Y335" s="1658"/>
      <c r="Z335" s="662" t="str">
        <f t="shared" si="73"/>
        <v/>
      </c>
      <c r="AA335" s="1658"/>
      <c r="AB335" s="1658"/>
      <c r="AD335" s="1655" t="s">
        <v>1481</v>
      </c>
      <c r="AE335" s="663" t="str">
        <f t="shared" si="83"/>
        <v/>
      </c>
      <c r="AF335" s="1657" t="str">
        <f t="shared" si="77"/>
        <v/>
      </c>
      <c r="AG335" s="1655" t="str">
        <f t="shared" si="78"/>
        <v/>
      </c>
      <c r="AH335" s="1674" t="str">
        <f t="shared" si="79"/>
        <v/>
      </c>
      <c r="AI335" s="662" t="str">
        <f t="shared" si="80"/>
        <v/>
      </c>
    </row>
    <row r="338" spans="1:13" ht="13.8" x14ac:dyDescent="0.25">
      <c r="A338" s="1651" t="s">
        <v>1175</v>
      </c>
      <c r="B338" s="1651" t="s">
        <v>1482</v>
      </c>
      <c r="C338" s="1651"/>
      <c r="D338" s="1651"/>
      <c r="G338" s="1660" t="s">
        <v>1194</v>
      </c>
      <c r="H338" s="1660"/>
      <c r="I338" s="1660"/>
      <c r="J338" s="311"/>
      <c r="K338" s="1653" t="s">
        <v>1196</v>
      </c>
      <c r="L338" s="1653"/>
      <c r="M338" s="1653"/>
    </row>
    <row r="339" spans="1:13" x14ac:dyDescent="0.25">
      <c r="A339" s="1654" t="s">
        <v>1198</v>
      </c>
      <c r="B339" s="1654" t="s">
        <v>1199</v>
      </c>
      <c r="C339" s="1654" t="s">
        <v>1200</v>
      </c>
      <c r="D339" s="1654" t="s">
        <v>1201</v>
      </c>
      <c r="G339" s="1662" t="s">
        <v>1202</v>
      </c>
      <c r="H339" s="1662" t="s">
        <v>1203</v>
      </c>
      <c r="I339" s="1662" t="s">
        <v>1201</v>
      </c>
      <c r="J339" s="311"/>
      <c r="K339" s="1662" t="s">
        <v>1202</v>
      </c>
      <c r="L339" s="1662" t="s">
        <v>1203</v>
      </c>
      <c r="M339" s="1662" t="s">
        <v>1201</v>
      </c>
    </row>
    <row r="340" spans="1:13" x14ac:dyDescent="0.25">
      <c r="A340" s="1655" t="s">
        <v>1164</v>
      </c>
      <c r="B340" s="1655" t="s">
        <v>1483</v>
      </c>
      <c r="C340" s="1655" t="s">
        <v>1484</v>
      </c>
      <c r="D340" s="1655" t="str">
        <f>IF(INC_LIHTCVacancyAllowance="","",INC_LIHTCVacancyAllowance)</f>
        <v/>
      </c>
      <c r="G340" s="1655" t="s">
        <v>1240</v>
      </c>
      <c r="H340" s="1655" t="s">
        <v>1485</v>
      </c>
      <c r="I340" s="666" t="str">
        <f>IF(D340="","",D340)</f>
        <v/>
      </c>
      <c r="K340" s="1659" t="s">
        <v>1209</v>
      </c>
      <c r="L340" s="1659" t="s">
        <v>1486</v>
      </c>
      <c r="M340" s="1659">
        <f>IF(INCOME!N43="","",INCOME!N43)</f>
        <v>0</v>
      </c>
    </row>
    <row r="341" spans="1:13" x14ac:dyDescent="0.25">
      <c r="A341" s="1655" t="s">
        <v>1164</v>
      </c>
      <c r="B341" s="1655" t="s">
        <v>1483</v>
      </c>
      <c r="C341" s="1655" t="s">
        <v>1487</v>
      </c>
      <c r="D341" s="1655" t="str">
        <f>IF(INC_MKTVacancyAllowance="","",INC_MKTVacancyAllowance)</f>
        <v/>
      </c>
      <c r="G341" s="1655" t="s">
        <v>1240</v>
      </c>
      <c r="H341" s="1655" t="s">
        <v>1485</v>
      </c>
      <c r="I341" s="666" t="str">
        <f>IF(D341="","",D341)</f>
        <v/>
      </c>
      <c r="K341" s="1659" t="s">
        <v>1209</v>
      </c>
      <c r="L341" s="1659" t="s">
        <v>1488</v>
      </c>
      <c r="M341" s="1659">
        <f>IF(INCOME!N62+INCOME!N82="","",INCOME!N62+INCOME!N82)</f>
        <v>0</v>
      </c>
    </row>
    <row r="342" spans="1:13" x14ac:dyDescent="0.25">
      <c r="A342" s="1655" t="s">
        <v>1164</v>
      </c>
      <c r="B342" s="1655" t="s">
        <v>1483</v>
      </c>
      <c r="C342" s="1655" t="s">
        <v>1489</v>
      </c>
      <c r="D342" s="1655" t="str">
        <f>IF(INC_VacancyAllowanceNonresidential="","",INC_VacancyAllowanceNonresidential)</f>
        <v/>
      </c>
      <c r="G342" s="1655" t="s">
        <v>1240</v>
      </c>
      <c r="H342" s="1655" t="s">
        <v>1485</v>
      </c>
      <c r="I342" s="666" t="str">
        <f>IF(D342="","",D342)</f>
        <v/>
      </c>
      <c r="K342" s="1659" t="s">
        <v>1209</v>
      </c>
      <c r="L342" s="1659" t="s">
        <v>190</v>
      </c>
      <c r="M342" s="1659">
        <f>IF(GENERAL!H165="","",GENERAL!H165)</f>
        <v>0</v>
      </c>
    </row>
    <row r="343" spans="1:13" x14ac:dyDescent="0.25">
      <c r="A343" s="1655" t="s">
        <v>1164</v>
      </c>
      <c r="B343" s="1655" t="s">
        <v>1483</v>
      </c>
      <c r="C343" s="1655" t="s">
        <v>1490</v>
      </c>
      <c r="D343" s="1655" t="str">
        <f>IF(INC_VacancyAllowanceCommercialIncome="","",INC_VacancyAllowanceCommercialIncome)</f>
        <v/>
      </c>
      <c r="G343" s="1655" t="s">
        <v>1240</v>
      </c>
      <c r="H343" s="1655" t="s">
        <v>1485</v>
      </c>
      <c r="I343" s="666" t="str">
        <f>IF(D343="","",D343)</f>
        <v/>
      </c>
      <c r="K343" s="1659" t="s">
        <v>1209</v>
      </c>
      <c r="L343" s="1659" t="s">
        <v>1491</v>
      </c>
      <c r="M343" s="1659">
        <f>IF(INCOME!F41="","",INCOME!F41)</f>
        <v>0</v>
      </c>
    </row>
    <row r="344" spans="1:13" x14ac:dyDescent="0.25">
      <c r="A344" s="1655" t="s">
        <v>1164</v>
      </c>
      <c r="B344" s="1655" t="s">
        <v>955</v>
      </c>
      <c r="C344" s="1655" t="s">
        <v>1492</v>
      </c>
      <c r="D344" s="1655" t="b">
        <f>IF(INC_HouseholdElectric="Yes",TRUE,FALSE)</f>
        <v>0</v>
      </c>
      <c r="G344" s="1655" t="s">
        <v>1240</v>
      </c>
      <c r="H344" s="1655" t="s">
        <v>1224</v>
      </c>
      <c r="I344" s="1655" t="b">
        <f t="shared" ref="I344:I349" si="84">IF(D344=TRUE,TRUE,FALSE)</f>
        <v>0</v>
      </c>
      <c r="K344" s="1659" t="s">
        <v>1209</v>
      </c>
      <c r="L344" s="1659" t="s">
        <v>1493</v>
      </c>
      <c r="M344" s="1659" t="str">
        <f>IF('TAX CREDIT'!$J$181="","",'TAX CREDIT'!$J$181)</f>
        <v/>
      </c>
    </row>
    <row r="345" spans="1:13" x14ac:dyDescent="0.25">
      <c r="A345" s="1655" t="s">
        <v>1164</v>
      </c>
      <c r="B345" s="1655" t="s">
        <v>955</v>
      </c>
      <c r="C345" s="1655" t="s">
        <v>1494</v>
      </c>
      <c r="D345" s="1655" t="b">
        <f>IF(INC_AirConditioning="Yes",TRUE,FALSE)</f>
        <v>0</v>
      </c>
      <c r="G345" s="1655" t="s">
        <v>1240</v>
      </c>
      <c r="H345" s="1655" t="s">
        <v>1229</v>
      </c>
      <c r="I345" s="1655" t="b">
        <f t="shared" si="84"/>
        <v>0</v>
      </c>
      <c r="K345" s="1659" t="s">
        <v>1240</v>
      </c>
      <c r="L345" s="1659" t="s">
        <v>190</v>
      </c>
      <c r="M345" s="1659">
        <f>IF(GENERAL!H165="","",GENERAL!H165)</f>
        <v>0</v>
      </c>
    </row>
    <row r="346" spans="1:13" x14ac:dyDescent="0.25">
      <c r="A346" s="1655" t="s">
        <v>1164</v>
      </c>
      <c r="B346" s="1655" t="s">
        <v>955</v>
      </c>
      <c r="C346" s="1655" t="s">
        <v>1495</v>
      </c>
      <c r="D346" s="1655" t="b">
        <f>IF(INC_HotWater="Yes",TRUE,FALSE)</f>
        <v>0</v>
      </c>
      <c r="G346" s="1655" t="s">
        <v>1240</v>
      </c>
      <c r="H346" s="1655" t="s">
        <v>1232</v>
      </c>
      <c r="I346" s="1655" t="b">
        <f t="shared" si="84"/>
        <v>0</v>
      </c>
      <c r="K346" s="1659" t="s">
        <v>1240</v>
      </c>
      <c r="L346" s="1659" t="s">
        <v>1491</v>
      </c>
      <c r="M346" s="1659">
        <f>IF(INCOME!F41="","",INCOME!F41)</f>
        <v>0</v>
      </c>
    </row>
    <row r="347" spans="1:13" x14ac:dyDescent="0.25">
      <c r="A347" s="1655" t="s">
        <v>1164</v>
      </c>
      <c r="B347" s="1655" t="s">
        <v>955</v>
      </c>
      <c r="C347" s="1655" t="s">
        <v>1496</v>
      </c>
      <c r="D347" s="1655" t="b">
        <f>IF(INC_Cooking="Yes",TRUE,FALSE)</f>
        <v>0</v>
      </c>
      <c r="G347" s="1655" t="s">
        <v>1240</v>
      </c>
      <c r="H347" s="1655" t="s">
        <v>1233</v>
      </c>
      <c r="I347" s="1655" t="b">
        <f t="shared" si="84"/>
        <v>0</v>
      </c>
      <c r="K347" s="1659" t="s">
        <v>1240</v>
      </c>
      <c r="L347" s="1659" t="s">
        <v>1497</v>
      </c>
      <c r="M347" s="1659">
        <f>IF(INCOME!F59="","",INCOME!F59)</f>
        <v>0</v>
      </c>
    </row>
    <row r="348" spans="1:13" x14ac:dyDescent="0.25">
      <c r="A348" s="1655" t="s">
        <v>1164</v>
      </c>
      <c r="B348" s="1655" t="s">
        <v>955</v>
      </c>
      <c r="C348" s="1655" t="s">
        <v>1498</v>
      </c>
      <c r="D348" s="1655" t="b">
        <f>IF(INC_Heat="Yes",TRUE,FALSE)</f>
        <v>0</v>
      </c>
      <c r="G348" s="1655" t="s">
        <v>1240</v>
      </c>
      <c r="H348" s="1655" t="s">
        <v>1234</v>
      </c>
      <c r="I348" s="1655" t="b">
        <f t="shared" si="84"/>
        <v>0</v>
      </c>
      <c r="K348" s="1659" t="s">
        <v>1240</v>
      </c>
      <c r="L348" s="1659" t="s">
        <v>1499</v>
      </c>
      <c r="M348" s="1659">
        <f>IF(GENERAL!H163="","",GENERAL!H163)</f>
        <v>0</v>
      </c>
    </row>
    <row r="349" spans="1:13" x14ac:dyDescent="0.25">
      <c r="A349" s="1655" t="s">
        <v>1164</v>
      </c>
      <c r="B349" s="1655" t="s">
        <v>955</v>
      </c>
      <c r="C349" s="1655" t="s">
        <v>280</v>
      </c>
      <c r="D349" s="1655" t="b">
        <f>IF(INC_Other="Yes",TRUE,FALSE)</f>
        <v>0</v>
      </c>
      <c r="G349" s="1655" t="s">
        <v>1240</v>
      </c>
      <c r="H349" s="1655" t="s">
        <v>1248</v>
      </c>
      <c r="I349" s="1655" t="b">
        <f t="shared" si="84"/>
        <v>0</v>
      </c>
      <c r="K349" s="1659" t="s">
        <v>1206</v>
      </c>
      <c r="L349" s="1659" t="s">
        <v>965</v>
      </c>
      <c r="M349" s="1659">
        <f>USES!J164</f>
        <v>0</v>
      </c>
    </row>
    <row r="350" spans="1:13" x14ac:dyDescent="0.25">
      <c r="A350" s="1655" t="s">
        <v>1164</v>
      </c>
      <c r="B350" s="1655" t="s">
        <v>955</v>
      </c>
      <c r="C350" s="1655" t="s">
        <v>1500</v>
      </c>
      <c r="D350" s="1655" t="str">
        <f>IF(INC_OtherDescribe="","",INC_OtherDescribe)</f>
        <v/>
      </c>
      <c r="G350" s="1655" t="s">
        <v>1240</v>
      </c>
      <c r="H350" s="1655" t="s">
        <v>1250</v>
      </c>
      <c r="I350" s="1655" t="str">
        <f t="shared" ref="I350:I355" si="85">IF(OR(D350="",D350="Describe"),"",D350)</f>
        <v/>
      </c>
    </row>
    <row r="351" spans="1:13" x14ac:dyDescent="0.25">
      <c r="A351" s="1655" t="s">
        <v>1164</v>
      </c>
      <c r="B351" s="1655" t="s">
        <v>1501</v>
      </c>
      <c r="C351" s="1655" t="s">
        <v>1502</v>
      </c>
      <c r="D351" s="1655" t="str">
        <f>IF(INC_MiscIncome1Describe="","",INC_MiscIncome1Describe)</f>
        <v>Describe</v>
      </c>
      <c r="G351" s="1655" t="s">
        <v>1240</v>
      </c>
      <c r="H351" s="1655" t="s">
        <v>1503</v>
      </c>
      <c r="I351" s="1655" t="str">
        <f t="shared" si="85"/>
        <v/>
      </c>
    </row>
    <row r="352" spans="1:13" x14ac:dyDescent="0.25">
      <c r="A352" s="1655" t="s">
        <v>1164</v>
      </c>
      <c r="B352" s="1655" t="s">
        <v>1501</v>
      </c>
      <c r="C352" s="1655" t="s">
        <v>1504</v>
      </c>
      <c r="D352" s="1655" t="str">
        <f>IF(INC_MiscIncome2Describe="","",INC_MiscIncome2Describe)</f>
        <v>Describe</v>
      </c>
      <c r="G352" s="1655" t="s">
        <v>1240</v>
      </c>
      <c r="H352" s="1655" t="s">
        <v>1503</v>
      </c>
      <c r="I352" s="1655" t="str">
        <f t="shared" si="85"/>
        <v/>
      </c>
    </row>
    <row r="353" spans="1:9" x14ac:dyDescent="0.25">
      <c r="A353" s="1655" t="s">
        <v>1164</v>
      </c>
      <c r="B353" s="1655" t="s">
        <v>1501</v>
      </c>
      <c r="C353" s="1655" t="s">
        <v>1505</v>
      </c>
      <c r="D353" s="1655" t="str">
        <f>IF(INC_Other1Describe="","",INC_Other1Describe)</f>
        <v>Describe</v>
      </c>
      <c r="G353" s="1655" t="s">
        <v>1240</v>
      </c>
      <c r="H353" s="1655" t="s">
        <v>1503</v>
      </c>
      <c r="I353" s="1655" t="str">
        <f t="shared" si="85"/>
        <v/>
      </c>
    </row>
    <row r="354" spans="1:9" x14ac:dyDescent="0.25">
      <c r="A354" s="1655" t="s">
        <v>1164</v>
      </c>
      <c r="B354" s="1655" t="s">
        <v>1501</v>
      </c>
      <c r="C354" s="1655" t="s">
        <v>1506</v>
      </c>
      <c r="D354" s="1655" t="str">
        <f>IF(INC_Other2Describe="","",INC_Other2Describe)</f>
        <v>Describe</v>
      </c>
      <c r="G354" s="1655" t="s">
        <v>1240</v>
      </c>
      <c r="H354" s="1655" t="s">
        <v>1503</v>
      </c>
      <c r="I354" s="1655" t="str">
        <f t="shared" si="85"/>
        <v/>
      </c>
    </row>
    <row r="355" spans="1:9" x14ac:dyDescent="0.25">
      <c r="A355" s="1655" t="s">
        <v>1164</v>
      </c>
      <c r="B355" s="1655" t="s">
        <v>1501</v>
      </c>
      <c r="C355" s="1655" t="s">
        <v>1507</v>
      </c>
      <c r="D355" s="1655" t="str">
        <f>IF(INC_CommercialIncomeDescribe="","",INC_CommercialIncomeDescribe)</f>
        <v>Describe</v>
      </c>
      <c r="G355" s="1655" t="s">
        <v>1240</v>
      </c>
      <c r="H355" s="1655" t="s">
        <v>1503</v>
      </c>
      <c r="I355" s="1655" t="str">
        <f t="shared" si="85"/>
        <v/>
      </c>
    </row>
    <row r="356" spans="1:9" x14ac:dyDescent="0.25">
      <c r="A356" s="1655" t="s">
        <v>1164</v>
      </c>
      <c r="B356" s="1655" t="s">
        <v>1501</v>
      </c>
      <c r="C356" s="1655" t="s">
        <v>1508</v>
      </c>
      <c r="D356" s="1655" t="str">
        <f>IF(INC_MiscIncome1Squarefootage="","",INC_MiscIncome1Squarefootage)</f>
        <v/>
      </c>
      <c r="G356" s="1655" t="s">
        <v>1240</v>
      </c>
      <c r="H356" s="1655" t="s">
        <v>1503</v>
      </c>
      <c r="I356" s="1655" t="str">
        <f t="shared" ref="I356:I365" si="86">IF(D356="","",D356)</f>
        <v/>
      </c>
    </row>
    <row r="357" spans="1:9" x14ac:dyDescent="0.25">
      <c r="A357" s="1655" t="s">
        <v>1164</v>
      </c>
      <c r="B357" s="1655" t="s">
        <v>1501</v>
      </c>
      <c r="C357" s="1655" t="s">
        <v>1509</v>
      </c>
      <c r="D357" s="1655" t="str">
        <f>IF(INC_MiscIncome2Squarefootage="","",INC_MiscIncome2Squarefootage)</f>
        <v/>
      </c>
      <c r="G357" s="1655" t="s">
        <v>1240</v>
      </c>
      <c r="H357" s="1655" t="s">
        <v>1503</v>
      </c>
      <c r="I357" s="1655" t="str">
        <f t="shared" si="86"/>
        <v/>
      </c>
    </row>
    <row r="358" spans="1:9" x14ac:dyDescent="0.25">
      <c r="A358" s="1655" t="s">
        <v>1164</v>
      </c>
      <c r="B358" s="1655" t="s">
        <v>1501</v>
      </c>
      <c r="C358" s="1655" t="s">
        <v>1510</v>
      </c>
      <c r="D358" s="1655" t="str">
        <f>IF(INC_Other1Squarefootage="","",INC_Other1Squarefootage)</f>
        <v/>
      </c>
      <c r="G358" s="1655" t="s">
        <v>1240</v>
      </c>
      <c r="H358" s="1655" t="s">
        <v>1503</v>
      </c>
      <c r="I358" s="1655" t="str">
        <f t="shared" si="86"/>
        <v/>
      </c>
    </row>
    <row r="359" spans="1:9" x14ac:dyDescent="0.25">
      <c r="A359" s="1655" t="s">
        <v>1164</v>
      </c>
      <c r="B359" s="1655" t="s">
        <v>1501</v>
      </c>
      <c r="C359" s="1655" t="s">
        <v>1511</v>
      </c>
      <c r="D359" s="1655" t="str">
        <f>IF(INC_Other2Squarefootage="","",INC_Other2Squarefootage)</f>
        <v/>
      </c>
      <c r="G359" s="1655" t="s">
        <v>1240</v>
      </c>
      <c r="H359" s="1655" t="s">
        <v>1503</v>
      </c>
      <c r="I359" s="1655" t="str">
        <f t="shared" si="86"/>
        <v/>
      </c>
    </row>
    <row r="360" spans="1:9" x14ac:dyDescent="0.25">
      <c r="A360" s="1655" t="s">
        <v>1164</v>
      </c>
      <c r="B360" s="1655" t="s">
        <v>1501</v>
      </c>
      <c r="C360" s="1655" t="s">
        <v>1512</v>
      </c>
      <c r="D360" s="1655" t="str">
        <f>IF(INC_CommercialIncomeSquarefootage="","",INC_CommercialIncomeSquarefootage)</f>
        <v/>
      </c>
      <c r="G360" s="1655" t="s">
        <v>1240</v>
      </c>
      <c r="H360" s="1655" t="s">
        <v>1503</v>
      </c>
      <c r="I360" s="1655" t="str">
        <f t="shared" si="86"/>
        <v/>
      </c>
    </row>
    <row r="361" spans="1:9" x14ac:dyDescent="0.25">
      <c r="A361" s="1655" t="s">
        <v>1164</v>
      </c>
      <c r="B361" s="1655" t="s">
        <v>1501</v>
      </c>
      <c r="C361" s="1655" t="s">
        <v>1513</v>
      </c>
      <c r="D361" s="1655" t="str">
        <f>IF(INC_MiscIncome1MonthlyIncome="","",INC_MiscIncome1MonthlyIncome)</f>
        <v/>
      </c>
      <c r="G361" s="1655" t="s">
        <v>1240</v>
      </c>
      <c r="H361" s="1655" t="s">
        <v>1503</v>
      </c>
      <c r="I361" s="1655" t="str">
        <f t="shared" si="86"/>
        <v/>
      </c>
    </row>
    <row r="362" spans="1:9" x14ac:dyDescent="0.25">
      <c r="A362" s="1655" t="s">
        <v>1164</v>
      </c>
      <c r="B362" s="1655" t="s">
        <v>1501</v>
      </c>
      <c r="C362" s="1655" t="s">
        <v>1514</v>
      </c>
      <c r="D362" s="1655" t="str">
        <f>IF(INC_MiscIncome2MonthlyIncome="","",INC_MiscIncome2MonthlyIncome)</f>
        <v/>
      </c>
      <c r="G362" s="1655" t="s">
        <v>1240</v>
      </c>
      <c r="H362" s="1655" t="s">
        <v>1503</v>
      </c>
      <c r="I362" s="1655" t="str">
        <f t="shared" si="86"/>
        <v/>
      </c>
    </row>
    <row r="363" spans="1:9" x14ac:dyDescent="0.25">
      <c r="A363" s="1655" t="s">
        <v>1164</v>
      </c>
      <c r="B363" s="1655" t="s">
        <v>1501</v>
      </c>
      <c r="C363" s="1655" t="s">
        <v>1515</v>
      </c>
      <c r="D363" s="1655" t="str">
        <f>IF(INC_Other1MonthlyIncome="","",INC_Other1MonthlyIncome)</f>
        <v/>
      </c>
      <c r="G363" s="1655" t="s">
        <v>1240</v>
      </c>
      <c r="H363" s="1655" t="s">
        <v>1503</v>
      </c>
      <c r="I363" s="1655" t="str">
        <f t="shared" si="86"/>
        <v/>
      </c>
    </row>
    <row r="364" spans="1:9" x14ac:dyDescent="0.25">
      <c r="A364" s="1655" t="s">
        <v>1164</v>
      </c>
      <c r="B364" s="1655" t="s">
        <v>1501</v>
      </c>
      <c r="C364" s="1655" t="s">
        <v>1516</v>
      </c>
      <c r="D364" s="1655" t="str">
        <f>IF(INC_Other2MonthlyIncome="","",INC_Other2MonthlyIncome)</f>
        <v/>
      </c>
      <c r="G364" s="1655" t="s">
        <v>1240</v>
      </c>
      <c r="H364" s="1655" t="s">
        <v>1503</v>
      </c>
      <c r="I364" s="1655" t="str">
        <f t="shared" si="86"/>
        <v/>
      </c>
    </row>
    <row r="365" spans="1:9" x14ac:dyDescent="0.25">
      <c r="A365" s="1655" t="s">
        <v>1164</v>
      </c>
      <c r="B365" s="1655" t="s">
        <v>1501</v>
      </c>
      <c r="C365" s="1655" t="s">
        <v>1517</v>
      </c>
      <c r="D365" s="1655" t="str">
        <f>IF(INC_CommercialIncomeMonthlyIncome="","",INC_CommercialIncomeMonthlyIncome)</f>
        <v/>
      </c>
      <c r="G365" s="1655" t="s">
        <v>1240</v>
      </c>
      <c r="H365" s="1655" t="s">
        <v>1503</v>
      </c>
      <c r="I365" s="1655" t="str">
        <f t="shared" si="86"/>
        <v/>
      </c>
    </row>
    <row r="366" spans="1:9" x14ac:dyDescent="0.25">
      <c r="A366" s="1655" t="s">
        <v>1164</v>
      </c>
      <c r="B366" s="1655" t="s">
        <v>1518</v>
      </c>
      <c r="C366" s="1655" t="s">
        <v>1519</v>
      </c>
      <c r="D366" s="1655" t="str">
        <f>IF(INC_NonIncDescription1="","",INC_NonIncDescription1)</f>
        <v>Super Unit</v>
      </c>
      <c r="G366" s="1655" t="s">
        <v>1240</v>
      </c>
      <c r="H366" s="1655" t="s">
        <v>1503</v>
      </c>
      <c r="I366" s="1655" t="str">
        <f>IF(OR(D366="",D366="Describe"),"",D366)</f>
        <v>Super Unit</v>
      </c>
    </row>
    <row r="367" spans="1:9" x14ac:dyDescent="0.25">
      <c r="A367" s="1655" t="s">
        <v>1164</v>
      </c>
      <c r="B367" s="1655" t="s">
        <v>1518</v>
      </c>
      <c r="C367" s="1655" t="s">
        <v>1520</v>
      </c>
      <c r="D367" s="1655" t="str">
        <f>IF(INC_NonIncDescription2="","",INC_NonIncDescription2)</f>
        <v>Describe</v>
      </c>
      <c r="G367" s="1655" t="s">
        <v>1240</v>
      </c>
      <c r="H367" s="1655" t="s">
        <v>1503</v>
      </c>
      <c r="I367" s="1655" t="str">
        <f>IF(OR(D367="",D367="Describe"),"",D367)</f>
        <v/>
      </c>
    </row>
    <row r="368" spans="1:9" x14ac:dyDescent="0.25">
      <c r="A368" s="1655" t="s">
        <v>1164</v>
      </c>
      <c r="B368" s="1655" t="s">
        <v>1518</v>
      </c>
      <c r="C368" s="1655" t="s">
        <v>1521</v>
      </c>
      <c r="D368" s="1655" t="str">
        <f>IF(INC_NonIncDescription3="","",INC_NonIncDescription3)</f>
        <v>Describe</v>
      </c>
      <c r="G368" s="1655" t="s">
        <v>1240</v>
      </c>
      <c r="H368" s="1655" t="s">
        <v>1503</v>
      </c>
      <c r="I368" s="1655" t="str">
        <f>IF(OR(D368="",D368="Describe"),"",D368)</f>
        <v/>
      </c>
    </row>
    <row r="369" spans="1:13" x14ac:dyDescent="0.25">
      <c r="A369" s="1655" t="s">
        <v>1164</v>
      </c>
      <c r="B369" s="1655" t="s">
        <v>1518</v>
      </c>
      <c r="C369" s="1655" t="s">
        <v>1522</v>
      </c>
      <c r="D369" s="1655" t="str">
        <f>IF(INC_NonIncDescription4="","",INC_NonIncDescription4)</f>
        <v>Describe</v>
      </c>
      <c r="G369" s="1655" t="s">
        <v>1240</v>
      </c>
      <c r="H369" s="1655" t="s">
        <v>1503</v>
      </c>
      <c r="I369" s="1655" t="str">
        <f>IF(OR(D369="",D369="Describe"),"",D369)</f>
        <v/>
      </c>
    </row>
    <row r="370" spans="1:13" x14ac:dyDescent="0.25">
      <c r="A370" s="1655" t="s">
        <v>1164</v>
      </c>
      <c r="B370" s="1655" t="s">
        <v>1518</v>
      </c>
      <c r="C370" s="1655" t="s">
        <v>1523</v>
      </c>
      <c r="D370" s="1655" t="str">
        <f>IF(INC_NonIncDescription5="","",INC_NonIncDescription5)</f>
        <v>Describe</v>
      </c>
      <c r="G370" s="1655" t="s">
        <v>1240</v>
      </c>
      <c r="H370" s="1655" t="s">
        <v>1503</v>
      </c>
      <c r="I370" s="1655" t="str">
        <f>IF(OR(D370="",D370="Describe"),"",D370)</f>
        <v/>
      </c>
    </row>
    <row r="371" spans="1:13" x14ac:dyDescent="0.25">
      <c r="A371" s="1655" t="s">
        <v>1164</v>
      </c>
      <c r="B371" s="1655" t="s">
        <v>1518</v>
      </c>
      <c r="C371" s="1655" t="s">
        <v>1524</v>
      </c>
      <c r="D371" s="1655" t="str">
        <f>IF(INC_NonIncNumberofUnits1="","",INC_NonIncNumberofUnits1)</f>
        <v/>
      </c>
      <c r="G371" s="1655" t="s">
        <v>1240</v>
      </c>
      <c r="H371" s="1655" t="s">
        <v>1503</v>
      </c>
      <c r="I371" s="1655" t="str">
        <f t="shared" ref="I371:I380" si="87">IF(D371="","",D371)</f>
        <v/>
      </c>
    </row>
    <row r="372" spans="1:13" x14ac:dyDescent="0.25">
      <c r="A372" s="1655" t="s">
        <v>1164</v>
      </c>
      <c r="B372" s="1655" t="s">
        <v>1518</v>
      </c>
      <c r="C372" s="1655" t="s">
        <v>1525</v>
      </c>
      <c r="D372" s="1655" t="str">
        <f>IF(INC_NonIncNumberofUnits2="","",INC_NonIncNumberofUnits2)</f>
        <v/>
      </c>
      <c r="G372" s="1655" t="s">
        <v>1240</v>
      </c>
      <c r="H372" s="1655" t="s">
        <v>1503</v>
      </c>
      <c r="I372" s="1655" t="str">
        <f t="shared" si="87"/>
        <v/>
      </c>
    </row>
    <row r="373" spans="1:13" x14ac:dyDescent="0.25">
      <c r="A373" s="1655" t="s">
        <v>1164</v>
      </c>
      <c r="B373" s="1655" t="s">
        <v>1518</v>
      </c>
      <c r="C373" s="1655" t="s">
        <v>1526</v>
      </c>
      <c r="D373" s="1655" t="str">
        <f>IF(INC_NonIncNumberofUnits3="","",INC_NonIncNumberofUnits3)</f>
        <v/>
      </c>
      <c r="G373" s="1655" t="s">
        <v>1240</v>
      </c>
      <c r="H373" s="1655" t="s">
        <v>1503</v>
      </c>
      <c r="I373" s="1655" t="str">
        <f t="shared" si="87"/>
        <v/>
      </c>
    </row>
    <row r="374" spans="1:13" x14ac:dyDescent="0.25">
      <c r="A374" s="1655" t="s">
        <v>1164</v>
      </c>
      <c r="B374" s="1655" t="s">
        <v>1518</v>
      </c>
      <c r="C374" s="1655" t="s">
        <v>1527</v>
      </c>
      <c r="D374" s="1655" t="str">
        <f>IF(INC_NonIncNumberofUnits4="","",INC_NonIncNumberofUnits4)</f>
        <v/>
      </c>
      <c r="G374" s="1655" t="s">
        <v>1240</v>
      </c>
      <c r="H374" s="1655" t="s">
        <v>1503</v>
      </c>
      <c r="I374" s="1655" t="str">
        <f t="shared" si="87"/>
        <v/>
      </c>
    </row>
    <row r="375" spans="1:13" x14ac:dyDescent="0.25">
      <c r="A375" s="1655" t="s">
        <v>1164</v>
      </c>
      <c r="B375" s="1655" t="s">
        <v>1518</v>
      </c>
      <c r="C375" s="1655" t="s">
        <v>1528</v>
      </c>
      <c r="D375" s="1655" t="str">
        <f>IF(INC_NonIncNumberofUnits5="","",INC_NonIncNumberofUnits5)</f>
        <v/>
      </c>
      <c r="G375" s="1655" t="s">
        <v>1240</v>
      </c>
      <c r="H375" s="1655" t="s">
        <v>1503</v>
      </c>
      <c r="I375" s="1655" t="str">
        <f t="shared" si="87"/>
        <v/>
      </c>
    </row>
    <row r="376" spans="1:13" x14ac:dyDescent="0.25">
      <c r="A376" s="1655" t="s">
        <v>1164</v>
      </c>
      <c r="B376" s="1655" t="s">
        <v>1518</v>
      </c>
      <c r="C376" s="1655" t="s">
        <v>1529</v>
      </c>
      <c r="D376" s="1655" t="str">
        <f>IF(INC_NonIncSquareFootage1="","",INC_NonIncSquareFootage1)</f>
        <v/>
      </c>
      <c r="G376" s="1655" t="s">
        <v>1240</v>
      </c>
      <c r="H376" s="1655" t="s">
        <v>1503</v>
      </c>
      <c r="I376" s="1655" t="str">
        <f t="shared" si="87"/>
        <v/>
      </c>
    </row>
    <row r="377" spans="1:13" x14ac:dyDescent="0.25">
      <c r="A377" s="1655" t="s">
        <v>1164</v>
      </c>
      <c r="B377" s="1655" t="s">
        <v>1518</v>
      </c>
      <c r="C377" s="1655" t="s">
        <v>1530</v>
      </c>
      <c r="D377" s="1655" t="str">
        <f>IF(INC_NonIncSquareFootage2="","",INC_NonIncSquareFootage2)</f>
        <v/>
      </c>
      <c r="G377" s="1655" t="s">
        <v>1240</v>
      </c>
      <c r="H377" s="1655" t="s">
        <v>1503</v>
      </c>
      <c r="I377" s="1655" t="str">
        <f t="shared" si="87"/>
        <v/>
      </c>
    </row>
    <row r="378" spans="1:13" x14ac:dyDescent="0.25">
      <c r="A378" s="1655" t="s">
        <v>1164</v>
      </c>
      <c r="B378" s="1655" t="s">
        <v>1518</v>
      </c>
      <c r="C378" s="1655" t="s">
        <v>1531</v>
      </c>
      <c r="D378" s="1655" t="str">
        <f>IF(INC_NonIncSquareFootage3="","",INC_NonIncSquareFootage3)</f>
        <v/>
      </c>
      <c r="G378" s="1655" t="s">
        <v>1240</v>
      </c>
      <c r="H378" s="1655" t="s">
        <v>1503</v>
      </c>
      <c r="I378" s="1655" t="str">
        <f t="shared" si="87"/>
        <v/>
      </c>
    </row>
    <row r="379" spans="1:13" x14ac:dyDescent="0.25">
      <c r="A379" s="1655" t="s">
        <v>1164</v>
      </c>
      <c r="B379" s="1655" t="s">
        <v>1518</v>
      </c>
      <c r="C379" s="1655" t="s">
        <v>1532</v>
      </c>
      <c r="D379" s="1655" t="str">
        <f>IF(INC_NonIncSquareFootage4="","",INC_NonIncSquareFootage4)</f>
        <v/>
      </c>
      <c r="G379" s="1655" t="s">
        <v>1240</v>
      </c>
      <c r="H379" s="1655" t="s">
        <v>1503</v>
      </c>
      <c r="I379" s="1655" t="str">
        <f t="shared" si="87"/>
        <v/>
      </c>
    </row>
    <row r="380" spans="1:13" x14ac:dyDescent="0.25">
      <c r="A380" s="1655" t="s">
        <v>1164</v>
      </c>
      <c r="B380" s="1655" t="s">
        <v>1518</v>
      </c>
      <c r="C380" s="1655" t="s">
        <v>1533</v>
      </c>
      <c r="D380" s="1655" t="str">
        <f>IF(INC_NonIncSquareFootage5="","",INC_NonIncSquareFootage5)</f>
        <v/>
      </c>
      <c r="G380" s="1655" t="s">
        <v>1240</v>
      </c>
      <c r="H380" s="1655" t="s">
        <v>1503</v>
      </c>
      <c r="I380" s="1655" t="str">
        <f t="shared" si="87"/>
        <v/>
      </c>
    </row>
    <row r="383" spans="1:13" ht="13.8" x14ac:dyDescent="0.25">
      <c r="A383" s="1651" t="s">
        <v>1187</v>
      </c>
      <c r="B383" s="1651" t="s">
        <v>991</v>
      </c>
      <c r="C383" s="1651"/>
      <c r="D383" s="1651"/>
      <c r="G383" s="1661" t="s">
        <v>1195</v>
      </c>
      <c r="H383" s="1661"/>
      <c r="I383" s="1661"/>
      <c r="K383" s="1661" t="s">
        <v>1534</v>
      </c>
      <c r="L383" s="1661"/>
      <c r="M383" s="1661"/>
    </row>
    <row r="384" spans="1:13" x14ac:dyDescent="0.25">
      <c r="A384" s="1654" t="s">
        <v>1198</v>
      </c>
      <c r="B384" s="1654" t="s">
        <v>1199</v>
      </c>
      <c r="C384" s="1654" t="s">
        <v>1200</v>
      </c>
      <c r="D384" s="1654" t="s">
        <v>1201</v>
      </c>
      <c r="G384" s="1662" t="s">
        <v>1202</v>
      </c>
      <c r="H384" s="1662" t="s">
        <v>1203</v>
      </c>
      <c r="I384" s="1662" t="s">
        <v>1201</v>
      </c>
      <c r="K384" s="1662" t="s">
        <v>1202</v>
      </c>
      <c r="L384" s="1662" t="s">
        <v>1200</v>
      </c>
      <c r="M384" s="1662" t="s">
        <v>1535</v>
      </c>
    </row>
    <row r="385" spans="1:13" x14ac:dyDescent="0.25">
      <c r="A385" s="1655" t="s">
        <v>1536</v>
      </c>
      <c r="B385" s="1655" t="s">
        <v>1537</v>
      </c>
      <c r="C385" s="1655" t="s">
        <v>623</v>
      </c>
      <c r="D385" s="1674" t="str">
        <f>IF(EXP_AdminAdvertisingandMarketing="","",EXP_AdminAdvertisingandMarketing)</f>
        <v/>
      </c>
      <c r="G385" s="1655" t="s">
        <v>1209</v>
      </c>
      <c r="H385" s="1655" t="s">
        <v>1538</v>
      </c>
      <c r="I385" s="1674" t="str">
        <f>IF(D385="","",D385)</f>
        <v/>
      </c>
      <c r="K385" s="1668"/>
      <c r="L385" s="1668"/>
      <c r="M385" s="1668"/>
    </row>
    <row r="386" spans="1:13" x14ac:dyDescent="0.25">
      <c r="A386" s="1655" t="s">
        <v>1536</v>
      </c>
      <c r="B386" s="1655" t="s">
        <v>1537</v>
      </c>
      <c r="C386" s="1655" t="s">
        <v>624</v>
      </c>
      <c r="D386" s="1674" t="str">
        <f>IF(EXP_AdminOfficeSalaries="","",EXP_AdminOfficeSalaries)</f>
        <v/>
      </c>
      <c r="G386" s="1655" t="s">
        <v>1209</v>
      </c>
      <c r="H386" s="1655" t="s">
        <v>1539</v>
      </c>
      <c r="I386" s="1674" t="str">
        <f>IF(D386="","",D386)</f>
        <v/>
      </c>
      <c r="K386" s="1668"/>
      <c r="L386" s="1668"/>
      <c r="M386" s="1668"/>
    </row>
    <row r="387" spans="1:13" x14ac:dyDescent="0.25">
      <c r="A387" s="1655" t="s">
        <v>1536</v>
      </c>
      <c r="B387" s="1655" t="s">
        <v>1537</v>
      </c>
      <c r="C387" s="1655" t="s">
        <v>625</v>
      </c>
      <c r="D387" s="1674" t="str">
        <f>IF(EXP_AdminOfficeSupplies="","",EXP_AdminOfficeSupplies)</f>
        <v/>
      </c>
      <c r="G387" s="1655" t="s">
        <v>1209</v>
      </c>
      <c r="H387" s="1655" t="s">
        <v>1540</v>
      </c>
      <c r="I387" s="1674" t="str">
        <f>IF(D387="","",D387)</f>
        <v/>
      </c>
      <c r="K387" s="1668"/>
      <c r="L387" s="1668"/>
      <c r="M387" s="1668"/>
    </row>
    <row r="388" spans="1:13" x14ac:dyDescent="0.25">
      <c r="A388" s="1655" t="s">
        <v>1536</v>
      </c>
      <c r="B388" s="1655" t="s">
        <v>1537</v>
      </c>
      <c r="C388" s="1655" t="s">
        <v>626</v>
      </c>
      <c r="D388" s="1674" t="str">
        <f>IF(EXP_AdminOfficeModelApartment="","",EXP_AdminOfficeModelApartment)</f>
        <v/>
      </c>
      <c r="G388" s="1655" t="s">
        <v>1209</v>
      </c>
      <c r="H388" s="1655" t="s">
        <v>1541</v>
      </c>
      <c r="I388" s="1674" t="str">
        <f>IF(D388="","",D388)</f>
        <v/>
      </c>
      <c r="K388" s="1668"/>
      <c r="L388" s="1668"/>
      <c r="M388" s="1668"/>
    </row>
    <row r="389" spans="1:13" x14ac:dyDescent="0.25">
      <c r="A389" s="1655" t="s">
        <v>1536</v>
      </c>
      <c r="B389" s="1655" t="s">
        <v>1537</v>
      </c>
      <c r="C389" s="1655" t="s">
        <v>627</v>
      </c>
      <c r="D389" s="1674" t="str">
        <f>IF(EXP_AdminManagementFee="","",EXP_AdminManagementFee)</f>
        <v/>
      </c>
      <c r="G389" s="1655" t="s">
        <v>1209</v>
      </c>
      <c r="H389" s="1655" t="s">
        <v>1542</v>
      </c>
      <c r="I389" s="1674" t="str">
        <f>IF(D389="","",D389)</f>
        <v/>
      </c>
      <c r="K389" s="1668"/>
      <c r="L389" s="1668"/>
      <c r="M389" s="1668"/>
    </row>
    <row r="390" spans="1:13" x14ac:dyDescent="0.25">
      <c r="A390" s="1655" t="s">
        <v>1536</v>
      </c>
      <c r="B390" s="1655" t="s">
        <v>1537</v>
      </c>
      <c r="C390" s="1655" t="s">
        <v>1543</v>
      </c>
      <c r="D390" s="667" t="str">
        <f>IF(EXP_AdminManagementFeeAnnualRate="","",EXP_AdminManagementFeeAnnualRate)</f>
        <v/>
      </c>
      <c r="G390" s="1658"/>
      <c r="H390" s="1658"/>
      <c r="I390" s="668"/>
      <c r="K390" s="1659" t="s">
        <v>1209</v>
      </c>
      <c r="L390" s="1659" t="str">
        <f>C390</f>
        <v>Management Fee Annual Rate %</v>
      </c>
      <c r="M390" s="667" t="str">
        <f>IF(D390="","",D390)</f>
        <v/>
      </c>
    </row>
    <row r="391" spans="1:13" x14ac:dyDescent="0.25">
      <c r="A391" s="1655" t="s">
        <v>1536</v>
      </c>
      <c r="B391" s="1655" t="s">
        <v>1537</v>
      </c>
      <c r="C391" s="1655" t="s">
        <v>630</v>
      </c>
      <c r="D391" s="1674" t="str">
        <f>IF(EXP_AdminManagerUnit="","",EXP_AdminManagerUnit)</f>
        <v/>
      </c>
      <c r="G391" s="1655" t="s">
        <v>1209</v>
      </c>
      <c r="H391" s="1655" t="s">
        <v>1544</v>
      </c>
      <c r="I391" s="1674" t="str">
        <f>IF(D391="","",D391)</f>
        <v/>
      </c>
      <c r="K391" s="1668"/>
      <c r="L391" s="1668"/>
      <c r="M391" s="1668"/>
    </row>
    <row r="392" spans="1:13" x14ac:dyDescent="0.25">
      <c r="A392" s="1655" t="s">
        <v>1536</v>
      </c>
      <c r="B392" s="1655" t="s">
        <v>1537</v>
      </c>
      <c r="C392" s="1655" t="s">
        <v>1545</v>
      </c>
      <c r="D392" s="1674" t="str">
        <f>IF(EXP_AdminLegalExpenses="","",EXP_AdminLegalExpenses)</f>
        <v/>
      </c>
      <c r="G392" s="1655" t="s">
        <v>1209</v>
      </c>
      <c r="H392" s="1655" t="s">
        <v>1546</v>
      </c>
      <c r="I392" s="1674" t="str">
        <f>IF(D392="","",D392)</f>
        <v/>
      </c>
      <c r="K392" s="1668"/>
      <c r="L392" s="1668"/>
      <c r="M392" s="1668"/>
    </row>
    <row r="393" spans="1:13" x14ac:dyDescent="0.25">
      <c r="A393" s="1655" t="s">
        <v>1536</v>
      </c>
      <c r="B393" s="1655" t="s">
        <v>1537</v>
      </c>
      <c r="C393" s="1655" t="s">
        <v>1547</v>
      </c>
      <c r="D393" s="1674" t="str">
        <f>IF(EXP_AdminAuditingExpenses="","",EXP_AdminAuditingExpenses)</f>
        <v/>
      </c>
      <c r="G393" s="1655" t="s">
        <v>1209</v>
      </c>
      <c r="H393" s="1655" t="s">
        <v>1548</v>
      </c>
      <c r="I393" s="1674" t="str">
        <f>IF(D393="","",D393)</f>
        <v/>
      </c>
      <c r="K393" s="1668"/>
      <c r="L393" s="1668"/>
      <c r="M393" s="1668"/>
    </row>
    <row r="394" spans="1:13" x14ac:dyDescent="0.25">
      <c r="A394" s="1655" t="s">
        <v>1536</v>
      </c>
      <c r="B394" s="1655" t="s">
        <v>1537</v>
      </c>
      <c r="C394" s="1655" t="s">
        <v>633</v>
      </c>
      <c r="D394" s="1674" t="str">
        <f>IF(EXP_AdminBookkeepingFees="","",EXP_AdminBookkeepingFees)</f>
        <v/>
      </c>
      <c r="G394" s="1655" t="s">
        <v>1209</v>
      </c>
      <c r="H394" s="1655" t="s">
        <v>1549</v>
      </c>
      <c r="I394" s="1674" t="str">
        <f>IF(D394="","",D394)</f>
        <v/>
      </c>
      <c r="K394" s="1668"/>
      <c r="L394" s="1668"/>
      <c r="M394" s="1668"/>
    </row>
    <row r="395" spans="1:13" x14ac:dyDescent="0.25">
      <c r="A395" s="1655" t="s">
        <v>1536</v>
      </c>
      <c r="B395" s="1655" t="s">
        <v>1537</v>
      </c>
      <c r="C395" s="1655" t="s">
        <v>634</v>
      </c>
      <c r="D395" s="1674" t="str">
        <f>IF(EXP_AdminTelephone="","",EXP_AdminTelephone)</f>
        <v/>
      </c>
      <c r="G395" s="1655" t="s">
        <v>1209</v>
      </c>
      <c r="H395" s="1655" t="s">
        <v>1550</v>
      </c>
      <c r="I395" s="1674" t="str">
        <f>IF(D395="","",D395)</f>
        <v/>
      </c>
      <c r="K395" s="1668"/>
      <c r="L395" s="1668"/>
      <c r="M395" s="1668"/>
    </row>
    <row r="396" spans="1:13" x14ac:dyDescent="0.25">
      <c r="A396" s="1655" t="s">
        <v>1536</v>
      </c>
      <c r="B396" s="1655" t="s">
        <v>1537</v>
      </c>
      <c r="C396" s="1655" t="s">
        <v>635</v>
      </c>
      <c r="D396" s="1674" t="str">
        <f>IF(EXP_AdminBadDebts="","",EXP_AdminBadDebts)</f>
        <v/>
      </c>
      <c r="G396" s="1658"/>
      <c r="H396" s="1658" t="s">
        <v>1551</v>
      </c>
      <c r="I396" s="1677"/>
      <c r="K396" s="1659" t="s">
        <v>1209</v>
      </c>
      <c r="L396" s="1659" t="str">
        <f t="shared" ref="L396:L402" si="88">C396</f>
        <v>Bad Debts</v>
      </c>
      <c r="M396" s="1659" t="str">
        <f>IF(D396="","",D396)</f>
        <v/>
      </c>
    </row>
    <row r="397" spans="1:13" x14ac:dyDescent="0.25">
      <c r="A397" s="1655" t="s">
        <v>1536</v>
      </c>
      <c r="B397" s="1655" t="s">
        <v>1537</v>
      </c>
      <c r="C397" s="1655" t="s">
        <v>636</v>
      </c>
      <c r="D397" s="1674" t="str">
        <f>IF(EXP_AdminMiscExpense1="","",EXP_AdminMiscExpense1)</f>
        <v/>
      </c>
      <c r="G397" s="1658"/>
      <c r="H397" s="1658" t="s">
        <v>1551</v>
      </c>
      <c r="I397" s="1677"/>
      <c r="K397" s="1659" t="s">
        <v>1209</v>
      </c>
      <c r="L397" s="1659" t="str">
        <f t="shared" si="88"/>
        <v>Miscellaneous Administrative Expenses 1</v>
      </c>
      <c r="M397" s="1659" t="str">
        <f>IF(D397="","",D397)</f>
        <v/>
      </c>
    </row>
    <row r="398" spans="1:13" x14ac:dyDescent="0.25">
      <c r="A398" s="1655" t="s">
        <v>1536</v>
      </c>
      <c r="B398" s="1655" t="s">
        <v>1537</v>
      </c>
      <c r="C398" s="1655" t="s">
        <v>1552</v>
      </c>
      <c r="D398" s="1674" t="str">
        <f>IF(EXP_AdminMiscExpense1Describe="","",EXP_AdminMiscExpense1Describe)</f>
        <v xml:space="preserve">Describe </v>
      </c>
      <c r="G398" s="1658"/>
      <c r="H398" s="1658"/>
      <c r="I398" s="1677"/>
      <c r="K398" s="1659" t="s">
        <v>1209</v>
      </c>
      <c r="L398" s="1659" t="str">
        <f t="shared" si="88"/>
        <v>Miscellaneous Administrative Expenses 1 Describe</v>
      </c>
      <c r="M398" s="1659" t="str">
        <f>IF(OR(D398="",D398="Describe"),"",D398)</f>
        <v xml:space="preserve">Describe </v>
      </c>
    </row>
    <row r="399" spans="1:13" x14ac:dyDescent="0.25">
      <c r="A399" s="1655" t="s">
        <v>1536</v>
      </c>
      <c r="B399" s="1655" t="s">
        <v>1537</v>
      </c>
      <c r="C399" s="1655" t="s">
        <v>637</v>
      </c>
      <c r="D399" s="1674" t="str">
        <f>IF(EXP_AdminMiscExpense2="","",EXP_AdminMiscExpense2)</f>
        <v/>
      </c>
      <c r="G399" s="1655" t="s">
        <v>1209</v>
      </c>
      <c r="H399" s="1655" t="s">
        <v>1553</v>
      </c>
      <c r="I399" s="1674" t="str">
        <f>IF(IF(D399="",0,D399)+IF(D397="",0,D397)+IF(D396="",0,D396)+IF(D401="",0,D401)=0,"",IF(D399="",0,D399)+IF(D397="",0,D397)+IF(D396="",0,D396)+IF(D401="",0,D401))</f>
        <v/>
      </c>
      <c r="K399" s="1659" t="s">
        <v>1209</v>
      </c>
      <c r="L399" s="1659" t="str">
        <f t="shared" si="88"/>
        <v>Miscellaneous Administrative Expenses 2</v>
      </c>
      <c r="M399" s="1659" t="str">
        <f>IF(D399="","",D399)</f>
        <v/>
      </c>
    </row>
    <row r="400" spans="1:13" x14ac:dyDescent="0.25">
      <c r="A400" s="1655" t="s">
        <v>1536</v>
      </c>
      <c r="B400" s="1655" t="s">
        <v>1537</v>
      </c>
      <c r="C400" s="1655" t="s">
        <v>1554</v>
      </c>
      <c r="D400" s="1674" t="str">
        <f>IF(EXP_AdminMiscExpense2Describe="","",EXP_AdminMiscExpense2Describe)</f>
        <v>Describe</v>
      </c>
      <c r="G400" s="1658"/>
      <c r="H400" s="1658"/>
      <c r="I400" s="1677"/>
      <c r="K400" s="1659" t="s">
        <v>1209</v>
      </c>
      <c r="L400" s="1659" t="str">
        <f t="shared" si="88"/>
        <v>Miscellaneous Administrative Expenses 2 Describe</v>
      </c>
      <c r="M400" s="1659" t="str">
        <f>IF(OR(D400="",D400="Describe"),"",D400)</f>
        <v/>
      </c>
    </row>
    <row r="401" spans="1:13" x14ac:dyDescent="0.25">
      <c r="A401" s="1655" t="s">
        <v>1536</v>
      </c>
      <c r="B401" s="1655" t="s">
        <v>1537</v>
      </c>
      <c r="C401" s="1655" t="s">
        <v>638</v>
      </c>
      <c r="D401" s="1674" t="str">
        <f>IF(EXP_AdminMiscExpense3="","",EXP_AdminMiscExpense3)</f>
        <v/>
      </c>
      <c r="G401" s="1658"/>
      <c r="H401" s="1658" t="s">
        <v>1551</v>
      </c>
      <c r="I401" s="1677"/>
      <c r="K401" s="1659" t="s">
        <v>1209</v>
      </c>
      <c r="L401" s="1659" t="str">
        <f t="shared" si="88"/>
        <v>Miscellaneous Administrative Expenses 3</v>
      </c>
      <c r="M401" s="1659" t="str">
        <f>IF(D401="","",D401)</f>
        <v/>
      </c>
    </row>
    <row r="402" spans="1:13" x14ac:dyDescent="0.25">
      <c r="A402" s="1655" t="s">
        <v>1536</v>
      </c>
      <c r="B402" s="1655" t="s">
        <v>1537</v>
      </c>
      <c r="C402" s="1655" t="s">
        <v>1555</v>
      </c>
      <c r="D402" s="1674" t="str">
        <f>IF(EXP_AdminMiscExpense3Describe="","",EXP_AdminMiscExpense3Describe)</f>
        <v>Describe</v>
      </c>
      <c r="G402" s="1658"/>
      <c r="H402" s="1658"/>
      <c r="I402" s="1677"/>
      <c r="K402" s="1659" t="s">
        <v>1209</v>
      </c>
      <c r="L402" s="1659" t="str">
        <f t="shared" si="88"/>
        <v>Miscellaneous Administrative Expenses 3 Describe</v>
      </c>
      <c r="M402" s="1659" t="str">
        <f>IF(OR(D402="",D402="Describe"),"",D402)</f>
        <v/>
      </c>
    </row>
    <row r="403" spans="1:13" x14ac:dyDescent="0.25">
      <c r="A403" s="1655" t="s">
        <v>1536</v>
      </c>
      <c r="B403" s="1655" t="s">
        <v>1537</v>
      </c>
      <c r="C403" s="1655" t="s">
        <v>1556</v>
      </c>
      <c r="D403" s="1674" t="str">
        <f>IF(EXP_AdminAnnualTCMonitoringFee="","",EXP_AdminAnnualTCMonitoringFee)</f>
        <v/>
      </c>
      <c r="G403" s="1655" t="s">
        <v>1209</v>
      </c>
      <c r="H403" s="1655" t="s">
        <v>1557</v>
      </c>
      <c r="I403" s="1674" t="str">
        <f t="shared" ref="I403:I411" si="89">IF(D403="","",D403)</f>
        <v/>
      </c>
      <c r="K403" s="1668"/>
      <c r="L403" s="1668"/>
      <c r="M403" s="1668"/>
    </row>
    <row r="404" spans="1:13" x14ac:dyDescent="0.25">
      <c r="A404" s="1655" t="s">
        <v>1536</v>
      </c>
      <c r="B404" s="1655" t="s">
        <v>1558</v>
      </c>
      <c r="C404" s="1655" t="s">
        <v>640</v>
      </c>
      <c r="D404" s="1674" t="str">
        <f>IF(EXP_UTILFuelOil="","",EXP_UTILFuelOil)</f>
        <v/>
      </c>
      <c r="G404" s="1655" t="s">
        <v>1209</v>
      </c>
      <c r="H404" s="1655" t="s">
        <v>1559</v>
      </c>
      <c r="I404" s="1674" t="str">
        <f t="shared" si="89"/>
        <v/>
      </c>
      <c r="K404" s="1668"/>
      <c r="L404" s="1668"/>
      <c r="M404" s="1668"/>
    </row>
    <row r="405" spans="1:13" x14ac:dyDescent="0.25">
      <c r="A405" s="1655" t="s">
        <v>1536</v>
      </c>
      <c r="B405" s="1655" t="s">
        <v>1558</v>
      </c>
      <c r="C405" s="1655" t="s">
        <v>641</v>
      </c>
      <c r="D405" s="1674" t="str">
        <f>IF(EXP_UTILElectricity="","",EXP_UTILElectricity)</f>
        <v/>
      </c>
      <c r="G405" s="1655" t="s">
        <v>1209</v>
      </c>
      <c r="H405" s="1655" t="s">
        <v>1560</v>
      </c>
      <c r="I405" s="1674" t="str">
        <f t="shared" si="89"/>
        <v/>
      </c>
      <c r="K405" s="1668"/>
      <c r="L405" s="1668"/>
      <c r="M405" s="1668"/>
    </row>
    <row r="406" spans="1:13" x14ac:dyDescent="0.25">
      <c r="A406" s="1655" t="s">
        <v>1536</v>
      </c>
      <c r="B406" s="1655" t="s">
        <v>1558</v>
      </c>
      <c r="C406" s="1655" t="s">
        <v>642</v>
      </c>
      <c r="D406" s="1674" t="str">
        <f>IF(EXP_UTILGas="","",EXP_UTILGas)</f>
        <v/>
      </c>
      <c r="G406" s="1655" t="s">
        <v>1209</v>
      </c>
      <c r="H406" s="1655" t="s">
        <v>1561</v>
      </c>
      <c r="I406" s="1674" t="str">
        <f t="shared" si="89"/>
        <v/>
      </c>
      <c r="K406" s="1668"/>
      <c r="L406" s="1668"/>
      <c r="M406" s="1668"/>
    </row>
    <row r="407" spans="1:13" x14ac:dyDescent="0.25">
      <c r="A407" s="1655" t="s">
        <v>1536</v>
      </c>
      <c r="B407" s="1655" t="s">
        <v>1558</v>
      </c>
      <c r="C407" s="1655" t="s">
        <v>643</v>
      </c>
      <c r="D407" s="1674" t="str">
        <f>IF(EXP_UTILWater="","",EXP_UTILWater)</f>
        <v/>
      </c>
      <c r="G407" s="1655" t="s">
        <v>1209</v>
      </c>
      <c r="H407" s="1655" t="s">
        <v>1562</v>
      </c>
      <c r="I407" s="1674" t="str">
        <f t="shared" si="89"/>
        <v/>
      </c>
      <c r="K407" s="1668"/>
      <c r="L407" s="1668"/>
      <c r="M407" s="1668"/>
    </row>
    <row r="408" spans="1:13" x14ac:dyDescent="0.25">
      <c r="A408" s="1655" t="s">
        <v>1536</v>
      </c>
      <c r="B408" s="1655" t="s">
        <v>1558</v>
      </c>
      <c r="C408" s="1655" t="s">
        <v>644</v>
      </c>
      <c r="D408" s="1674" t="str">
        <f>IF(EXP_UTILSewer="","",EXP_UTILSewer)</f>
        <v/>
      </c>
      <c r="G408" s="1655" t="s">
        <v>1209</v>
      </c>
      <c r="H408" s="1655" t="s">
        <v>1563</v>
      </c>
      <c r="I408" s="1674" t="str">
        <f t="shared" si="89"/>
        <v/>
      </c>
      <c r="K408" s="1668"/>
      <c r="L408" s="1668"/>
      <c r="M408" s="1668"/>
    </row>
    <row r="409" spans="1:13" x14ac:dyDescent="0.25">
      <c r="A409" s="1655" t="s">
        <v>1536</v>
      </c>
      <c r="B409" s="1655" t="s">
        <v>1564</v>
      </c>
      <c r="C409" s="1655" t="s">
        <v>647</v>
      </c>
      <c r="D409" s="1674" t="str">
        <f>IF(EXP_OMJanitorandCleaningPayroll="","",EXP_OMJanitorandCleaningPayroll)</f>
        <v/>
      </c>
      <c r="G409" s="1655" t="s">
        <v>1209</v>
      </c>
      <c r="H409" s="1655" t="s">
        <v>1565</v>
      </c>
      <c r="I409" s="1674" t="str">
        <f t="shared" si="89"/>
        <v/>
      </c>
      <c r="K409" s="1668"/>
      <c r="L409" s="1668"/>
      <c r="M409" s="1668"/>
    </row>
    <row r="410" spans="1:13" x14ac:dyDescent="0.25">
      <c r="A410" s="1655" t="s">
        <v>1536</v>
      </c>
      <c r="B410" s="1655" t="s">
        <v>1564</v>
      </c>
      <c r="C410" s="1655" t="s">
        <v>648</v>
      </c>
      <c r="D410" s="1674" t="str">
        <f>IF(EXP_OMJanitorandCleaningSupplies="","",EXP_OMJanitorandCleaningSupplies)</f>
        <v/>
      </c>
      <c r="G410" s="1655" t="s">
        <v>1209</v>
      </c>
      <c r="H410" s="1655" t="s">
        <v>1566</v>
      </c>
      <c r="I410" s="1674" t="str">
        <f t="shared" si="89"/>
        <v/>
      </c>
      <c r="K410" s="1668"/>
      <c r="L410" s="1668"/>
      <c r="M410" s="1668"/>
    </row>
    <row r="411" spans="1:13" x14ac:dyDescent="0.25">
      <c r="A411" s="1655" t="s">
        <v>1536</v>
      </c>
      <c r="B411" s="1655" t="s">
        <v>1564</v>
      </c>
      <c r="C411" s="1655" t="s">
        <v>649</v>
      </c>
      <c r="D411" s="1674" t="str">
        <f>IF(EXP_OMJanitorandCleaningContract="","",EXP_OMJanitorandCleaningContract)</f>
        <v/>
      </c>
      <c r="G411" s="1655" t="s">
        <v>1209</v>
      </c>
      <c r="H411" s="1655" t="s">
        <v>1567</v>
      </c>
      <c r="I411" s="1674" t="str">
        <f t="shared" si="89"/>
        <v/>
      </c>
      <c r="K411" s="1668"/>
      <c r="L411" s="1668"/>
      <c r="M411" s="1668"/>
    </row>
    <row r="412" spans="1:13" x14ac:dyDescent="0.25">
      <c r="A412" s="1655" t="s">
        <v>1536</v>
      </c>
      <c r="B412" s="1655" t="s">
        <v>1564</v>
      </c>
      <c r="C412" s="1655" t="s">
        <v>650</v>
      </c>
      <c r="D412" s="1674" t="str">
        <f>IF(EXP_OMExterminatingPayrollorContract="","",EXP_OMExterminatingPayrollorContract)</f>
        <v/>
      </c>
      <c r="G412" s="1655" t="s">
        <v>1209</v>
      </c>
      <c r="H412" s="1655" t="s">
        <v>1568</v>
      </c>
      <c r="I412" s="1674" t="str">
        <f>IF(IF(D412="",0,D412)+IF(D413="",0,D413)=0,"",IF(D412="",0,D412)+IF(D413="",0,D413))</f>
        <v/>
      </c>
      <c r="K412" s="1659" t="s">
        <v>1209</v>
      </c>
      <c r="L412" s="1659" t="str">
        <f>C412</f>
        <v>Exterminating Payroll or Contract</v>
      </c>
      <c r="M412" s="1659" t="str">
        <f>IF(D412="","",D412)</f>
        <v/>
      </c>
    </row>
    <row r="413" spans="1:13" x14ac:dyDescent="0.25">
      <c r="A413" s="1655" t="s">
        <v>1536</v>
      </c>
      <c r="B413" s="1655" t="s">
        <v>1564</v>
      </c>
      <c r="C413" s="1655" t="s">
        <v>651</v>
      </c>
      <c r="D413" s="1674" t="str">
        <f>IF(EXP_OMExterminatingSupplies="","",EXP_OMExterminatingSupplies)</f>
        <v/>
      </c>
      <c r="G413" s="1658"/>
      <c r="H413" s="1658" t="s">
        <v>1569</v>
      </c>
      <c r="I413" s="1677"/>
      <c r="K413" s="1659" t="s">
        <v>1209</v>
      </c>
      <c r="L413" s="1659" t="str">
        <f>C413</f>
        <v>Exterminating Supplies</v>
      </c>
      <c r="M413" s="1659" t="str">
        <f>IF(D413="","",D413)</f>
        <v/>
      </c>
    </row>
    <row r="414" spans="1:13" x14ac:dyDescent="0.25">
      <c r="A414" s="1655" t="s">
        <v>1536</v>
      </c>
      <c r="B414" s="1655" t="s">
        <v>1564</v>
      </c>
      <c r="C414" s="1655" t="s">
        <v>652</v>
      </c>
      <c r="D414" s="1674" t="str">
        <f>IF(EXP_OMGarbageandTrashRemoval="","",EXP_OMGarbageandTrashRemoval)</f>
        <v/>
      </c>
      <c r="G414" s="1655" t="s">
        <v>1209</v>
      </c>
      <c r="H414" s="1655" t="s">
        <v>1570</v>
      </c>
      <c r="I414" s="1674" t="str">
        <f t="shared" ref="I414:I427" si="90">IF(D414="","",D414)</f>
        <v/>
      </c>
      <c r="K414" s="1668"/>
      <c r="L414" s="1668"/>
      <c r="M414" s="1668"/>
    </row>
    <row r="415" spans="1:13" x14ac:dyDescent="0.25">
      <c r="A415" s="1655" t="s">
        <v>1536</v>
      </c>
      <c r="B415" s="1655" t="s">
        <v>1564</v>
      </c>
      <c r="C415" s="1655" t="s">
        <v>653</v>
      </c>
      <c r="D415" s="1674" t="str">
        <f>IF(EXP_OMSecurityPayrollorContract="","",EXP_OMSecurityPayrollorContract)</f>
        <v/>
      </c>
      <c r="G415" s="1655" t="s">
        <v>1209</v>
      </c>
      <c r="H415" s="1655" t="s">
        <v>1571</v>
      </c>
      <c r="I415" s="1674" t="str">
        <f t="shared" si="90"/>
        <v/>
      </c>
      <c r="K415" s="1668"/>
      <c r="L415" s="1668"/>
      <c r="M415" s="1668"/>
    </row>
    <row r="416" spans="1:13" x14ac:dyDescent="0.25">
      <c r="A416" s="1655" t="s">
        <v>1536</v>
      </c>
      <c r="B416" s="1655" t="s">
        <v>1564</v>
      </c>
      <c r="C416" s="1655" t="s">
        <v>654</v>
      </c>
      <c r="D416" s="1674" t="str">
        <f>IF(EXP_OMGroundsPayroll="","",EXP_OMGroundsPayroll)</f>
        <v/>
      </c>
      <c r="G416" s="1655" t="s">
        <v>1209</v>
      </c>
      <c r="H416" s="1655" t="s">
        <v>1572</v>
      </c>
      <c r="I416" s="1674" t="str">
        <f t="shared" si="90"/>
        <v/>
      </c>
      <c r="K416" s="1668"/>
      <c r="L416" s="1668"/>
      <c r="M416" s="1668"/>
    </row>
    <row r="417" spans="1:13" x14ac:dyDescent="0.25">
      <c r="A417" s="1655" t="s">
        <v>1536</v>
      </c>
      <c r="B417" s="1655" t="s">
        <v>1564</v>
      </c>
      <c r="C417" s="1655" t="s">
        <v>655</v>
      </c>
      <c r="D417" s="1674" t="str">
        <f>IF(EXP_OMGroundsSupplies="","",EXP_OMGroundsSupplies)</f>
        <v/>
      </c>
      <c r="G417" s="1655" t="s">
        <v>1209</v>
      </c>
      <c r="H417" s="1655" t="s">
        <v>1573</v>
      </c>
      <c r="I417" s="1674" t="str">
        <f t="shared" si="90"/>
        <v/>
      </c>
      <c r="K417" s="1668"/>
      <c r="L417" s="1668"/>
      <c r="M417" s="1668"/>
    </row>
    <row r="418" spans="1:13" x14ac:dyDescent="0.25">
      <c r="A418" s="1655" t="s">
        <v>1536</v>
      </c>
      <c r="B418" s="1655" t="s">
        <v>1564</v>
      </c>
      <c r="C418" s="1655" t="s">
        <v>656</v>
      </c>
      <c r="D418" s="1674" t="str">
        <f>IF(EXP_OMGroundsContract="","",EXP_OMGroundsContract)</f>
        <v/>
      </c>
      <c r="G418" s="1655" t="s">
        <v>1209</v>
      </c>
      <c r="H418" s="1655" t="s">
        <v>1574</v>
      </c>
      <c r="I418" s="1674" t="str">
        <f t="shared" si="90"/>
        <v/>
      </c>
      <c r="K418" s="1668"/>
      <c r="L418" s="1668"/>
      <c r="M418" s="1668"/>
    </row>
    <row r="419" spans="1:13" x14ac:dyDescent="0.25">
      <c r="A419" s="1655" t="s">
        <v>1536</v>
      </c>
      <c r="B419" s="1655" t="s">
        <v>1564</v>
      </c>
      <c r="C419" s="1655" t="s">
        <v>657</v>
      </c>
      <c r="D419" s="1674" t="str">
        <f>IF(EXP_OMRepairsPayroll="","",EXP_OMRepairsPayroll)</f>
        <v/>
      </c>
      <c r="G419" s="1655" t="s">
        <v>1209</v>
      </c>
      <c r="H419" s="1655" t="s">
        <v>1575</v>
      </c>
      <c r="I419" s="1674" t="str">
        <f t="shared" si="90"/>
        <v/>
      </c>
      <c r="K419" s="1668"/>
      <c r="L419" s="1668"/>
      <c r="M419" s="1668"/>
    </row>
    <row r="420" spans="1:13" x14ac:dyDescent="0.25">
      <c r="A420" s="1655" t="s">
        <v>1536</v>
      </c>
      <c r="B420" s="1655" t="s">
        <v>1564</v>
      </c>
      <c r="C420" s="1655" t="s">
        <v>658</v>
      </c>
      <c r="D420" s="1674" t="str">
        <f>IF(EXP_OMRepairsMaterial="","",EXP_OMRepairsMaterial)</f>
        <v/>
      </c>
      <c r="G420" s="1655" t="s">
        <v>1209</v>
      </c>
      <c r="H420" s="1655" t="s">
        <v>1576</v>
      </c>
      <c r="I420" s="1674" t="str">
        <f t="shared" si="90"/>
        <v/>
      </c>
      <c r="K420" s="1668"/>
      <c r="L420" s="1668"/>
      <c r="M420" s="1668"/>
    </row>
    <row r="421" spans="1:13" x14ac:dyDescent="0.25">
      <c r="A421" s="1655" t="s">
        <v>1536</v>
      </c>
      <c r="B421" s="1655" t="s">
        <v>1564</v>
      </c>
      <c r="C421" s="1655" t="s">
        <v>659</v>
      </c>
      <c r="D421" s="1674" t="str">
        <f>IF(EXP_OMRepairsContract="","",EXP_OMRepairsContract)</f>
        <v/>
      </c>
      <c r="G421" s="1655" t="s">
        <v>1209</v>
      </c>
      <c r="H421" s="1655" t="s">
        <v>1577</v>
      </c>
      <c r="I421" s="1674" t="str">
        <f t="shared" si="90"/>
        <v/>
      </c>
      <c r="K421" s="1668"/>
      <c r="L421" s="1668"/>
      <c r="M421" s="1668"/>
    </row>
    <row r="422" spans="1:13" x14ac:dyDescent="0.25">
      <c r="A422" s="1655" t="s">
        <v>1536</v>
      </c>
      <c r="B422" s="1655" t="s">
        <v>1564</v>
      </c>
      <c r="C422" s="1655" t="s">
        <v>660</v>
      </c>
      <c r="D422" s="1674" t="str">
        <f>IF(EXP_OMElevatorMaintenanceorContract="","",EXP_OMElevatorMaintenanceorContract)</f>
        <v/>
      </c>
      <c r="G422" s="1655" t="s">
        <v>1209</v>
      </c>
      <c r="H422" s="1655" t="s">
        <v>1578</v>
      </c>
      <c r="I422" s="1674" t="str">
        <f t="shared" si="90"/>
        <v/>
      </c>
      <c r="K422" s="1668"/>
      <c r="L422" s="1668"/>
      <c r="M422" s="1668"/>
    </row>
    <row r="423" spans="1:13" x14ac:dyDescent="0.25">
      <c r="A423" s="1655" t="s">
        <v>1536</v>
      </c>
      <c r="B423" s="1655" t="s">
        <v>1564</v>
      </c>
      <c r="C423" s="1655" t="s">
        <v>661</v>
      </c>
      <c r="D423" s="1674" t="str">
        <f>IF(EXP_OMHeatingACMaintenanceorContract="","",EXP_OMHeatingACMaintenanceorContract)</f>
        <v/>
      </c>
      <c r="G423" s="1655" t="s">
        <v>1209</v>
      </c>
      <c r="H423" s="1655" t="s">
        <v>1579</v>
      </c>
      <c r="I423" s="1674" t="str">
        <f t="shared" si="90"/>
        <v/>
      </c>
      <c r="K423" s="1668"/>
      <c r="L423" s="1668"/>
      <c r="M423" s="1668"/>
    </row>
    <row r="424" spans="1:13" x14ac:dyDescent="0.25">
      <c r="A424" s="1655" t="s">
        <v>1536</v>
      </c>
      <c r="B424" s="1655" t="s">
        <v>1564</v>
      </c>
      <c r="C424" s="1655" t="s">
        <v>662</v>
      </c>
      <c r="D424" s="1674" t="str">
        <f>IF(EXP_OMPoolMaintenanceorContract="","",EXP_OMPoolMaintenanceorContract)</f>
        <v/>
      </c>
      <c r="G424" s="1655" t="s">
        <v>1209</v>
      </c>
      <c r="H424" s="1655" t="s">
        <v>1580</v>
      </c>
      <c r="I424" s="1674" t="str">
        <f t="shared" si="90"/>
        <v/>
      </c>
      <c r="K424" s="1668"/>
      <c r="L424" s="669"/>
      <c r="M424" s="1668"/>
    </row>
    <row r="425" spans="1:13" x14ac:dyDescent="0.25">
      <c r="A425" s="1655" t="s">
        <v>1536</v>
      </c>
      <c r="B425" s="1655" t="s">
        <v>1564</v>
      </c>
      <c r="C425" s="1655" t="s">
        <v>663</v>
      </c>
      <c r="D425" s="1674" t="str">
        <f>IF(EXP_OMSnowRemoval="","",EXP_OMSnowRemoval)</f>
        <v/>
      </c>
      <c r="G425" s="1655" t="s">
        <v>1209</v>
      </c>
      <c r="H425" s="1655" t="s">
        <v>1581</v>
      </c>
      <c r="I425" s="1674" t="str">
        <f t="shared" si="90"/>
        <v/>
      </c>
      <c r="K425" s="1668"/>
      <c r="L425" s="1668"/>
      <c r="M425" s="1668"/>
    </row>
    <row r="426" spans="1:13" x14ac:dyDescent="0.25">
      <c r="A426" s="1655" t="s">
        <v>1536</v>
      </c>
      <c r="B426" s="1655" t="s">
        <v>1564</v>
      </c>
      <c r="C426" s="1655" t="s">
        <v>664</v>
      </c>
      <c r="D426" s="1674" t="str">
        <f>IF(EXP_OMDecoratingPayrollorContract="","",EXP_OMDecoratingPayrollorContract)</f>
        <v/>
      </c>
      <c r="G426" s="1655" t="s">
        <v>1209</v>
      </c>
      <c r="H426" s="1655" t="s">
        <v>1582</v>
      </c>
      <c r="I426" s="1674" t="str">
        <f t="shared" si="90"/>
        <v/>
      </c>
      <c r="K426" s="1668"/>
      <c r="L426" s="1668"/>
      <c r="M426" s="1668"/>
    </row>
    <row r="427" spans="1:13" x14ac:dyDescent="0.25">
      <c r="A427" s="1655" t="s">
        <v>1536</v>
      </c>
      <c r="B427" s="1655" t="s">
        <v>1564</v>
      </c>
      <c r="C427" s="1655" t="s">
        <v>665</v>
      </c>
      <c r="D427" s="1674" t="str">
        <f>IF(EXP_OMDecoratingSupplies="","",EXP_OMDecoratingSupplies)</f>
        <v/>
      </c>
      <c r="G427" s="1655" t="s">
        <v>1209</v>
      </c>
      <c r="H427" s="1655" t="s">
        <v>1583</v>
      </c>
      <c r="I427" s="1674" t="str">
        <f t="shared" si="90"/>
        <v/>
      </c>
      <c r="K427" s="1668"/>
      <c r="L427" s="1668"/>
      <c r="M427" s="1668"/>
    </row>
    <row r="428" spans="1:13" x14ac:dyDescent="0.25">
      <c r="A428" s="1655" t="s">
        <v>1536</v>
      </c>
      <c r="B428" s="1655" t="s">
        <v>1564</v>
      </c>
      <c r="C428" s="1655" t="s">
        <v>1584</v>
      </c>
      <c r="D428" s="1674" t="str">
        <f>IF(EXP_OMOtherOMExpenses="","",EXP_OMOtherOMExpenses)</f>
        <v/>
      </c>
      <c r="G428" s="1658"/>
      <c r="H428" s="1658" t="s">
        <v>1585</v>
      </c>
      <c r="I428" s="1677"/>
      <c r="K428" s="1659" t="s">
        <v>1209</v>
      </c>
      <c r="L428" s="1659" t="str">
        <f t="shared" ref="L428:L435" si="91">C428</f>
        <v>Other Operating and Maintenance Expenses</v>
      </c>
      <c r="M428" s="1659" t="str">
        <f>IF(D428="","",D428)</f>
        <v/>
      </c>
    </row>
    <row r="429" spans="1:13" x14ac:dyDescent="0.25">
      <c r="A429" s="1655" t="s">
        <v>1536</v>
      </c>
      <c r="B429" s="1655" t="s">
        <v>1564</v>
      </c>
      <c r="C429" s="1655" t="s">
        <v>1586</v>
      </c>
      <c r="D429" s="1674" t="str">
        <f>IF(EXP_OMOtherOMExpensesDescribe="","",EXP_OMOtherOMExpensesDescribe)</f>
        <v>Describe</v>
      </c>
      <c r="G429" s="1658"/>
      <c r="H429" s="1658"/>
      <c r="I429" s="1677"/>
      <c r="K429" s="1659" t="s">
        <v>1209</v>
      </c>
      <c r="L429" s="1659" t="str">
        <f t="shared" si="91"/>
        <v>Other Operating and Maintenance Expenses Describe</v>
      </c>
      <c r="M429" s="1659" t="str">
        <f>IF(OR(D429="",D429="Describe"),"",D429)</f>
        <v/>
      </c>
    </row>
    <row r="430" spans="1:13" x14ac:dyDescent="0.25">
      <c r="A430" s="1655" t="s">
        <v>1536</v>
      </c>
      <c r="B430" s="1655" t="s">
        <v>1564</v>
      </c>
      <c r="C430" s="1655" t="s">
        <v>667</v>
      </c>
      <c r="D430" s="1674" t="str">
        <f>IF(EXP_OMMiscOMExpenses="","",EXP_OMMiscOMExpenses)</f>
        <v/>
      </c>
      <c r="G430" s="1655" t="s">
        <v>1209</v>
      </c>
      <c r="H430" s="1655" t="s">
        <v>1587</v>
      </c>
      <c r="I430" s="1674" t="str">
        <f>IF(IF(D430="",0,D430)+IF(D428="",0,D428)=0,"",IF(D430="",0,D430)+IF(D428="",0,D428))</f>
        <v/>
      </c>
      <c r="K430" s="1659" t="s">
        <v>1209</v>
      </c>
      <c r="L430" s="1659" t="str">
        <f t="shared" si="91"/>
        <v>Miscellaneous Operating and Maintenance Expenses</v>
      </c>
      <c r="M430" s="1659" t="str">
        <f>IF(D430="","",D430)</f>
        <v/>
      </c>
    </row>
    <row r="431" spans="1:13" x14ac:dyDescent="0.25">
      <c r="A431" s="1655" t="s">
        <v>1536</v>
      </c>
      <c r="B431" s="1655" t="s">
        <v>1564</v>
      </c>
      <c r="C431" s="1655" t="s">
        <v>1588</v>
      </c>
      <c r="D431" s="1674" t="str">
        <f>IF(EXP_OMMiscOMExpensesDescribe="","",EXP_OMMiscOMExpensesDescribe)</f>
        <v>Describe</v>
      </c>
      <c r="G431" s="1658"/>
      <c r="H431" s="1658"/>
      <c r="I431" s="1677"/>
      <c r="K431" s="1659" t="s">
        <v>1209</v>
      </c>
      <c r="L431" s="1659" t="str">
        <f>C431</f>
        <v>Miscellaneous Operating and Maintenance Expenses Describe</v>
      </c>
      <c r="M431" s="1659" t="str">
        <f>IF(OR(D431="",D431="Describe"),"",D431)</f>
        <v/>
      </c>
    </row>
    <row r="432" spans="1:13" x14ac:dyDescent="0.25">
      <c r="A432" s="1655" t="s">
        <v>1536</v>
      </c>
      <c r="B432" s="1655" t="s">
        <v>1589</v>
      </c>
      <c r="C432" s="1655" t="s">
        <v>669</v>
      </c>
      <c r="D432" s="1674" t="str">
        <f>IF(EXP_TaxInsRealEstateTaxes="","",EXP_TaxInsRealEstateTaxes)</f>
        <v/>
      </c>
      <c r="G432" s="1655" t="s">
        <v>1209</v>
      </c>
      <c r="H432" s="1655" t="s">
        <v>1590</v>
      </c>
      <c r="I432" s="1674" t="str">
        <f>IF(IF(D432="",0,D432)+IF(D433="",0,D433)=0,"",IF(D432="",0,D432)+IF(D433="",0,D433))</f>
        <v/>
      </c>
      <c r="K432" s="1659" t="s">
        <v>1209</v>
      </c>
      <c r="L432" s="1659" t="str">
        <f t="shared" si="91"/>
        <v>Real Estate Taxes</v>
      </c>
      <c r="M432" s="1659" t="str">
        <f>IF(D432="","",D432)</f>
        <v/>
      </c>
    </row>
    <row r="433" spans="1:26" x14ac:dyDescent="0.25">
      <c r="A433" s="1655" t="s">
        <v>1536</v>
      </c>
      <c r="B433" s="1655" t="s">
        <v>1589</v>
      </c>
      <c r="C433" s="1655" t="s">
        <v>1591</v>
      </c>
      <c r="D433" s="1674" t="str">
        <f>IF(EXP_TaxInsPaymentTaxesAnnual="","",EXP_TaxInsPaymentTaxesAnnual)</f>
        <v/>
      </c>
      <c r="G433" s="1658"/>
      <c r="H433" s="1658" t="s">
        <v>1592</v>
      </c>
      <c r="I433" s="1677"/>
      <c r="K433" s="1659" t="s">
        <v>1209</v>
      </c>
      <c r="L433" s="1659" t="str">
        <f t="shared" si="91"/>
        <v>Payment in Lieu of Real Estate Taxes Annual</v>
      </c>
      <c r="M433" s="1659" t="str">
        <f>IF(D433="","",D433)</f>
        <v/>
      </c>
    </row>
    <row r="434" spans="1:26" x14ac:dyDescent="0.25">
      <c r="A434" s="1655" t="s">
        <v>1536</v>
      </c>
      <c r="B434" s="1655" t="s">
        <v>1589</v>
      </c>
      <c r="C434" s="1655" t="s">
        <v>1593</v>
      </c>
      <c r="D434" s="1674" t="str">
        <f>IF(EXP_TaxInsPaymentTaxesTotal="","",EXP_TaxInsPaymentTaxesTotal)</f>
        <v/>
      </c>
      <c r="G434" s="1658"/>
      <c r="H434" s="1658"/>
      <c r="I434" s="1677"/>
      <c r="K434" s="1659" t="s">
        <v>1209</v>
      </c>
      <c r="L434" s="1659" t="str">
        <f t="shared" si="91"/>
        <v>Payment in Lieu of Real Estate Taxes Total</v>
      </c>
      <c r="M434" s="1659" t="str">
        <f>IF(D434="","",D434)</f>
        <v/>
      </c>
    </row>
    <row r="435" spans="1:26" x14ac:dyDescent="0.25">
      <c r="A435" s="1655" t="s">
        <v>1536</v>
      </c>
      <c r="B435" s="1655" t="s">
        <v>1589</v>
      </c>
      <c r="C435" s="1655" t="s">
        <v>1594</v>
      </c>
      <c r="D435" s="1674" t="str">
        <f>IF(EXP_TaxInsPaymentTaxesYears="","",EXP_TaxInsPaymentTaxesYears)</f>
        <v/>
      </c>
      <c r="G435" s="1658"/>
      <c r="H435" s="1658"/>
      <c r="I435" s="1677"/>
      <c r="K435" s="1659" t="s">
        <v>1209</v>
      </c>
      <c r="L435" s="1659" t="str">
        <f t="shared" si="91"/>
        <v>Payment in Lieu of Real Estate Taxes Years</v>
      </c>
      <c r="M435" s="1659" t="str">
        <f>IF(D435="","",D435)</f>
        <v/>
      </c>
    </row>
    <row r="436" spans="1:26" x14ac:dyDescent="0.25">
      <c r="A436" s="1655" t="s">
        <v>1536</v>
      </c>
      <c r="B436" s="1655" t="s">
        <v>1589</v>
      </c>
      <c r="C436" s="1655" t="s">
        <v>674</v>
      </c>
      <c r="D436" s="1674" t="str">
        <f>IF(EXP_TaxInsPayrollTaxes="","",EXP_TaxInsPayrollTaxes)</f>
        <v/>
      </c>
      <c r="G436" s="1655" t="s">
        <v>1209</v>
      </c>
      <c r="H436" s="1655" t="s">
        <v>1595</v>
      </c>
      <c r="I436" s="1674" t="str">
        <f t="shared" ref="I436:I443" si="92">IF(D436="","",D436)</f>
        <v/>
      </c>
      <c r="K436" s="1668"/>
      <c r="L436" s="1668"/>
      <c r="M436" s="1668"/>
    </row>
    <row r="437" spans="1:26" x14ac:dyDescent="0.25">
      <c r="A437" s="1655" t="s">
        <v>1536</v>
      </c>
      <c r="B437" s="1655" t="s">
        <v>1589</v>
      </c>
      <c r="C437" s="1655" t="s">
        <v>675</v>
      </c>
      <c r="D437" s="1674" t="str">
        <f>IF(EXP_TaxInsMiscTaxesLicensesandPermits="","",EXP_TaxInsMiscTaxesLicensesandPermits)</f>
        <v/>
      </c>
      <c r="G437" s="1655" t="s">
        <v>1209</v>
      </c>
      <c r="H437" s="1655" t="s">
        <v>1596</v>
      </c>
      <c r="I437" s="1674" t="str">
        <f t="shared" si="92"/>
        <v/>
      </c>
      <c r="K437" s="1668"/>
      <c r="L437" s="1668"/>
      <c r="M437" s="1668"/>
    </row>
    <row r="438" spans="1:26" x14ac:dyDescent="0.25">
      <c r="A438" s="1655" t="s">
        <v>1536</v>
      </c>
      <c r="B438" s="1655" t="s">
        <v>1589</v>
      </c>
      <c r="C438" s="1655" t="s">
        <v>1597</v>
      </c>
      <c r="D438" s="1674" t="str">
        <f>IF(EXP_TaxInsPropertyInsurance="","",EXP_TaxInsPropertyInsurance)</f>
        <v/>
      </c>
      <c r="G438" s="1655" t="s">
        <v>1209</v>
      </c>
      <c r="H438" s="1655" t="s">
        <v>1598</v>
      </c>
      <c r="I438" s="1674" t="str">
        <f>IF(IF(D438="",0,D438)+IF(D439="",0,D439)=0,"",IF(D438="",0,D438)+IF(D439="",0,D439))</f>
        <v/>
      </c>
      <c r="K438" s="1659" t="s">
        <v>1209</v>
      </c>
      <c r="L438" s="1659" t="str">
        <f>C438</f>
        <v>Property Insurance</v>
      </c>
      <c r="M438" s="1659" t="str">
        <f>IF(D438="","",D438)</f>
        <v/>
      </c>
    </row>
    <row r="439" spans="1:26" x14ac:dyDescent="0.25">
      <c r="A439" s="1655" t="s">
        <v>1536</v>
      </c>
      <c r="B439" s="1655" t="s">
        <v>1589</v>
      </c>
      <c r="C439" s="1655" t="s">
        <v>1599</v>
      </c>
      <c r="D439" s="1674" t="str">
        <f>IF(EXP_TaxInsLiabilityInsurance="","",EXP_TaxInsLiabilityInsurance)</f>
        <v/>
      </c>
      <c r="G439" s="1658"/>
      <c r="H439" s="1658" t="s">
        <v>1600</v>
      </c>
      <c r="I439" s="1677"/>
      <c r="K439" s="1659" t="s">
        <v>1209</v>
      </c>
      <c r="L439" s="1659" t="str">
        <f>C439</f>
        <v>Liability Insurance (hazard)</v>
      </c>
      <c r="M439" s="1659" t="str">
        <f>IF(D439="","",D439)</f>
        <v/>
      </c>
    </row>
    <row r="440" spans="1:26" x14ac:dyDescent="0.25">
      <c r="A440" s="1655" t="s">
        <v>1536</v>
      </c>
      <c r="B440" s="1655" t="s">
        <v>1589</v>
      </c>
      <c r="C440" s="1655" t="s">
        <v>678</v>
      </c>
      <c r="D440" s="1674" t="str">
        <f>IF(EXP_TaxInsFidelityBondInsurance="","",EXP_TaxInsFidelityBondInsurance)</f>
        <v/>
      </c>
      <c r="G440" s="1655" t="s">
        <v>1209</v>
      </c>
      <c r="H440" s="1655" t="s">
        <v>1601</v>
      </c>
      <c r="I440" s="1674" t="str">
        <f t="shared" si="92"/>
        <v/>
      </c>
      <c r="K440" s="1668"/>
      <c r="L440" s="1668"/>
      <c r="M440" s="1668"/>
    </row>
    <row r="441" spans="1:26" x14ac:dyDescent="0.25">
      <c r="A441" s="1655" t="s">
        <v>1536</v>
      </c>
      <c r="B441" s="1655" t="s">
        <v>1589</v>
      </c>
      <c r="C441" s="1655" t="s">
        <v>679</v>
      </c>
      <c r="D441" s="1674" t="str">
        <f>IF(EXP_TaxInsWorkmenCompensation="","",EXP_TaxInsWorkmenCompensation)</f>
        <v/>
      </c>
      <c r="G441" s="1655" t="s">
        <v>1209</v>
      </c>
      <c r="H441" s="1655" t="s">
        <v>1602</v>
      </c>
      <c r="I441" s="1674" t="str">
        <f t="shared" si="92"/>
        <v/>
      </c>
      <c r="K441" s="1668"/>
      <c r="L441" s="1668"/>
      <c r="M441" s="1668"/>
    </row>
    <row r="442" spans="1:26" x14ac:dyDescent="0.25">
      <c r="A442" s="1655" t="s">
        <v>1536</v>
      </c>
      <c r="B442" s="1655" t="s">
        <v>1589</v>
      </c>
      <c r="C442" s="1655" t="s">
        <v>680</v>
      </c>
      <c r="D442" s="1674" t="str">
        <f>IF(EXP_TaxInsHealthInsurance="","",EXP_TaxInsHealthInsurance)</f>
        <v/>
      </c>
      <c r="G442" s="1655" t="s">
        <v>1209</v>
      </c>
      <c r="H442" s="1655" t="s">
        <v>1603</v>
      </c>
      <c r="I442" s="1674" t="str">
        <f t="shared" si="92"/>
        <v/>
      </c>
      <c r="K442" s="1668"/>
      <c r="L442" s="1668"/>
      <c r="M442" s="1668"/>
    </row>
    <row r="443" spans="1:26" x14ac:dyDescent="0.25">
      <c r="A443" s="1655" t="s">
        <v>1536</v>
      </c>
      <c r="B443" s="1655" t="s">
        <v>1589</v>
      </c>
      <c r="C443" s="1655" t="s">
        <v>1604</v>
      </c>
      <c r="D443" s="1674" t="str">
        <f>IF(EXP_TaxInsOtherInsurance="","",EXP_TaxInsOtherInsurance)</f>
        <v/>
      </c>
      <c r="G443" s="1655" t="s">
        <v>1209</v>
      </c>
      <c r="H443" s="1655" t="s">
        <v>1605</v>
      </c>
      <c r="I443" s="1674" t="str">
        <f t="shared" si="92"/>
        <v/>
      </c>
      <c r="K443" s="1668"/>
      <c r="L443" s="1668"/>
      <c r="M443" s="1668"/>
    </row>
    <row r="444" spans="1:26" x14ac:dyDescent="0.25">
      <c r="A444" s="1655" t="s">
        <v>1536</v>
      </c>
      <c r="B444" s="1655" t="s">
        <v>1589</v>
      </c>
      <c r="C444" s="1655" t="s">
        <v>1606</v>
      </c>
      <c r="D444" s="1674" t="str">
        <f>IF(EXP_TaxInsOtherInsuranceDescribe="","",EXP_TaxInsOtherInsuranceDescribe)</f>
        <v>Describe: i.e. vehicle</v>
      </c>
      <c r="G444" s="1658"/>
      <c r="H444" s="1658"/>
      <c r="I444" s="1677"/>
      <c r="K444" s="1659" t="s">
        <v>1209</v>
      </c>
      <c r="L444" s="1659" t="str">
        <f>C444</f>
        <v>Other Insurance  Describe</v>
      </c>
      <c r="M444" s="1659" t="str">
        <f>IF(OR(D444="",D444="Describe"),"",D444)</f>
        <v>Describe: i.e. vehicle</v>
      </c>
    </row>
    <row r="445" spans="1:26" x14ac:dyDescent="0.25">
      <c r="A445" s="1655" t="s">
        <v>1536</v>
      </c>
      <c r="B445" s="1655" t="s">
        <v>682</v>
      </c>
      <c r="C445" s="1655" t="s">
        <v>682</v>
      </c>
      <c r="D445" s="1674" t="str">
        <f>IF(EXP_RRReserveforReplacement="","",EXP_RRReserveforReplacement)</f>
        <v/>
      </c>
      <c r="G445" s="1655" t="s">
        <v>1209</v>
      </c>
      <c r="H445" s="1655" t="s">
        <v>1607</v>
      </c>
      <c r="I445" s="1674" t="str">
        <f>IF(D445="","",D445)</f>
        <v/>
      </c>
      <c r="K445" s="1668"/>
      <c r="L445" s="1668"/>
      <c r="M445" s="1668"/>
    </row>
    <row r="448" spans="1:26" ht="13.8" x14ac:dyDescent="0.25">
      <c r="A448" s="1651" t="s">
        <v>1165</v>
      </c>
      <c r="B448" s="1651" t="s">
        <v>1166</v>
      </c>
      <c r="C448" s="1651"/>
      <c r="D448" s="1651"/>
      <c r="E448" s="1651"/>
      <c r="F448" s="1651"/>
      <c r="G448" s="1651"/>
      <c r="H448" s="1651"/>
      <c r="I448" s="1651"/>
      <c r="J448" s="1651"/>
      <c r="K448" s="1651"/>
      <c r="L448" s="1651"/>
      <c r="M448" s="1651" t="s">
        <v>1204</v>
      </c>
      <c r="O448" s="1660" t="s">
        <v>1194</v>
      </c>
      <c r="P448" s="1660"/>
      <c r="Q448" s="1660"/>
      <c r="R448" s="1660"/>
      <c r="S448" s="1660"/>
      <c r="T448" s="1660"/>
      <c r="U448" s="1660"/>
      <c r="V448" s="1660"/>
      <c r="W448" s="1660"/>
      <c r="X448" s="1660"/>
      <c r="Y448" s="1660"/>
      <c r="Z448" s="1660"/>
    </row>
    <row r="449" spans="1:26" x14ac:dyDescent="0.25">
      <c r="A449" s="1654" t="s">
        <v>1198</v>
      </c>
      <c r="B449" s="1654" t="s">
        <v>1199</v>
      </c>
      <c r="C449" s="1654" t="s">
        <v>1608</v>
      </c>
      <c r="D449" s="1654" t="str">
        <f>SOURCES!C11</f>
        <v>Type of Funds</v>
      </c>
      <c r="E449" s="1654" t="str">
        <f>SOURCES!F11</f>
        <v>Source of Funds</v>
      </c>
      <c r="F449" s="1654" t="str">
        <f>SOURCES!G11</f>
        <v>Lien Position (select from menu)</v>
      </c>
      <c r="G449" s="1654" t="str">
        <f>SOURCES!H11</f>
        <v>Lender / Investor Debt Coverage Requirement</v>
      </c>
      <c r="H449" s="1654" t="str">
        <f>SOURCES!I11</f>
        <v>Annual Payment</v>
      </c>
      <c r="I449" s="1654" t="str">
        <f>SOURCES!J11</f>
        <v>Interest Rate 
(with 0.75 cushion)</v>
      </c>
      <c r="J449" s="1654" t="str">
        <f>SOURCES!K11</f>
        <v>Amortization
(years)</v>
      </c>
      <c r="K449" s="1654" t="str">
        <f>SOURCES!L11</f>
        <v>Loan Term
(years)</v>
      </c>
      <c r="L449" s="1654" t="str">
        <f>SOURCES!M11</f>
        <v>Loan Amount</v>
      </c>
      <c r="M449" s="1654" t="s">
        <v>1609</v>
      </c>
      <c r="O449" s="1662" t="s">
        <v>1202</v>
      </c>
      <c r="P449" s="1654" t="s">
        <v>1610</v>
      </c>
      <c r="Q449" s="1654" t="str">
        <f>D449</f>
        <v>Type of Funds</v>
      </c>
      <c r="R449" s="1654" t="str">
        <f>E449</f>
        <v>Source of Funds</v>
      </c>
      <c r="S449" s="1654" t="str">
        <f t="shared" ref="S449:Z449" si="93">F449</f>
        <v>Lien Position (select from menu)</v>
      </c>
      <c r="T449" s="1654" t="str">
        <f t="shared" si="93"/>
        <v>Lender / Investor Debt Coverage Requirement</v>
      </c>
      <c r="U449" s="1654" t="str">
        <f t="shared" si="93"/>
        <v>Annual Payment</v>
      </c>
      <c r="V449" s="1654" t="str">
        <f t="shared" si="93"/>
        <v>Interest Rate 
(with 0.75 cushion)</v>
      </c>
      <c r="W449" s="1654" t="str">
        <f t="shared" si="93"/>
        <v>Amortization
(years)</v>
      </c>
      <c r="X449" s="1654" t="s">
        <v>1611</v>
      </c>
      <c r="Y449" s="1654" t="str">
        <f t="shared" si="93"/>
        <v>Loan Amount</v>
      </c>
      <c r="Z449" s="1654" t="str">
        <f t="shared" si="93"/>
        <v>Assumed DHCD Debt</v>
      </c>
    </row>
    <row r="450" spans="1:26" x14ac:dyDescent="0.25">
      <c r="A450" s="1655" t="s">
        <v>1166</v>
      </c>
      <c r="B450" s="1655" t="s">
        <v>317</v>
      </c>
      <c r="C450" s="1655" t="str">
        <f>IF(L450="","","Debt Service Financing")</f>
        <v/>
      </c>
      <c r="D450" s="1655" t="str">
        <f>IF(SOURCES!C12="","",SOURCES!C12)</f>
        <v>Taxable Bonds (Long Term Only)</v>
      </c>
      <c r="E450" s="1659" t="str">
        <f>IF(SOURCE_Perm1TaxableBonds="","",SOURCE_Perm1TaxableBonds)</f>
        <v>Enter Entity Name</v>
      </c>
      <c r="F450" s="1678" t="str">
        <f>IF(SOURCE_PermLienPosition1="","",SOURCE_PermLienPosition1)</f>
        <v>_</v>
      </c>
      <c r="G450" s="1655" t="str">
        <f>IF(SOURCE_PermDCR1="","",SOURCE_PermDCR1)</f>
        <v/>
      </c>
      <c r="H450" s="1659">
        <f>IF(SOURCE_PermPayment1="","",SOURCE_PermPayment1)</f>
        <v>0</v>
      </c>
      <c r="I450" s="1655" t="str">
        <f>IF(SOURCE_PermRate1="","",SOURCE_PermRate1)</f>
        <v/>
      </c>
      <c r="J450" s="1655" t="str">
        <f>IF(SOURCE_PermAmortTerm1="","",SOURCE_PermAmortTerm1)</f>
        <v/>
      </c>
      <c r="K450" s="1655" t="str">
        <f>IF(SOURCE_PermLoanTerm1="","",SOURCE_PermLoanTerm1)</f>
        <v/>
      </c>
      <c r="L450" s="1655" t="str">
        <f>IF(SOURCE_PermLoanAmount1="","",SOURCE_PermLoanAmount1)</f>
        <v/>
      </c>
      <c r="M450" s="1658"/>
      <c r="O450" s="1659" t="s">
        <v>1612</v>
      </c>
      <c r="P450" s="1657" t="str">
        <f t="shared" ref="P450:P484" si="94">IF(C450="","",C450)</f>
        <v/>
      </c>
      <c r="Q450" s="1657" t="str">
        <f>IF(OR(D450="",D450="Describe",L450=""),"","Maryland Multifamily Bond Program - Taxable")</f>
        <v/>
      </c>
      <c r="R450" s="1659" t="str">
        <f>IF(OR(E450="",E450="Enter Entity Name",E450=0,L450=""),"",E450)</f>
        <v/>
      </c>
      <c r="S450" s="1659" t="str">
        <f>IF(AND(L450&lt;&gt;"",F450&lt;&gt;"",F450&lt;&gt;"_"),F450,"")</f>
        <v/>
      </c>
      <c r="T450" s="1659" t="str">
        <f t="shared" ref="T450:T458" si="95">IF(G450="","",G450)</f>
        <v/>
      </c>
      <c r="U450" s="1659" t="str">
        <f>IF(OR(H450="",L450=""),"",H450)</f>
        <v/>
      </c>
      <c r="V450" s="1659" t="str">
        <f>IF(AND($L450&lt;&gt;"",I450&lt;&gt;""),I450,"")</f>
        <v/>
      </c>
      <c r="W450" s="1659" t="str">
        <f t="shared" ref="W450:W463" si="96">IF(AND($L450&lt;&gt;"",J450&lt;&gt;""),J450,"")</f>
        <v/>
      </c>
      <c r="X450" s="1659" t="str">
        <f>IF(AND($L450&lt;&gt;"",K450&lt;&gt;""),K450*12,"")</f>
        <v/>
      </c>
      <c r="Y450" s="1659" t="str">
        <f>IF(OR(L450="",L450=0),"",L450)</f>
        <v/>
      </c>
      <c r="Z450" s="1658" t="str">
        <f t="shared" ref="Z450:Z458" si="97">IF(M450="","",M450)</f>
        <v/>
      </c>
    </row>
    <row r="451" spans="1:26" x14ac:dyDescent="0.25">
      <c r="A451" s="1655" t="s">
        <v>1166</v>
      </c>
      <c r="B451" s="1655" t="s">
        <v>317</v>
      </c>
      <c r="C451" s="1655" t="str">
        <f t="shared" ref="C451:C458" si="98">IF(L451="","","Debt Service Financing")</f>
        <v/>
      </c>
      <c r="D451" s="1655" t="str">
        <f>IF(SOURCES!C13="","",SOURCES!C13)</f>
        <v xml:space="preserve">Tax-Exempt Bonds (Long Term Only) </v>
      </c>
      <c r="E451" s="1659">
        <f>IF(SOURCE_Perm2TaxexemptBondsLongTerm="","",SOURCE_Perm2TaxexemptBondsLongTerm)</f>
        <v>0</v>
      </c>
      <c r="F451" s="1678" t="str">
        <f>IF(SOURCE_PermLienPosition2="","",SOURCE_PermLienPosition2)</f>
        <v>_</v>
      </c>
      <c r="G451" s="1655" t="str">
        <f>IF(SOURCE_PermDCR2="","",SOURCE_PermDCR2)</f>
        <v/>
      </c>
      <c r="H451" s="1659">
        <f>IF(SOURCE_PermPayment2="","",SOURCE_PermPayment2)</f>
        <v>0</v>
      </c>
      <c r="I451" s="1655" t="str">
        <f>IF(SOURCE_PermRate2="","",SOURCE_PermRate2)</f>
        <v/>
      </c>
      <c r="J451" s="1655" t="str">
        <f>IF(SOURCE_PermAmortTerm2="","",SOURCE_PermAmortTerm2)</f>
        <v/>
      </c>
      <c r="K451" s="1655" t="str">
        <f>IF(SOURCE_PermLoanTerm2="","",SOURCE_PermLoanTerm2)</f>
        <v/>
      </c>
      <c r="L451" s="1655" t="str">
        <f>IF(SOURCE_PermLoanAmount2="","",SOURCE_PermLoanAmount2)</f>
        <v/>
      </c>
      <c r="M451" s="1658"/>
      <c r="O451" s="1659" t="s">
        <v>1612</v>
      </c>
      <c r="P451" s="1657" t="str">
        <f>IF(OR(C451="",L451=0),"",C451)</f>
        <v/>
      </c>
      <c r="Q451" s="1657" t="str">
        <f>IF(OR(D451="",D451="Describe",L451="",L451=0),"","Maryland Multifamily Bond Program - Tax Exempt")</f>
        <v/>
      </c>
      <c r="R451" s="1659" t="str">
        <f t="shared" ref="R451:R484" si="99">IF(OR(E451="",E451="Enter Entity Name",E451=0,L451=""),"",E451)</f>
        <v/>
      </c>
      <c r="S451" s="1659" t="str">
        <f t="shared" ref="S451:S476" si="100">IF(AND(L451&lt;&gt;"",F451&lt;&gt;"",F451&lt;&gt;"_"),F451,"")</f>
        <v/>
      </c>
      <c r="T451" s="1659" t="str">
        <f t="shared" si="95"/>
        <v/>
      </c>
      <c r="U451" s="1659" t="str">
        <f>IFERROR(IF(OR(H451="",L451="",L451=0),"",H451),"")</f>
        <v/>
      </c>
      <c r="V451" s="1659" t="str">
        <f>IF(AND($L451&lt;&gt;"",I451&lt;&gt;"",L451&lt;&gt;0),I451,"")</f>
        <v/>
      </c>
      <c r="W451" s="1659" t="str">
        <f>IF(AND($L451&lt;&gt;"",J451&lt;&gt;"",L451&lt;&gt;0),J451,"")</f>
        <v/>
      </c>
      <c r="X451" s="1659" t="str">
        <f>IF(AND($L451&lt;&gt;"",K451&lt;&gt;"",L451&lt;&gt;0),K451*12,"")</f>
        <v/>
      </c>
      <c r="Y451" s="1659" t="str">
        <f t="shared" ref="Y451:Y493" si="101">IF(OR(L451="",L451=0),"",L451)</f>
        <v/>
      </c>
      <c r="Z451" s="1658" t="str">
        <f t="shared" si="97"/>
        <v/>
      </c>
    </row>
    <row r="452" spans="1:26" x14ac:dyDescent="0.25">
      <c r="A452" s="1655" t="s">
        <v>1166</v>
      </c>
      <c r="B452" s="1655" t="s">
        <v>317</v>
      </c>
      <c r="C452" s="1655" t="str">
        <f t="shared" si="98"/>
        <v/>
      </c>
      <c r="D452" s="1655" t="str">
        <f>IF(SOURCES!C14="","",SOURCES!C14)</f>
        <v>Private Loan</v>
      </c>
      <c r="E452" s="1659" t="str">
        <f>IF(SOURCE_Perm3PrivateLoan="","",SOURCE_Perm3PrivateLoan)</f>
        <v>Enter Entity Name</v>
      </c>
      <c r="F452" s="1678" t="str">
        <f>IF(SOURCE_PermLienPosition3="","",SOURCE_PermLienPosition3)</f>
        <v>_</v>
      </c>
      <c r="G452" s="1655" t="str">
        <f>IF(SOURCE_PermDCR3="","",SOURCE_PermDCR3)</f>
        <v/>
      </c>
      <c r="H452" s="1659">
        <f>IF(SOURCE_PermPayment3="","",SOURCE_PermPayment3)</f>
        <v>0</v>
      </c>
      <c r="I452" s="1655" t="str">
        <f>IF(SOURCE_PermRate3="","",SOURCE_PermRate3)</f>
        <v/>
      </c>
      <c r="J452" s="1655" t="str">
        <f>IF(SOURCE_PermAmortTerm3="","",SOURCE_PermAmortTerm3)</f>
        <v/>
      </c>
      <c r="K452" s="1655" t="str">
        <f>IF(SOURCE_PermLoanTerm3="","",SOURCE_PermLoanTerm3)</f>
        <v/>
      </c>
      <c r="L452" s="1655" t="str">
        <f>IF(SOURCE_PermLoanAmount3="","",SOURCE_PermLoanAmount3)</f>
        <v/>
      </c>
      <c r="M452" s="1658"/>
      <c r="O452" s="1659" t="s">
        <v>1612</v>
      </c>
      <c r="P452" s="1657" t="str">
        <f>IF(C452="","",C452)</f>
        <v/>
      </c>
      <c r="Q452" s="1657" t="str">
        <f t="shared" ref="Q452:Q487" si="102">IF(OR(D452="",D452="Describe",L452=""),"",D452)</f>
        <v/>
      </c>
      <c r="R452" s="1659" t="str">
        <f t="shared" si="99"/>
        <v/>
      </c>
      <c r="S452" s="1659" t="str">
        <f t="shared" si="100"/>
        <v/>
      </c>
      <c r="T452" s="1659" t="str">
        <f t="shared" si="95"/>
        <v/>
      </c>
      <c r="U452" s="1659" t="str">
        <f t="shared" ref="U452:U458" si="103">IF(OR(H452="",L452=""),"",H452)</f>
        <v/>
      </c>
      <c r="V452" s="1659" t="str">
        <f t="shared" ref="V452:V463" si="104">IF(AND($L452&lt;&gt;"",I452&lt;&gt;""),I452,"")</f>
        <v/>
      </c>
      <c r="W452" s="1659" t="str">
        <f t="shared" si="96"/>
        <v/>
      </c>
      <c r="X452" s="1659" t="str">
        <f t="shared" ref="X452:X463" si="105">IF(AND($L452&lt;&gt;"",K452&lt;&gt;""),K452*12,"")</f>
        <v/>
      </c>
      <c r="Y452" s="1659" t="str">
        <f t="shared" si="101"/>
        <v/>
      </c>
      <c r="Z452" s="1658" t="str">
        <f t="shared" si="97"/>
        <v/>
      </c>
    </row>
    <row r="453" spans="1:26" x14ac:dyDescent="0.25">
      <c r="A453" s="1655" t="s">
        <v>1166</v>
      </c>
      <c r="B453" s="1655" t="s">
        <v>317</v>
      </c>
      <c r="C453" s="1655" t="str">
        <f t="shared" si="98"/>
        <v/>
      </c>
      <c r="D453" s="1655" t="str">
        <f>IF(SOURCES!C15="","",SOURCES!C15)</f>
        <v>MIP</v>
      </c>
      <c r="E453" s="1659" t="str">
        <f>IF(SOURCE_Perm4FHAMIP="","",SOURCE_Perm4FHAMIP)</f>
        <v>Enter Entity Name</v>
      </c>
      <c r="F453" s="1678" t="str">
        <f>IF(SOURCE_PermLienPosition4="","",SOURCE_PermLienPosition4)</f>
        <v/>
      </c>
      <c r="G453" s="670" t="str">
        <f>IF(SOURCE_PermDCR4="","",SOURCE_PermDCR4)</f>
        <v/>
      </c>
      <c r="H453" s="1659">
        <f>IF(SOURCE_PermPayment4="","",SOURCE_PermPayment4)</f>
        <v>0</v>
      </c>
      <c r="I453" s="1655" t="str">
        <f>IF(SOURCE_PermRate4="","",SOURCE_PermRate4)</f>
        <v/>
      </c>
      <c r="J453" s="1655" t="str">
        <f>IF(SOURCE_PermAmortTerm4="","",SOURCE_PermAmortTerm4)</f>
        <v/>
      </c>
      <c r="K453" s="1655" t="str">
        <f>IF(SOURCE_PermLoanTerm4="","",SOURCE_PermLoanTerm4)</f>
        <v/>
      </c>
      <c r="L453" s="1655" t="str">
        <f>IF(SOURCE_PermLoanAmount4="","",SOURCE_PermLoanAmount4)</f>
        <v/>
      </c>
      <c r="M453" s="1658"/>
      <c r="O453" s="1659" t="s">
        <v>1612</v>
      </c>
      <c r="P453" s="1657" t="str">
        <f t="shared" si="94"/>
        <v/>
      </c>
      <c r="Q453" s="1657" t="str">
        <f t="shared" si="102"/>
        <v/>
      </c>
      <c r="R453" s="1659" t="str">
        <f t="shared" si="99"/>
        <v/>
      </c>
      <c r="S453" s="1659" t="str">
        <f t="shared" si="100"/>
        <v/>
      </c>
      <c r="T453" s="1659" t="str">
        <f t="shared" si="95"/>
        <v/>
      </c>
      <c r="U453" s="1659" t="str">
        <f t="shared" si="103"/>
        <v/>
      </c>
      <c r="V453" s="1659" t="str">
        <f t="shared" si="104"/>
        <v/>
      </c>
      <c r="W453" s="1659" t="str">
        <f t="shared" si="96"/>
        <v/>
      </c>
      <c r="X453" s="1659" t="str">
        <f t="shared" si="105"/>
        <v/>
      </c>
      <c r="Y453" s="1659" t="str">
        <f t="shared" si="101"/>
        <v/>
      </c>
      <c r="Z453" s="1658" t="str">
        <f t="shared" si="97"/>
        <v/>
      </c>
    </row>
    <row r="454" spans="1:26" x14ac:dyDescent="0.25">
      <c r="A454" s="1655" t="s">
        <v>1166</v>
      </c>
      <c r="B454" s="1655" t="s">
        <v>317</v>
      </c>
      <c r="C454" s="1655" t="str">
        <f t="shared" si="98"/>
        <v/>
      </c>
      <c r="D454" s="1655" t="str">
        <f>IF(SOURCES!C16="","",SOURCES!C16)</f>
        <v xml:space="preserve">Rental Housing Program Funds </v>
      </c>
      <c r="E454" s="1659" t="str">
        <f>IF(SOURCE_Perm5RFP="","",SOURCE_Perm5RFP)</f>
        <v>Maryland DHCD</v>
      </c>
      <c r="F454" s="1678" t="str">
        <f>IF(SOURCE_PermLienPosition5="","",SOURCE_PermLienPosition5)</f>
        <v>_</v>
      </c>
      <c r="G454" s="1655" t="str">
        <f>IF(SOURCE_PermDCR5="","",SOURCE_PermDCR5)</f>
        <v/>
      </c>
      <c r="H454" s="1659">
        <f>IF(SOURCE_PermPayment5="","",SOURCE_PermPayment5)</f>
        <v>0</v>
      </c>
      <c r="I454" s="1655" t="str">
        <f>IF(SOURCE_PermRate5="","",SOURCE_PermRate5)</f>
        <v/>
      </c>
      <c r="J454" s="1655" t="str">
        <f>IF(SOURCE_PermAmortTerm5="","",SOURCE_PermAmortTerm5)</f>
        <v/>
      </c>
      <c r="K454" s="1655" t="str">
        <f>IF(SOURCE_PermLoanTerm5="","",SOURCE_PermLoanTerm5)</f>
        <v/>
      </c>
      <c r="L454" s="1655" t="str">
        <f>IF(SOURCE_PermLoanAmount5="","",SOURCE_PermLoanAmount5)</f>
        <v/>
      </c>
      <c r="M454" s="1658"/>
      <c r="O454" s="1659" t="s">
        <v>1612</v>
      </c>
      <c r="P454" s="1657" t="str">
        <f t="shared" si="94"/>
        <v/>
      </c>
      <c r="Q454" s="1657" t="str">
        <f>IF(OR(D454="",D454="Describe",L454=""),"","Rental Housing Program")</f>
        <v/>
      </c>
      <c r="R454" s="1659" t="str">
        <f t="shared" si="99"/>
        <v/>
      </c>
      <c r="S454" s="1659" t="str">
        <f t="shared" si="100"/>
        <v/>
      </c>
      <c r="T454" s="1659" t="str">
        <f t="shared" si="95"/>
        <v/>
      </c>
      <c r="U454" s="1659" t="str">
        <f t="shared" si="103"/>
        <v/>
      </c>
      <c r="V454" s="1659" t="str">
        <f t="shared" si="104"/>
        <v/>
      </c>
      <c r="W454" s="1659" t="str">
        <f t="shared" si="96"/>
        <v/>
      </c>
      <c r="X454" s="1659" t="str">
        <f t="shared" si="105"/>
        <v/>
      </c>
      <c r="Y454" s="1659" t="str">
        <f t="shared" si="101"/>
        <v/>
      </c>
      <c r="Z454" s="1658" t="str">
        <f t="shared" si="97"/>
        <v/>
      </c>
    </row>
    <row r="455" spans="1:26" x14ac:dyDescent="0.25">
      <c r="A455" s="1655" t="s">
        <v>1166</v>
      </c>
      <c r="B455" s="1655" t="s">
        <v>317</v>
      </c>
      <c r="C455" s="1655" t="str">
        <f t="shared" si="98"/>
        <v/>
      </c>
      <c r="D455" s="1655" t="str">
        <f>IF(SOURCES!C17="","",SOURCES!C17)</f>
        <v>HOME (DHCD)</v>
      </c>
      <c r="E455" s="1659" t="str">
        <f>IF(SOURCE_Perm6HOME="","",SOURCE_Perm6HOME)</f>
        <v>Maryland DHCD</v>
      </c>
      <c r="F455" s="1678" t="str">
        <f>IF(SOURCE_PermLienPosition6="","",SOURCE_PermLienPosition6)</f>
        <v>_</v>
      </c>
      <c r="G455" s="1655" t="str">
        <f>IF(SOURCE_PermDCR6="","",SOURCE_PermDCR6)</f>
        <v/>
      </c>
      <c r="H455" s="1659">
        <f>IF(SOURCE_PermPayment6="","",SOURCE_PermPayment6)</f>
        <v>0</v>
      </c>
      <c r="I455" s="1655" t="str">
        <f>IF(SOURCE_PermRate6="","",SOURCE_PermRate6)</f>
        <v/>
      </c>
      <c r="J455" s="1655" t="str">
        <f>IF(SOURCE_PermAmortTerm6="","",SOURCE_PermAmortTerm6)</f>
        <v/>
      </c>
      <c r="K455" s="1655" t="str">
        <f>IF(SOURCE_PermLoanTerm6="","",SOURCE_PermLoanTerm6)</f>
        <v/>
      </c>
      <c r="L455" s="1655" t="str">
        <f>IF(SOURCE_PermLoanAmount6="","",SOURCE_PermLoanAmount6)</f>
        <v/>
      </c>
      <c r="M455" s="1658"/>
      <c r="O455" s="1659" t="s">
        <v>1612</v>
      </c>
      <c r="P455" s="1657" t="str">
        <f t="shared" si="94"/>
        <v/>
      </c>
      <c r="Q455" s="1657" t="str">
        <f>IF(OR(D455="",D455="Describe",L455=""),"","Home - Investment Program")</f>
        <v/>
      </c>
      <c r="R455" s="1659" t="str">
        <f t="shared" si="99"/>
        <v/>
      </c>
      <c r="S455" s="1659" t="str">
        <f t="shared" si="100"/>
        <v/>
      </c>
      <c r="T455" s="1659" t="str">
        <f t="shared" si="95"/>
        <v/>
      </c>
      <c r="U455" s="1659" t="str">
        <f t="shared" si="103"/>
        <v/>
      </c>
      <c r="V455" s="1659" t="str">
        <f t="shared" si="104"/>
        <v/>
      </c>
      <c r="W455" s="1659" t="str">
        <f t="shared" si="96"/>
        <v/>
      </c>
      <c r="X455" s="1659" t="str">
        <f t="shared" si="105"/>
        <v/>
      </c>
      <c r="Y455" s="1659" t="str">
        <f t="shared" si="101"/>
        <v/>
      </c>
      <c r="Z455" s="1658" t="str">
        <f t="shared" si="97"/>
        <v/>
      </c>
    </row>
    <row r="456" spans="1:26" x14ac:dyDescent="0.25">
      <c r="A456" s="1655" t="s">
        <v>1166</v>
      </c>
      <c r="B456" s="1655" t="s">
        <v>317</v>
      </c>
      <c r="C456" s="1655" t="str">
        <f t="shared" si="98"/>
        <v/>
      </c>
      <c r="D456" s="1655" t="str">
        <f>IF(SOURCES!C18="","",SOURCES!C18)</f>
        <v>HOME (non-DHCD)</v>
      </c>
      <c r="E456" s="1659" t="str">
        <f>IF(SOURCE_Perm7HOMEnonDHCD="","",SOURCE_Perm7HOMEnonDHCD)</f>
        <v>Enter Entity Name</v>
      </c>
      <c r="F456" s="1678" t="str">
        <f>IF(SOURCE_PermLienPosition7="","",SOURCE_PermLienPosition7)</f>
        <v>_</v>
      </c>
      <c r="G456" s="1655" t="str">
        <f>IF(SOURCE_PermDCR7="","",SOURCE_PermDCR7)</f>
        <v/>
      </c>
      <c r="H456" s="1659">
        <f>IF(SOURCE_PermPayment7="","",SOURCE_PermPayment7)</f>
        <v>0</v>
      </c>
      <c r="I456" s="1655" t="str">
        <f>IF(SOURCE_PermRate7="","",SOURCE_PermRate7)</f>
        <v/>
      </c>
      <c r="J456" s="1655" t="str">
        <f>IF(SOURCE_PermAmortTerm7="","",SOURCE_PermAmortTerm7)</f>
        <v/>
      </c>
      <c r="K456" s="1655" t="str">
        <f>IF(SOURCE_PermLoanTerm7="","",SOURCE_PermLoanTerm7)</f>
        <v/>
      </c>
      <c r="L456" s="1655" t="str">
        <f>IF(SOURCE_PermLoanAmount7="","",SOURCE_PermLoanAmount7)</f>
        <v/>
      </c>
      <c r="M456" s="1658"/>
      <c r="O456" s="1659" t="s">
        <v>1612</v>
      </c>
      <c r="P456" s="1657" t="str">
        <f t="shared" si="94"/>
        <v/>
      </c>
      <c r="Q456" s="1657" t="str">
        <f>IF(OR(D456="",D456="Describe",L456=""),"","HOME (non-DHCD)")</f>
        <v/>
      </c>
      <c r="R456" s="1659" t="str">
        <f t="shared" si="99"/>
        <v/>
      </c>
      <c r="S456" s="1659" t="str">
        <f t="shared" si="100"/>
        <v/>
      </c>
      <c r="T456" s="1659" t="str">
        <f t="shared" si="95"/>
        <v/>
      </c>
      <c r="U456" s="1659" t="str">
        <f t="shared" si="103"/>
        <v/>
      </c>
      <c r="V456" s="1659" t="str">
        <f t="shared" si="104"/>
        <v/>
      </c>
      <c r="W456" s="1659" t="str">
        <f t="shared" si="96"/>
        <v/>
      </c>
      <c r="X456" s="1659" t="str">
        <f t="shared" si="105"/>
        <v/>
      </c>
      <c r="Y456" s="1659" t="str">
        <f t="shared" si="101"/>
        <v/>
      </c>
      <c r="Z456" s="1658" t="str">
        <f t="shared" si="97"/>
        <v/>
      </c>
    </row>
    <row r="457" spans="1:26" x14ac:dyDescent="0.25">
      <c r="A457" s="1655" t="s">
        <v>1166</v>
      </c>
      <c r="B457" s="1655" t="s">
        <v>317</v>
      </c>
      <c r="C457" s="1655" t="str">
        <f>IF(L457="","","Debt Service Financing")</f>
        <v/>
      </c>
      <c r="D457" s="1655" t="str">
        <f>IF(SOURCES!D19="","",SOURCES!D19)</f>
        <v/>
      </c>
      <c r="E457" s="1659" t="str">
        <f>IF(SOURCE_Perm8Other1="","",SOURCE_Perm8Other1)</f>
        <v>Enter Entity Name</v>
      </c>
      <c r="F457" s="1678" t="str">
        <f>IF(SOURCE_PermLienPosition8="","",SOURCE_PermLienPosition8)</f>
        <v>_</v>
      </c>
      <c r="G457" s="1655" t="str">
        <f>IF(SOURCE_PermDCR8="","",SOURCE_PermDCR8)</f>
        <v/>
      </c>
      <c r="H457" s="1659">
        <f>IF(SOURCE_PermPayment8="","",SOURCE_PermPayment8)</f>
        <v>0</v>
      </c>
      <c r="I457" s="1655" t="str">
        <f>IF(SOURCE_PermRate8="","",SOURCE_PermRate8)</f>
        <v/>
      </c>
      <c r="J457" s="1655" t="str">
        <f>IF(SOURCE_PermAmortTerm8="","",SOURCE_PermAmortTerm8)</f>
        <v/>
      </c>
      <c r="K457" s="1655" t="str">
        <f>IF(SOURCE_PermLoanTerm8="","",SOURCE_PermLoanTerm8)</f>
        <v/>
      </c>
      <c r="L457" s="1655" t="str">
        <f>IF(SOURCE_PermLoanAmount8="","",SOURCE_PermLoanAmount8)</f>
        <v/>
      </c>
      <c r="M457" s="1658"/>
      <c r="O457" s="1659" t="s">
        <v>1612</v>
      </c>
      <c r="P457" s="1657" t="str">
        <f t="shared" si="94"/>
        <v/>
      </c>
      <c r="Q457" s="1657" t="str">
        <f t="shared" si="102"/>
        <v/>
      </c>
      <c r="R457" s="1659" t="str">
        <f t="shared" si="99"/>
        <v/>
      </c>
      <c r="S457" s="1659" t="str">
        <f t="shared" si="100"/>
        <v/>
      </c>
      <c r="T457" s="1659" t="str">
        <f t="shared" si="95"/>
        <v/>
      </c>
      <c r="U457" s="1659" t="str">
        <f t="shared" si="103"/>
        <v/>
      </c>
      <c r="V457" s="1659" t="str">
        <f t="shared" si="104"/>
        <v/>
      </c>
      <c r="W457" s="1659" t="str">
        <f t="shared" si="96"/>
        <v/>
      </c>
      <c r="X457" s="1659" t="str">
        <f t="shared" si="105"/>
        <v/>
      </c>
      <c r="Y457" s="1659" t="str">
        <f t="shared" si="101"/>
        <v/>
      </c>
      <c r="Z457" s="1658" t="str">
        <f t="shared" si="97"/>
        <v/>
      </c>
    </row>
    <row r="458" spans="1:26" x14ac:dyDescent="0.25">
      <c r="A458" s="1655" t="s">
        <v>1166</v>
      </c>
      <c r="B458" s="1655" t="s">
        <v>317</v>
      </c>
      <c r="C458" s="1655" t="str">
        <f t="shared" si="98"/>
        <v/>
      </c>
      <c r="D458" s="1655" t="str">
        <f>IF(SOURCES!D20="","",SOURCES!D20)</f>
        <v/>
      </c>
      <c r="E458" s="1659" t="str">
        <f>IF(SOURCE_Perm9Other2="","",SOURCE_Perm9Other2)</f>
        <v>Enter Entity Name</v>
      </c>
      <c r="F458" s="1678" t="str">
        <f>IF(SOURCE_PermLienPosition9="","",SOURCE_PermLienPosition9)</f>
        <v>_</v>
      </c>
      <c r="G458" s="1655" t="str">
        <f>IF(SOURCE_PermDCR9="","",SOURCE_PermDCR9)</f>
        <v/>
      </c>
      <c r="H458" s="1659">
        <f>IF(SOURCE_PermPayment9="","",SOURCE_PermPayment9)</f>
        <v>0</v>
      </c>
      <c r="I458" s="1655" t="str">
        <f>IF(SOURCE_PermRate9="","",SOURCE_PermRate9)</f>
        <v/>
      </c>
      <c r="J458" s="1655" t="str">
        <f>IF(SOURCE_PermAmortTerm9="","",SOURCE_PermAmortTerm9)</f>
        <v/>
      </c>
      <c r="K458" s="1655" t="str">
        <f>IF(SOURCE_PermLoanTerm9="","",SOURCE_PermLoanTerm9)</f>
        <v/>
      </c>
      <c r="L458" s="1655" t="str">
        <f>IF(SOURCE_PermLoanAmount9="","",SOURCE_PermLoanAmount9)</f>
        <v/>
      </c>
      <c r="M458" s="1658"/>
      <c r="O458" s="1659" t="s">
        <v>1612</v>
      </c>
      <c r="P458" s="1657" t="str">
        <f t="shared" si="94"/>
        <v/>
      </c>
      <c r="Q458" s="1657" t="str">
        <f t="shared" si="102"/>
        <v/>
      </c>
      <c r="R458" s="1659" t="str">
        <f t="shared" si="99"/>
        <v/>
      </c>
      <c r="S458" s="1659" t="str">
        <f t="shared" si="100"/>
        <v/>
      </c>
      <c r="T458" s="1659" t="str">
        <f t="shared" si="95"/>
        <v/>
      </c>
      <c r="U458" s="1659" t="str">
        <f t="shared" si="103"/>
        <v/>
      </c>
      <c r="V458" s="1659" t="str">
        <f t="shared" si="104"/>
        <v/>
      </c>
      <c r="W458" s="1659" t="str">
        <f t="shared" si="96"/>
        <v/>
      </c>
      <c r="X458" s="1659" t="str">
        <f t="shared" si="105"/>
        <v/>
      </c>
      <c r="Y458" s="1659" t="str">
        <f t="shared" si="101"/>
        <v/>
      </c>
      <c r="Z458" s="1658" t="str">
        <f t="shared" si="97"/>
        <v/>
      </c>
    </row>
    <row r="459" spans="1:26" x14ac:dyDescent="0.25">
      <c r="A459" s="1655" t="s">
        <v>1166</v>
      </c>
      <c r="B459" s="1655" t="s">
        <v>302</v>
      </c>
      <c r="C459" s="1655" t="str">
        <f>IF(L459="","","Cash Flow Financing and Grants")</f>
        <v/>
      </c>
      <c r="D459" s="1655" t="str">
        <f>IF(SOURCES!C29="","",SOURCES!C29)</f>
        <v>Rental Housing Program Funds</v>
      </c>
      <c r="E459" s="1659" t="str">
        <f>IF(SOURCE_CFSource1RHPF="","",SOURCE_CFSource1RHPF)</f>
        <v>Maryland DHCD</v>
      </c>
      <c r="F459" s="1678" t="str">
        <f>IF(SOURCE_CFLienPosition1="","",SOURCE_CFLienPosition1)</f>
        <v>_</v>
      </c>
      <c r="G459" s="1658"/>
      <c r="H459" s="1658"/>
      <c r="I459" s="1675" t="str">
        <f>IF(SOURCE_CFInterestRate1="","",SOURCE_CFInterestRate1)</f>
        <v/>
      </c>
      <c r="J459" s="1655" t="str">
        <f>IF(SOURCE_CFAmortizationTerm1="","",SOURCE_CFAmortizationTerm1)</f>
        <v/>
      </c>
      <c r="K459" s="1655" t="str">
        <f>IF(SOURCE_CFTerm1="","",SOURCE_CFTerm1)</f>
        <v/>
      </c>
      <c r="L459" s="1655" t="str">
        <f>IF(SOURCE_CFLoanAmount1="","",SOURCE_CFLoanAmount1)</f>
        <v/>
      </c>
      <c r="M459" s="1679" t="str">
        <f>IF(GEN_DHCDDebtYN1="","",GEN_DHCDDebtYN1)</f>
        <v/>
      </c>
      <c r="O459" s="1659" t="s">
        <v>1612</v>
      </c>
      <c r="P459" s="1657" t="str">
        <f t="shared" si="94"/>
        <v/>
      </c>
      <c r="Q459" s="1657" t="str">
        <f>IF(OR(D459="",D459="Describe",L459=""),"","Rental Housing Program")</f>
        <v/>
      </c>
      <c r="R459" s="1659" t="str">
        <f t="shared" si="99"/>
        <v/>
      </c>
      <c r="S459" s="1659" t="str">
        <f t="shared" si="100"/>
        <v/>
      </c>
      <c r="T459" s="1668"/>
      <c r="U459" s="1668"/>
      <c r="V459" s="1659" t="str">
        <f t="shared" si="104"/>
        <v/>
      </c>
      <c r="W459" s="1659" t="str">
        <f t="shared" si="96"/>
        <v/>
      </c>
      <c r="X459" s="1659" t="str">
        <f t="shared" si="105"/>
        <v/>
      </c>
      <c r="Y459" s="1659" t="str">
        <f t="shared" si="101"/>
        <v/>
      </c>
      <c r="Z459" s="1680" t="str">
        <f t="shared" ref="Z459:Z464" si="106">IF(AND($L459&lt;&gt;"",M459&lt;&gt;""),M459,"")</f>
        <v/>
      </c>
    </row>
    <row r="460" spans="1:26" x14ac:dyDescent="0.25">
      <c r="A460" s="1655" t="s">
        <v>1166</v>
      </c>
      <c r="B460" s="1655" t="s">
        <v>302</v>
      </c>
      <c r="C460" s="1655" t="str">
        <f t="shared" ref="C460:C476" si="107">IF(L460="","","Cash Flow Financing and Grants")</f>
        <v/>
      </c>
      <c r="D460" s="1655" t="str">
        <f>IF(SOURCES!C30="","",SOURCES!C30)</f>
        <v>Rental Housing Works</v>
      </c>
      <c r="E460" s="1659" t="str">
        <f>IF(SOURCE_CFSource2RHW="","",SOURCE_CFSource2RHW)</f>
        <v>Maryland DHCD</v>
      </c>
      <c r="F460" s="1678" t="str">
        <f>IF(SOURCE_CFLienPosition2="","",SOURCE_CFLienPosition2)</f>
        <v>_</v>
      </c>
      <c r="G460" s="1658"/>
      <c r="H460" s="1658"/>
      <c r="I460" s="1675" t="str">
        <f>IF(SOURCE_CFInterestRate2="","",SOURCE_CFInterestRate2)</f>
        <v/>
      </c>
      <c r="J460" s="1655" t="str">
        <f>IF(SOURCE_CFAmortizationTerm2="","",SOURCE_CFAmortizationTerm2)</f>
        <v/>
      </c>
      <c r="K460" s="1655" t="str">
        <f>IF(SOURCE_CFTerm2="","",SOURCE_CFTerm2)</f>
        <v/>
      </c>
      <c r="L460" s="1655" t="str">
        <f>IF(SOURCE_CFLoanAmount2="","",SOURCE_CFLoanAmount2)</f>
        <v/>
      </c>
      <c r="M460" s="1679" t="str">
        <f>IF(GEN_DHCDDebtYN2="","",GEN_DHCDDebtYN2)</f>
        <v/>
      </c>
      <c r="O460" s="1659" t="s">
        <v>1612</v>
      </c>
      <c r="P460" s="1657" t="str">
        <f t="shared" si="94"/>
        <v/>
      </c>
      <c r="Q460" s="1657" t="str">
        <f t="shared" si="102"/>
        <v/>
      </c>
      <c r="R460" s="1659" t="str">
        <f t="shared" si="99"/>
        <v/>
      </c>
      <c r="S460" s="1659" t="str">
        <f t="shared" si="100"/>
        <v/>
      </c>
      <c r="T460" s="1668"/>
      <c r="U460" s="1668"/>
      <c r="V460" s="1659" t="str">
        <f t="shared" si="104"/>
        <v/>
      </c>
      <c r="W460" s="1659" t="str">
        <f t="shared" si="96"/>
        <v/>
      </c>
      <c r="X460" s="1659" t="str">
        <f t="shared" si="105"/>
        <v/>
      </c>
      <c r="Y460" s="1659" t="str">
        <f t="shared" si="101"/>
        <v/>
      </c>
      <c r="Z460" s="1680" t="str">
        <f t="shared" si="106"/>
        <v/>
      </c>
    </row>
    <row r="461" spans="1:26" x14ac:dyDescent="0.25">
      <c r="A461" s="1655" t="s">
        <v>1166</v>
      </c>
      <c r="B461" s="1655" t="s">
        <v>302</v>
      </c>
      <c r="C461" s="1655" t="str">
        <f t="shared" si="107"/>
        <v/>
      </c>
      <c r="D461" s="1655" t="str">
        <f>IF(SOURCES!C31="","",SOURCES!C31)</f>
        <v>Housing Trust Fund</v>
      </c>
      <c r="E461" s="1659" t="str">
        <f>IF(SOURCE_CFSource3HTF="","",SOURCE_CFSource3HTF)</f>
        <v>Maryland DHCD</v>
      </c>
      <c r="F461" s="1678" t="str">
        <f>IF(SOURCE_CFLienPosition3="","",SOURCE_CFLienPosition3)</f>
        <v>_</v>
      </c>
      <c r="G461" s="1658"/>
      <c r="H461" s="1658"/>
      <c r="I461" s="1675" t="str">
        <f>IF(SOURCE_CFInterestRate3="","",SOURCE_CFInterestRate3)</f>
        <v/>
      </c>
      <c r="J461" s="1655" t="str">
        <f>IF(SOURCE_CFAmortizationTerm3="","",SOURCE_CFAmortizationTerm3)</f>
        <v/>
      </c>
      <c r="K461" s="1655" t="str">
        <f>IF(SOURCE_CFTerm3="","",SOURCE_CFTerm3)</f>
        <v/>
      </c>
      <c r="L461" s="1655" t="str">
        <f>IF(SOURCE_CFLoanAmount3="","",SOURCE_CFLoanAmount3)</f>
        <v/>
      </c>
      <c r="M461" s="1679" t="str">
        <f>IF(GEN_DHCDDebtYN3="","",GEN_DHCDDebtYN3)</f>
        <v/>
      </c>
      <c r="O461" s="1659" t="s">
        <v>1612</v>
      </c>
      <c r="P461" s="1657" t="str">
        <f t="shared" si="94"/>
        <v/>
      </c>
      <c r="Q461" s="1657" t="str">
        <f t="shared" si="102"/>
        <v/>
      </c>
      <c r="R461" s="1659" t="str">
        <f t="shared" si="99"/>
        <v/>
      </c>
      <c r="S461" s="1659" t="str">
        <f t="shared" si="100"/>
        <v/>
      </c>
      <c r="T461" s="1668"/>
      <c r="U461" s="1668"/>
      <c r="V461" s="1659" t="str">
        <f t="shared" si="104"/>
        <v/>
      </c>
      <c r="W461" s="1659" t="str">
        <f t="shared" si="96"/>
        <v/>
      </c>
      <c r="X461" s="1659" t="str">
        <f t="shared" si="105"/>
        <v/>
      </c>
      <c r="Y461" s="1659" t="str">
        <f t="shared" si="101"/>
        <v/>
      </c>
      <c r="Z461" s="1680" t="str">
        <f t="shared" si="106"/>
        <v/>
      </c>
    </row>
    <row r="462" spans="1:26" x14ac:dyDescent="0.25">
      <c r="A462" s="1655" t="s">
        <v>1166</v>
      </c>
      <c r="B462" s="1655" t="s">
        <v>302</v>
      </c>
      <c r="C462" s="1655" t="str">
        <f t="shared" si="107"/>
        <v/>
      </c>
      <c r="D462" s="1655" t="str">
        <f>IF(SOURCES!C32="","",SOURCES!C32)</f>
        <v>HOME Funds (DHCD)</v>
      </c>
      <c r="E462" s="1659" t="str">
        <f>IF(SOURCE_CFSource4HOMEFunds="","",SOURCE_CFSource4HOMEFunds)</f>
        <v>Maryland DHCD</v>
      </c>
      <c r="F462" s="1678" t="str">
        <f>IF(SOURCE_CFLienPosition4="","",SOURCE_CFLienPosition4)</f>
        <v>_</v>
      </c>
      <c r="G462" s="1658"/>
      <c r="H462" s="1658"/>
      <c r="I462" s="1675" t="str">
        <f>IF(SOURCE_CFInterestRate4="","",SOURCE_CFInterestRate4)</f>
        <v/>
      </c>
      <c r="J462" s="1655" t="str">
        <f>IF(SOURCE_CFAmortizationTerm4="","",SOURCE_CFAmortizationTerm4)</f>
        <v/>
      </c>
      <c r="K462" s="1655" t="str">
        <f>IF(SOURCE_CFTerm4="","",SOURCE_CFTerm4)</f>
        <v/>
      </c>
      <c r="L462" s="1655" t="str">
        <f>IF(SOURCE_CFLoanAmount4="","",SOURCE_CFLoanAmount4)</f>
        <v/>
      </c>
      <c r="M462" s="1679" t="str">
        <f>IF(GEN_DHCDDebtYN4="","",GEN_DHCDDebtYN4)</f>
        <v/>
      </c>
      <c r="O462" s="1659" t="s">
        <v>1612</v>
      </c>
      <c r="P462" s="1657" t="str">
        <f t="shared" si="94"/>
        <v/>
      </c>
      <c r="Q462" s="1657" t="str">
        <f>IF(OR(D462="",D462="Describe",L462=""),"","Home - Investment Program")</f>
        <v/>
      </c>
      <c r="R462" s="1659" t="str">
        <f t="shared" si="99"/>
        <v/>
      </c>
      <c r="S462" s="1659" t="str">
        <f t="shared" si="100"/>
        <v/>
      </c>
      <c r="T462" s="1668"/>
      <c r="U462" s="1668"/>
      <c r="V462" s="1659" t="str">
        <f t="shared" si="104"/>
        <v/>
      </c>
      <c r="W462" s="1659" t="str">
        <f t="shared" si="96"/>
        <v/>
      </c>
      <c r="X462" s="1659" t="str">
        <f t="shared" si="105"/>
        <v/>
      </c>
      <c r="Y462" s="1659" t="str">
        <f t="shared" si="101"/>
        <v/>
      </c>
      <c r="Z462" s="1680" t="str">
        <f t="shared" si="106"/>
        <v/>
      </c>
    </row>
    <row r="463" spans="1:26" x14ac:dyDescent="0.25">
      <c r="A463" s="1655" t="s">
        <v>1166</v>
      </c>
      <c r="B463" s="1655" t="s">
        <v>302</v>
      </c>
      <c r="C463" s="1655" t="str">
        <f t="shared" si="107"/>
        <v/>
      </c>
      <c r="D463" s="1655" t="str">
        <f>IF(SOURCES!C33="","",SOURCES!C33)</f>
        <v>HOME ARP (DHCD)</v>
      </c>
      <c r="E463" s="1659" t="str">
        <f>IF(SOURCE_CFSource5HOMEARP="","",SOURCE_CFSource5HOMEARP)</f>
        <v>Maryland DHCD</v>
      </c>
      <c r="F463" s="1678" t="str">
        <f>IF(SOURCE_CFLienPosition5="","",SOURCE_CFLienPosition5)</f>
        <v>_</v>
      </c>
      <c r="G463" s="1658"/>
      <c r="H463" s="1658"/>
      <c r="I463" s="1675" t="str">
        <f>IF(SOURCE_CFInterestRate5="","",SOURCE_CFInterestRate5)</f>
        <v/>
      </c>
      <c r="J463" s="1655" t="str">
        <f>IF(SOURCE_CFAmortizationTerm5="","",SOURCE_CFAmortizationTerm5)</f>
        <v/>
      </c>
      <c r="K463" s="1655" t="str">
        <f>IF(SOURCE_CFTerm5="","",SOURCE_CFTerm5)</f>
        <v/>
      </c>
      <c r="L463" s="1655" t="str">
        <f>IF(SOURCE_CFLoanAmount5="","",SOURCE_CFLoanAmount5)</f>
        <v/>
      </c>
      <c r="M463" s="1679" t="str">
        <f>IF(GEN_DHCDDebtYN5="","",GEN_DHCDDebtYN5)</f>
        <v/>
      </c>
      <c r="O463" s="1659" t="s">
        <v>1612</v>
      </c>
      <c r="P463" s="1657" t="str">
        <f t="shared" si="94"/>
        <v/>
      </c>
      <c r="Q463" s="1657" t="str">
        <f>IF(OR(D463="",D463="Describe",L463=""),"","Home - American Rescue Plan")</f>
        <v/>
      </c>
      <c r="R463" s="1659" t="str">
        <f t="shared" si="99"/>
        <v/>
      </c>
      <c r="S463" s="1659" t="str">
        <f t="shared" si="100"/>
        <v/>
      </c>
      <c r="T463" s="1668"/>
      <c r="U463" s="1668"/>
      <c r="V463" s="1659" t="str">
        <f t="shared" si="104"/>
        <v/>
      </c>
      <c r="W463" s="1659" t="str">
        <f t="shared" si="96"/>
        <v/>
      </c>
      <c r="X463" s="1659" t="str">
        <f t="shared" si="105"/>
        <v/>
      </c>
      <c r="Y463" s="1659" t="str">
        <f t="shared" si="101"/>
        <v/>
      </c>
      <c r="Z463" s="1680" t="str">
        <f t="shared" si="106"/>
        <v/>
      </c>
    </row>
    <row r="464" spans="1:26" x14ac:dyDescent="0.25">
      <c r="A464" s="1655" t="s">
        <v>1166</v>
      </c>
      <c r="B464" s="1655" t="s">
        <v>302</v>
      </c>
      <c r="C464" s="1655" t="str">
        <f t="shared" si="107"/>
        <v/>
      </c>
      <c r="D464" s="1655" t="str">
        <f>IF(SOURCES!C34="","",SOURCES!C34)</f>
        <v>Partnership Rental Housing Program Funds</v>
      </c>
      <c r="E464" s="1659" t="str">
        <f>IF(SOURCE_CFSource6PRHPF="","",SOURCE_CFSource6PRHPF)</f>
        <v>Maryland DHCD</v>
      </c>
      <c r="F464" s="1678" t="str">
        <f>IF(SOURCE_CFLienPosition6="","",SOURCE_CFLienPosition6)</f>
        <v>_</v>
      </c>
      <c r="G464" s="1658"/>
      <c r="H464" s="1658"/>
      <c r="I464" s="1681"/>
      <c r="J464" s="1658"/>
      <c r="K464" s="1658"/>
      <c r="L464" s="1655" t="str">
        <f>IF(SOURCE_CFLoanAmount6="","",SOURCE_CFLoanAmount6)</f>
        <v/>
      </c>
      <c r="M464" s="1679" t="str">
        <f>IF(GEN_DHCDDebtYN6="","",GEN_DHCDDebtYN6)</f>
        <v/>
      </c>
      <c r="O464" s="1659" t="s">
        <v>1612</v>
      </c>
      <c r="P464" s="1657" t="str">
        <f t="shared" si="94"/>
        <v/>
      </c>
      <c r="Q464" s="1657" t="str">
        <f>IF(OR(D464="",D464="Describe",L464=""),"","Partnership Rental Housing Program")</f>
        <v/>
      </c>
      <c r="R464" s="1659" t="str">
        <f t="shared" si="99"/>
        <v/>
      </c>
      <c r="S464" s="1659" t="str">
        <f t="shared" si="100"/>
        <v/>
      </c>
      <c r="T464" s="1668"/>
      <c r="U464" s="1668"/>
      <c r="V464" s="1668"/>
      <c r="W464" s="1668"/>
      <c r="X464" s="1668"/>
      <c r="Y464" s="1659" t="str">
        <f t="shared" si="101"/>
        <v/>
      </c>
      <c r="Z464" s="1680" t="str">
        <f t="shared" si="106"/>
        <v/>
      </c>
    </row>
    <row r="465" spans="1:26" x14ac:dyDescent="0.25">
      <c r="A465" s="1655" t="s">
        <v>1166</v>
      </c>
      <c r="B465" s="1655" t="s">
        <v>302</v>
      </c>
      <c r="C465" s="1655" t="str">
        <f t="shared" si="107"/>
        <v/>
      </c>
      <c r="D465" s="1655" t="str">
        <f>IF(SOURCES!C35="","",SOURCES!C35)</f>
        <v>Weinberg</v>
      </c>
      <c r="E465" s="1659" t="str">
        <f>IF(SOURCE_CFSource7Weinberg="","",SOURCE_CFSource7Weinberg)</f>
        <v>Maryland DHCD</v>
      </c>
      <c r="F465" s="1678" t="str">
        <f>IF(SOURCE_CFLienPosition7="","",SOURCE_CFLienPosition7)</f>
        <v>_</v>
      </c>
      <c r="G465" s="1658"/>
      <c r="H465" s="1658"/>
      <c r="I465" s="1681"/>
      <c r="J465" s="1658"/>
      <c r="K465" s="1658"/>
      <c r="L465" s="1655" t="str">
        <f>IF(SOURCE_CFLoanAmount7="","",SOURCE_CFLoanAmount7)</f>
        <v/>
      </c>
      <c r="M465" s="1682"/>
      <c r="O465" s="1659" t="s">
        <v>1612</v>
      </c>
      <c r="P465" s="1657" t="str">
        <f t="shared" si="94"/>
        <v/>
      </c>
      <c r="Q465" s="1657" t="str">
        <f>IF(OR(D465="",D465="Describe",L465=""),"","Weinberg Loan")</f>
        <v/>
      </c>
      <c r="R465" s="1659" t="str">
        <f t="shared" si="99"/>
        <v/>
      </c>
      <c r="S465" s="1659" t="str">
        <f t="shared" si="100"/>
        <v/>
      </c>
      <c r="T465" s="1668"/>
      <c r="U465" s="1668"/>
      <c r="V465" s="1668"/>
      <c r="W465" s="1668"/>
      <c r="X465" s="1668"/>
      <c r="Y465" s="1659" t="str">
        <f t="shared" si="101"/>
        <v/>
      </c>
      <c r="Z465" s="1682" t="str">
        <f t="shared" ref="Z465:Z493" si="108">IF(M465="","",M465)</f>
        <v/>
      </c>
    </row>
    <row r="466" spans="1:26" x14ac:dyDescent="0.25">
      <c r="A466" s="1655" t="s">
        <v>1166</v>
      </c>
      <c r="B466" s="1655" t="s">
        <v>302</v>
      </c>
      <c r="C466" s="1655" t="str">
        <f>IF(L466="","","Cash Flow Financing and Grants")</f>
        <v/>
      </c>
      <c r="D466" s="1655" t="str">
        <f>IF(SOURCES!C36="","",SOURCES!C36)</f>
        <v>MEEHA</v>
      </c>
      <c r="E466" s="1659" t="str">
        <f>IF(SOURCE_CFSource39MEEHA="","",SOURCE_CFSource39MEEHA)</f>
        <v>Maryland DHCD</v>
      </c>
      <c r="F466" s="1678" t="str">
        <f>IF(SOURCE_CFLienPosition39="","",SOURCE_CFLienPosition39)</f>
        <v>_</v>
      </c>
      <c r="G466" s="1658"/>
      <c r="H466" s="1658"/>
      <c r="I466" s="1681"/>
      <c r="J466" s="1658"/>
      <c r="K466" s="1658"/>
      <c r="L466" s="1655" t="str">
        <f>IF(SOURCE_CFLoanAmount39="","",SOURCE_CFLoanAmount39)</f>
        <v/>
      </c>
      <c r="M466" s="1682"/>
      <c r="O466" s="1659" t="s">
        <v>1612</v>
      </c>
      <c r="P466" s="1657" t="str">
        <f>IF(C466="","",C466)</f>
        <v/>
      </c>
      <c r="Q466" s="1657" t="str">
        <f>IF(OR(D466="",D466="Describe",L466=""),"","EmPOWER")</f>
        <v/>
      </c>
      <c r="R466" s="1659" t="str">
        <f>IF(OR(E466="",E466="Enter Entity Name",E466=0,L466=""),"",E466)</f>
        <v/>
      </c>
      <c r="S466" s="1659" t="str">
        <f>IF(AND(L466&lt;&gt;"",F466&lt;&gt;"",F466&lt;&gt;"_"),F466,"")</f>
        <v/>
      </c>
      <c r="T466" s="1668"/>
      <c r="U466" s="1668"/>
      <c r="V466" s="1668"/>
      <c r="W466" s="1668"/>
      <c r="X466" s="1668"/>
      <c r="Y466" s="1659" t="str">
        <f>IF(OR(L466="",L466=0),"",L466)</f>
        <v/>
      </c>
      <c r="Z466" s="1682" t="str">
        <f>IF(M466="","",M466)</f>
        <v/>
      </c>
    </row>
    <row r="467" spans="1:26" x14ac:dyDescent="0.25">
      <c r="A467" s="1655" t="s">
        <v>1166</v>
      </c>
      <c r="B467" s="1655" t="s">
        <v>302</v>
      </c>
      <c r="C467" s="1655" t="str">
        <f t="shared" si="107"/>
        <v/>
      </c>
      <c r="D467" s="1655" t="str">
        <f>IF(SOURCES!D37="","",SOURCES!D37)</f>
        <v/>
      </c>
      <c r="E467" s="1659" t="str">
        <f>IF(SOURCE_CFSource8Other1="","",SOURCE_CFSource8Other1)</f>
        <v>Maryland DHCD</v>
      </c>
      <c r="F467" s="1678" t="str">
        <f>IF(SOURCE_CFLienPosition8="","",SOURCE_CFLienPosition8)</f>
        <v>_</v>
      </c>
      <c r="G467" s="1658"/>
      <c r="H467" s="1658"/>
      <c r="I467" s="1681"/>
      <c r="J467" s="1658"/>
      <c r="K467" s="1658"/>
      <c r="L467" s="1655" t="str">
        <f>IF(SOURCE_CFLoanAmount8="","",SOURCE_CFLoanAmount8)</f>
        <v/>
      </c>
      <c r="M467" s="1679" t="str">
        <f>IF(GEN_DHCDDebtYN7="","",GEN_DHCDDebtYN7)</f>
        <v/>
      </c>
      <c r="O467" s="1659" t="s">
        <v>1612</v>
      </c>
      <c r="P467" s="1657" t="str">
        <f t="shared" si="94"/>
        <v/>
      </c>
      <c r="Q467" s="1657" t="str">
        <f t="shared" si="102"/>
        <v/>
      </c>
      <c r="R467" s="1659" t="str">
        <f t="shared" si="99"/>
        <v/>
      </c>
      <c r="S467" s="1659" t="str">
        <f t="shared" si="100"/>
        <v/>
      </c>
      <c r="T467" s="1668"/>
      <c r="U467" s="1668"/>
      <c r="V467" s="1668"/>
      <c r="W467" s="1668"/>
      <c r="X467" s="1668"/>
      <c r="Y467" s="1659" t="str">
        <f t="shared" si="101"/>
        <v/>
      </c>
      <c r="Z467" s="1680" t="str">
        <f>IF(AND($L467&lt;&gt;"",M467&lt;&gt;""),M467,"")</f>
        <v/>
      </c>
    </row>
    <row r="468" spans="1:26" x14ac:dyDescent="0.25">
      <c r="A468" s="1655" t="s">
        <v>1166</v>
      </c>
      <c r="B468" s="1655" t="s">
        <v>302</v>
      </c>
      <c r="C468" s="1655" t="str">
        <f t="shared" si="107"/>
        <v/>
      </c>
      <c r="D468" s="1655" t="str">
        <f>IF(SOURCES!D38="","",SOURCES!D38)</f>
        <v/>
      </c>
      <c r="E468" s="1659" t="str">
        <f>IF(SOURCE_CFSource9Other2="","",SOURCE_CFSource9Other2)</f>
        <v>Maryland DHCD</v>
      </c>
      <c r="F468" s="1678" t="str">
        <f>IF(SOURCE_CFLienPosition9="","",SOURCE_CFLienPosition9)</f>
        <v>_</v>
      </c>
      <c r="G468" s="1658"/>
      <c r="H468" s="1658"/>
      <c r="I468" s="1681"/>
      <c r="J468" s="1658"/>
      <c r="K468" s="1658"/>
      <c r="L468" s="1655" t="str">
        <f>IF(SOURCE_CFLoanAmount9="","",SOURCE_CFLoanAmount9)</f>
        <v/>
      </c>
      <c r="M468" s="1679" t="str">
        <f>IF(GEN_DHCDDebtYN8="","",GEN_DHCDDebtYN8)</f>
        <v/>
      </c>
      <c r="O468" s="1659" t="s">
        <v>1612</v>
      </c>
      <c r="P468" s="1657" t="str">
        <f t="shared" si="94"/>
        <v/>
      </c>
      <c r="Q468" s="1657" t="str">
        <f t="shared" si="102"/>
        <v/>
      </c>
      <c r="R468" s="1659" t="str">
        <f t="shared" si="99"/>
        <v/>
      </c>
      <c r="S468" s="1659" t="str">
        <f t="shared" si="100"/>
        <v/>
      </c>
      <c r="T468" s="1668"/>
      <c r="U468" s="1668"/>
      <c r="V468" s="1668"/>
      <c r="W468" s="1668"/>
      <c r="X468" s="1668"/>
      <c r="Y468" s="1659" t="str">
        <f t="shared" si="101"/>
        <v/>
      </c>
      <c r="Z468" s="1680" t="str">
        <f>IF(AND($L468&lt;&gt;"",M468&lt;&gt;""),M468,"")</f>
        <v/>
      </c>
    </row>
    <row r="469" spans="1:26" x14ac:dyDescent="0.25">
      <c r="A469" s="1655" t="s">
        <v>1166</v>
      </c>
      <c r="B469" s="1655" t="s">
        <v>302</v>
      </c>
      <c r="C469" s="1655" t="str">
        <f t="shared" si="107"/>
        <v/>
      </c>
      <c r="D469" s="1655" t="str">
        <f>IF(SOURCES!C39="","",SOURCES!C39)</f>
        <v>HOME (non-DHCD)</v>
      </c>
      <c r="E469" s="1659" t="str">
        <f>IF(SOURCE_CFSource10HOMEnonDHCD="","",SOURCE_CFSource10HOMEnonDHCD)</f>
        <v>Enter Entity Name</v>
      </c>
      <c r="F469" s="1678" t="str">
        <f>IF(SOURCE_CFLienPosition10="","",SOURCE_CFLienPosition10)</f>
        <v>_</v>
      </c>
      <c r="G469" s="1658"/>
      <c r="H469" s="1658"/>
      <c r="I469" s="1675" t="str">
        <f>IF(SOURCE_CFInterestRate10="","",SOURCE_CFInterestRate10)</f>
        <v/>
      </c>
      <c r="J469" s="1655" t="str">
        <f>IF(SOURCE_CFAmortizationTerm10="","",SOURCE_CFAmortizationTerm10)</f>
        <v/>
      </c>
      <c r="K469" s="1655" t="str">
        <f>IF(SOURCE_CFTerm10="","",SOURCE_CFTerm10)</f>
        <v/>
      </c>
      <c r="L469" s="1655" t="str">
        <f>IF(SOURCE_CFLoanAmount10="","",SOURCE_CFLoanAmount10)</f>
        <v/>
      </c>
      <c r="M469" s="1658"/>
      <c r="O469" s="1659" t="s">
        <v>1612</v>
      </c>
      <c r="P469" s="1657" t="str">
        <f t="shared" si="94"/>
        <v/>
      </c>
      <c r="Q469" s="1657" t="str">
        <f t="shared" si="102"/>
        <v/>
      </c>
      <c r="R469" s="1659" t="str">
        <f t="shared" si="99"/>
        <v/>
      </c>
      <c r="S469" s="1659" t="str">
        <f t="shared" si="100"/>
        <v/>
      </c>
      <c r="T469" s="1668"/>
      <c r="U469" s="1668"/>
      <c r="V469" s="1659" t="str">
        <f t="shared" ref="V469:V476" si="109">IF(AND($L469&lt;&gt;"",I469&lt;&gt;""),I469,"")</f>
        <v/>
      </c>
      <c r="W469" s="1659" t="str">
        <f t="shared" ref="W469:W476" si="110">IF(AND($L469&lt;&gt;"",J469&lt;&gt;""),J469,"")</f>
        <v/>
      </c>
      <c r="X469" s="1659" t="str">
        <f t="shared" ref="X469:X476" si="111">IF(AND($L469&lt;&gt;"",K469&lt;&gt;""),K469*12,"")</f>
        <v/>
      </c>
      <c r="Y469" s="1659" t="str">
        <f t="shared" si="101"/>
        <v/>
      </c>
      <c r="Z469" s="1658" t="str">
        <f t="shared" si="108"/>
        <v/>
      </c>
    </row>
    <row r="470" spans="1:26" x14ac:dyDescent="0.25">
      <c r="A470" s="1655" t="s">
        <v>1166</v>
      </c>
      <c r="B470" s="1655" t="s">
        <v>302</v>
      </c>
      <c r="C470" s="1655" t="str">
        <f t="shared" si="107"/>
        <v/>
      </c>
      <c r="D470" s="1655" t="str">
        <f>IF(SOURCES!C40="","",SOURCES!C40)</f>
        <v>Seller Note</v>
      </c>
      <c r="E470" s="1659" t="str">
        <f>IF(SOURCE_CFSource11SellerNote="","",SOURCE_CFSource11SellerNote)</f>
        <v>Enter Entity Name</v>
      </c>
      <c r="F470" s="1678" t="str">
        <f>IF(SOURCE_CFLienPosition11="","",SOURCE_CFLienPosition11)</f>
        <v>_</v>
      </c>
      <c r="G470" s="1658"/>
      <c r="H470" s="1658"/>
      <c r="I470" s="1675" t="str">
        <f>IF(SOURCE_CFInterestRate11="","",SOURCE_CFInterestRate11)</f>
        <v/>
      </c>
      <c r="J470" s="1655" t="str">
        <f>IF(SOURCE_CFAmortizationTerm11="","",SOURCE_CFAmortizationTerm11)</f>
        <v/>
      </c>
      <c r="K470" s="1655" t="str">
        <f>IF(SOURCE_CFTerm11="","",SOURCE_CFTerm11)</f>
        <v/>
      </c>
      <c r="L470" s="1655" t="str">
        <f>IF(SOURCE_CFLoanAmount11="","",SOURCE_CFLoanAmount11)</f>
        <v/>
      </c>
      <c r="M470" s="1658"/>
      <c r="O470" s="1659" t="s">
        <v>1612</v>
      </c>
      <c r="P470" s="1657" t="str">
        <f t="shared" si="94"/>
        <v/>
      </c>
      <c r="Q470" s="1657" t="str">
        <f t="shared" si="102"/>
        <v/>
      </c>
      <c r="R470" s="1659" t="str">
        <f t="shared" si="99"/>
        <v/>
      </c>
      <c r="S470" s="1659" t="str">
        <f t="shared" si="100"/>
        <v/>
      </c>
      <c r="T470" s="1668"/>
      <c r="U470" s="1668"/>
      <c r="V470" s="1659" t="str">
        <f t="shared" si="109"/>
        <v/>
      </c>
      <c r="W470" s="1659" t="str">
        <f t="shared" si="110"/>
        <v/>
      </c>
      <c r="X470" s="1659" t="str">
        <f t="shared" si="111"/>
        <v/>
      </c>
      <c r="Y470" s="1659" t="str">
        <f t="shared" si="101"/>
        <v/>
      </c>
      <c r="Z470" s="1658" t="str">
        <f t="shared" si="108"/>
        <v/>
      </c>
    </row>
    <row r="471" spans="1:26" x14ac:dyDescent="0.25">
      <c r="A471" s="1655" t="s">
        <v>1166</v>
      </c>
      <c r="B471" s="1655" t="s">
        <v>302</v>
      </c>
      <c r="C471" s="1655" t="str">
        <f t="shared" si="107"/>
        <v/>
      </c>
      <c r="D471" s="1655" t="str">
        <f>IF(SOURCES!D41="","",SOURCES!D41)</f>
        <v/>
      </c>
      <c r="E471" s="1659" t="str">
        <f>IF(SOURCE_CFSource12Other3="","",SOURCE_CFSource12Other3)</f>
        <v>Enter Entity Name</v>
      </c>
      <c r="F471" s="1678" t="str">
        <f>IF(SOURCE_CFLienPosition12="","",SOURCE_CFLienPosition12)</f>
        <v>_</v>
      </c>
      <c r="G471" s="1658"/>
      <c r="H471" s="1658"/>
      <c r="I471" s="1675" t="str">
        <f>IF(SOURCE_CFInterestRate12="","",SOURCE_CFInterestRate12)</f>
        <v/>
      </c>
      <c r="J471" s="1655" t="str">
        <f>IF(SOURCE_CFAmortizationTerm12="","",SOURCE_CFAmortizationTerm12)</f>
        <v/>
      </c>
      <c r="K471" s="1655" t="str">
        <f>IF(SOURCE_CFTerm12="","",SOURCE_CFTerm12)</f>
        <v/>
      </c>
      <c r="L471" s="1655" t="str">
        <f>IF(SOURCE_CFLoanAmount12="","",SOURCE_CFLoanAmount12)</f>
        <v/>
      </c>
      <c r="M471" s="1658"/>
      <c r="O471" s="1659" t="s">
        <v>1612</v>
      </c>
      <c r="P471" s="1657" t="str">
        <f t="shared" si="94"/>
        <v/>
      </c>
      <c r="Q471" s="1657" t="str">
        <f t="shared" si="102"/>
        <v/>
      </c>
      <c r="R471" s="1659" t="str">
        <f t="shared" si="99"/>
        <v/>
      </c>
      <c r="S471" s="1659" t="str">
        <f t="shared" si="100"/>
        <v/>
      </c>
      <c r="T471" s="1668"/>
      <c r="U471" s="1668"/>
      <c r="V471" s="1659" t="str">
        <f t="shared" si="109"/>
        <v/>
      </c>
      <c r="W471" s="1659" t="str">
        <f t="shared" si="110"/>
        <v/>
      </c>
      <c r="X471" s="1659" t="str">
        <f t="shared" si="111"/>
        <v/>
      </c>
      <c r="Y471" s="1659" t="str">
        <f t="shared" si="101"/>
        <v/>
      </c>
      <c r="Z471" s="1658" t="str">
        <f t="shared" si="108"/>
        <v/>
      </c>
    </row>
    <row r="472" spans="1:26" x14ac:dyDescent="0.25">
      <c r="A472" s="1655" t="s">
        <v>1166</v>
      </c>
      <c r="B472" s="1655" t="s">
        <v>302</v>
      </c>
      <c r="C472" s="1655" t="str">
        <f t="shared" si="107"/>
        <v/>
      </c>
      <c r="D472" s="1655" t="str">
        <f>IF(SOURCES!D42="","",SOURCES!D42)</f>
        <v/>
      </c>
      <c r="E472" s="1659" t="str">
        <f>IF(SOURCE_CFSource13Other4="","",SOURCE_CFSource13Other4)</f>
        <v>Enter Entity Name</v>
      </c>
      <c r="F472" s="1678" t="str">
        <f>IF(SOURCE_CFLienPosition13="","",SOURCE_CFLienPosition13)</f>
        <v>_</v>
      </c>
      <c r="G472" s="1658"/>
      <c r="H472" s="1658"/>
      <c r="I472" s="1675" t="str">
        <f>IF(SOURCE_CFInterestRate13="","",SOURCE_CFInterestRate13)</f>
        <v/>
      </c>
      <c r="J472" s="1655" t="str">
        <f>IF(SOURCE_CFAmortizationTerm13="","",SOURCE_CFAmortizationTerm13)</f>
        <v/>
      </c>
      <c r="K472" s="1655" t="str">
        <f>IF(SOURCE_CFTerm13="","",SOURCE_CFTerm13)</f>
        <v/>
      </c>
      <c r="L472" s="1655" t="str">
        <f>IF(SOURCE_CFLoanAmount13="","",SOURCE_CFLoanAmount13)</f>
        <v/>
      </c>
      <c r="M472" s="1658"/>
      <c r="O472" s="1659" t="s">
        <v>1612</v>
      </c>
      <c r="P472" s="1657" t="str">
        <f t="shared" si="94"/>
        <v/>
      </c>
      <c r="Q472" s="1657" t="str">
        <f t="shared" si="102"/>
        <v/>
      </c>
      <c r="R472" s="1659" t="str">
        <f t="shared" si="99"/>
        <v/>
      </c>
      <c r="S472" s="1659" t="str">
        <f t="shared" si="100"/>
        <v/>
      </c>
      <c r="T472" s="1668"/>
      <c r="U472" s="1668"/>
      <c r="V472" s="1659" t="str">
        <f t="shared" si="109"/>
        <v/>
      </c>
      <c r="W472" s="1659" t="str">
        <f t="shared" si="110"/>
        <v/>
      </c>
      <c r="X472" s="1659" t="str">
        <f t="shared" si="111"/>
        <v/>
      </c>
      <c r="Y472" s="1659" t="str">
        <f t="shared" si="101"/>
        <v/>
      </c>
      <c r="Z472" s="1658" t="str">
        <f t="shared" si="108"/>
        <v/>
      </c>
    </row>
    <row r="473" spans="1:26" x14ac:dyDescent="0.25">
      <c r="A473" s="1655" t="s">
        <v>1166</v>
      </c>
      <c r="B473" s="1655" t="s">
        <v>302</v>
      </c>
      <c r="C473" s="1655" t="str">
        <f t="shared" si="107"/>
        <v/>
      </c>
      <c r="D473" s="1655" t="str">
        <f>IF(SOURCES!D43="","",SOURCES!D43)</f>
        <v/>
      </c>
      <c r="E473" s="1659" t="str">
        <f>IF(SOURCE_CFSource14Other5="","",SOURCE_CFSource14Other5)</f>
        <v>Enter Entity Name</v>
      </c>
      <c r="F473" s="1678" t="str">
        <f>IF(SOURCE_CFLienPosition14="","",SOURCE_CFLienPosition14)</f>
        <v>_</v>
      </c>
      <c r="G473" s="1658"/>
      <c r="H473" s="1658"/>
      <c r="I473" s="1675" t="str">
        <f>IF(SOURCE_CFInterestRate14="","",SOURCE_CFInterestRate14)</f>
        <v/>
      </c>
      <c r="J473" s="1655" t="str">
        <f>IF(SOURCE_CFAmortizationTerm14="","",SOURCE_CFAmortizationTerm14)</f>
        <v/>
      </c>
      <c r="K473" s="1655" t="str">
        <f>IF(SOURCE_CFTerm14="","",SOURCE_CFTerm14)</f>
        <v/>
      </c>
      <c r="L473" s="1655" t="str">
        <f>IF(SOURCE_CFLoanAmount14="","",SOURCE_CFLoanAmount14)</f>
        <v/>
      </c>
      <c r="M473" s="1658"/>
      <c r="O473" s="1659" t="s">
        <v>1612</v>
      </c>
      <c r="P473" s="1657" t="str">
        <f t="shared" si="94"/>
        <v/>
      </c>
      <c r="Q473" s="1657" t="str">
        <f t="shared" si="102"/>
        <v/>
      </c>
      <c r="R473" s="1659" t="str">
        <f t="shared" si="99"/>
        <v/>
      </c>
      <c r="S473" s="1659" t="str">
        <f t="shared" si="100"/>
        <v/>
      </c>
      <c r="T473" s="1668"/>
      <c r="U473" s="1668"/>
      <c r="V473" s="1659" t="str">
        <f t="shared" si="109"/>
        <v/>
      </c>
      <c r="W473" s="1659" t="str">
        <f t="shared" si="110"/>
        <v/>
      </c>
      <c r="X473" s="1659" t="str">
        <f t="shared" si="111"/>
        <v/>
      </c>
      <c r="Y473" s="1659" t="str">
        <f t="shared" si="101"/>
        <v/>
      </c>
      <c r="Z473" s="1658" t="str">
        <f t="shared" si="108"/>
        <v/>
      </c>
    </row>
    <row r="474" spans="1:26" x14ac:dyDescent="0.25">
      <c r="A474" s="1655" t="s">
        <v>1166</v>
      </c>
      <c r="B474" s="1655" t="s">
        <v>302</v>
      </c>
      <c r="C474" s="1655" t="str">
        <f t="shared" si="107"/>
        <v/>
      </c>
      <c r="D474" s="1655" t="str">
        <f>IF(SOURCES!D44="","",SOURCES!D44)</f>
        <v/>
      </c>
      <c r="E474" s="1659" t="str">
        <f>IF(SOURCE_CFSource15Other6="","",SOURCE_CFSource15Other6)</f>
        <v>Enter Entity Name</v>
      </c>
      <c r="F474" s="1678" t="str">
        <f>IF(SOURCE_CFLienPosition15="","",SOURCE_CFLienPosition15)</f>
        <v>_</v>
      </c>
      <c r="G474" s="1658"/>
      <c r="H474" s="1658"/>
      <c r="I474" s="1675" t="str">
        <f>IF(SOURCE_CFInterestRate15="","",SOURCE_CFInterestRate15)</f>
        <v/>
      </c>
      <c r="J474" s="1655" t="str">
        <f>IF(SOURCE_CFAmortizationTerm15="","",SOURCE_CFAmortizationTerm15)</f>
        <v/>
      </c>
      <c r="K474" s="1655" t="str">
        <f>IF(SOURCE_CFTerm15="","",SOURCE_CFTerm15)</f>
        <v/>
      </c>
      <c r="L474" s="1655" t="str">
        <f>IF(SOURCE_CFLoanAmount15="","",SOURCE_CFLoanAmount15)</f>
        <v/>
      </c>
      <c r="M474" s="1658"/>
      <c r="O474" s="1659" t="s">
        <v>1612</v>
      </c>
      <c r="P474" s="1657" t="str">
        <f t="shared" si="94"/>
        <v/>
      </c>
      <c r="Q474" s="1657" t="str">
        <f t="shared" si="102"/>
        <v/>
      </c>
      <c r="R474" s="1659" t="str">
        <f t="shared" si="99"/>
        <v/>
      </c>
      <c r="S474" s="1659" t="str">
        <f t="shared" si="100"/>
        <v/>
      </c>
      <c r="T474" s="1668"/>
      <c r="U474" s="1668"/>
      <c r="V474" s="1659" t="str">
        <f t="shared" si="109"/>
        <v/>
      </c>
      <c r="W474" s="1659" t="str">
        <f t="shared" si="110"/>
        <v/>
      </c>
      <c r="X474" s="1659" t="str">
        <f t="shared" si="111"/>
        <v/>
      </c>
      <c r="Y474" s="1659" t="str">
        <f t="shared" si="101"/>
        <v/>
      </c>
      <c r="Z474" s="1658" t="str">
        <f t="shared" si="108"/>
        <v/>
      </c>
    </row>
    <row r="475" spans="1:26" x14ac:dyDescent="0.25">
      <c r="A475" s="1655" t="s">
        <v>1166</v>
      </c>
      <c r="B475" s="1655" t="s">
        <v>302</v>
      </c>
      <c r="C475" s="1655" t="str">
        <f t="shared" si="107"/>
        <v/>
      </c>
      <c r="D475" s="1655" t="str">
        <f>IF(SOURCES!D45="","",SOURCES!D45)</f>
        <v/>
      </c>
      <c r="E475" s="1659" t="str">
        <f>IF(SOURCE_CFSource16Other7="","",SOURCE_CFSource16Other7)</f>
        <v>Enter Entity Name</v>
      </c>
      <c r="F475" s="1678" t="str">
        <f>IF(SOURCE_CFLienPosition16="","",SOURCE_CFLienPosition16)</f>
        <v>_</v>
      </c>
      <c r="G475" s="1658"/>
      <c r="H475" s="1658"/>
      <c r="I475" s="1675" t="str">
        <f>IF(SOURCE_CFInterestRate16="","",SOURCE_CFInterestRate16)</f>
        <v/>
      </c>
      <c r="J475" s="1655" t="str">
        <f>IF(SOURCE_CFAmortizationTerm16="","",SOURCE_CFAmortizationTerm16)</f>
        <v/>
      </c>
      <c r="K475" s="1655" t="str">
        <f>IF(SOURCE_CFTerm16="","",SOURCE_CFTerm16)</f>
        <v/>
      </c>
      <c r="L475" s="1655" t="str">
        <f>IF(SOURCE_CFLoanAmount16="","",SOURCE_CFLoanAmount16)</f>
        <v/>
      </c>
      <c r="M475" s="1658"/>
      <c r="O475" s="1659" t="s">
        <v>1612</v>
      </c>
      <c r="P475" s="1657" t="str">
        <f t="shared" si="94"/>
        <v/>
      </c>
      <c r="Q475" s="1657" t="str">
        <f t="shared" si="102"/>
        <v/>
      </c>
      <c r="R475" s="1659" t="str">
        <f t="shared" si="99"/>
        <v/>
      </c>
      <c r="S475" s="1659" t="str">
        <f t="shared" si="100"/>
        <v/>
      </c>
      <c r="T475" s="1668"/>
      <c r="U475" s="1668"/>
      <c r="V475" s="1659" t="str">
        <f t="shared" si="109"/>
        <v/>
      </c>
      <c r="W475" s="1659" t="str">
        <f t="shared" si="110"/>
        <v/>
      </c>
      <c r="X475" s="1659" t="str">
        <f t="shared" si="111"/>
        <v/>
      </c>
      <c r="Y475" s="1659" t="str">
        <f t="shared" si="101"/>
        <v/>
      </c>
      <c r="Z475" s="1658" t="str">
        <f t="shared" si="108"/>
        <v/>
      </c>
    </row>
    <row r="476" spans="1:26" x14ac:dyDescent="0.25">
      <c r="A476" s="1655" t="s">
        <v>1166</v>
      </c>
      <c r="B476" s="1655" t="s">
        <v>302</v>
      </c>
      <c r="C476" s="1655" t="str">
        <f t="shared" si="107"/>
        <v/>
      </c>
      <c r="D476" s="1655" t="str">
        <f>IF(SOURCES!D46="","",SOURCES!D46)</f>
        <v/>
      </c>
      <c r="E476" s="1659" t="str">
        <f>IF(SOURCE_CFSource17Other8="","",SOURCE_CFSource17Other8)</f>
        <v>Enter Entity Name</v>
      </c>
      <c r="F476" s="1678" t="str">
        <f>IF(SOURCE_CFLienPosition17="","",SOURCE_CFLienPosition17)</f>
        <v>_</v>
      </c>
      <c r="G476" s="1658"/>
      <c r="H476" s="1658"/>
      <c r="I476" s="1675" t="str">
        <f>IF(SOURCE_CFInterestRate17="","",SOURCE_CFInterestRate17)</f>
        <v/>
      </c>
      <c r="J476" s="1655" t="str">
        <f>IF(SOURCE_CFAmortizationTerm17="","",SOURCE_CFAmortizationTerm17)</f>
        <v/>
      </c>
      <c r="K476" s="1655" t="str">
        <f>IF(SOURCE_CFTerm17="","",SOURCE_CFTerm17)</f>
        <v/>
      </c>
      <c r="L476" s="1655" t="str">
        <f>IF(SOURCE_CFLoanAmount17="","",SOURCE_CFLoanAmount17)</f>
        <v/>
      </c>
      <c r="M476" s="1658"/>
      <c r="O476" s="1659" t="s">
        <v>1612</v>
      </c>
      <c r="P476" s="1657" t="str">
        <f t="shared" si="94"/>
        <v/>
      </c>
      <c r="Q476" s="1657" t="str">
        <f t="shared" si="102"/>
        <v/>
      </c>
      <c r="R476" s="1659" t="str">
        <f t="shared" si="99"/>
        <v/>
      </c>
      <c r="S476" s="1659" t="str">
        <f t="shared" si="100"/>
        <v/>
      </c>
      <c r="T476" s="1668"/>
      <c r="U476" s="1668"/>
      <c r="V476" s="1659" t="str">
        <f t="shared" si="109"/>
        <v/>
      </c>
      <c r="W476" s="1659" t="str">
        <f t="shared" si="110"/>
        <v/>
      </c>
      <c r="X476" s="1659" t="str">
        <f t="shared" si="111"/>
        <v/>
      </c>
      <c r="Y476" s="1659" t="str">
        <f t="shared" si="101"/>
        <v/>
      </c>
      <c r="Z476" s="1658" t="str">
        <f t="shared" si="108"/>
        <v/>
      </c>
    </row>
    <row r="477" spans="1:26" x14ac:dyDescent="0.25">
      <c r="A477" s="1655" t="s">
        <v>1166</v>
      </c>
      <c r="B477" s="1655" t="s">
        <v>302</v>
      </c>
      <c r="C477" s="1655" t="str">
        <f>IF(L477="","","Cash Flow Financing and Grants")</f>
        <v/>
      </c>
      <c r="D477" s="1655" t="str">
        <f>IF(SOURCES!D47="","",SOURCES!D47)</f>
        <v/>
      </c>
      <c r="E477" s="1659" t="str">
        <f>IF(SOURCE_CFSource18Other9="","",SOURCE_CFSource18Other9)</f>
        <v>Enter Entity Name</v>
      </c>
      <c r="F477" s="1678" t="str">
        <f>IF(SOURCE_CFLienPosition18="","",SOURCE_CFLienPosition18)</f>
        <v>_</v>
      </c>
      <c r="G477" s="1658"/>
      <c r="H477" s="1658"/>
      <c r="I477" s="1675" t="str">
        <f>IF(SOURCE_CFInterestRate18="","",SOURCE_CFInterestRate18)</f>
        <v/>
      </c>
      <c r="J477" s="1655" t="str">
        <f>IF(SOURCE_CFAmortizationTerm18="","",SOURCE_CFAmortizationTerm18)</f>
        <v/>
      </c>
      <c r="K477" s="1655" t="str">
        <f>IF(SOURCE_CFTerm18="","",SOURCE_CFTerm18)</f>
        <v/>
      </c>
      <c r="L477" s="1655" t="str">
        <f>IF(SOURCE_CFLoanAmount18="","",SOURCE_CFLoanAmount18)</f>
        <v/>
      </c>
      <c r="M477" s="1658"/>
      <c r="O477" s="1659" t="s">
        <v>1612</v>
      </c>
      <c r="P477" s="1657" t="str">
        <f>IF(C477="","",C477)</f>
        <v/>
      </c>
      <c r="Q477" s="1657" t="str">
        <f>IF(OR(D477="",D477="Describe",L477=""),"",D477)</f>
        <v/>
      </c>
      <c r="R477" s="1659" t="str">
        <f>IF(OR(E477="",E477="Enter Entity Name",E477=0,L477=""),"",E477)</f>
        <v/>
      </c>
      <c r="S477" s="1659" t="str">
        <f>IF(AND(L477&lt;&gt;"",F477&lt;&gt;"",F477&lt;&gt;"_"),F477,"")</f>
        <v/>
      </c>
      <c r="T477" s="1668"/>
      <c r="U477" s="1668"/>
      <c r="V477" s="1659" t="str">
        <f t="shared" ref="V477:W481" si="112">IF(AND($L477&lt;&gt;"",I477&lt;&gt;""),I477,"")</f>
        <v/>
      </c>
      <c r="W477" s="1659" t="str">
        <f t="shared" si="112"/>
        <v/>
      </c>
      <c r="X477" s="1659" t="str">
        <f>IF(AND($L477&lt;&gt;"",K477&lt;&gt;""),K477*12,"")</f>
        <v/>
      </c>
      <c r="Y477" s="1659" t="str">
        <f>IF(OR(L477="",L477=0),"",L477)</f>
        <v/>
      </c>
      <c r="Z477" s="1658" t="str">
        <f>IF(M477="","",M477)</f>
        <v/>
      </c>
    </row>
    <row r="478" spans="1:26" x14ac:dyDescent="0.25">
      <c r="A478" s="1655" t="s">
        <v>1166</v>
      </c>
      <c r="B478" s="1655" t="s">
        <v>302</v>
      </c>
      <c r="C478" s="1655" t="str">
        <f>IF(L478="","","Cash Flow Financing and Grants")</f>
        <v/>
      </c>
      <c r="D478" s="1655" t="str">
        <f>IF(SOURCES!D48="","",SOURCES!D48)</f>
        <v/>
      </c>
      <c r="E478" s="1659" t="str">
        <f>IF(SOURCE_CFSource19Other10="","",SOURCE_CFSource19Other10)</f>
        <v>Enter Entity Name</v>
      </c>
      <c r="F478" s="1678" t="str">
        <f>IF(SOURCE_CFLienPosition19="","",SOURCE_CFLienPosition19)</f>
        <v>_</v>
      </c>
      <c r="G478" s="1658"/>
      <c r="H478" s="1658"/>
      <c r="I478" s="1675" t="str">
        <f>IF(SOURCE_CFInterestRate19="","",SOURCE_CFInterestRate19)</f>
        <v/>
      </c>
      <c r="J478" s="1655" t="str">
        <f>IF(SOURCE_CFAmortizationTerm19="","",SOURCE_CFAmortizationTerm19)</f>
        <v/>
      </c>
      <c r="K478" s="1655" t="str">
        <f>IF(SOURCE_CFTerm19="","",SOURCE_CFTerm19)</f>
        <v/>
      </c>
      <c r="L478" s="1655" t="str">
        <f>IF(SOURCE_CFLoanAmount19="","",SOURCE_CFLoanAmount19)</f>
        <v/>
      </c>
      <c r="M478" s="1658"/>
      <c r="O478" s="1659" t="s">
        <v>1612</v>
      </c>
      <c r="P478" s="1657" t="str">
        <f>IF(C478="","",C478)</f>
        <v/>
      </c>
      <c r="Q478" s="1657" t="str">
        <f>IF(OR(D478="",D478="Describe",L478=""),"",D478)</f>
        <v/>
      </c>
      <c r="R478" s="1659" t="str">
        <f>IF(OR(E478="",E478="Enter Entity Name",E478=0,L478=""),"",E478)</f>
        <v/>
      </c>
      <c r="S478" s="1659" t="str">
        <f>IF(AND(L478&lt;&gt;"",F478&lt;&gt;"",F478&lt;&gt;"_"),F478,"")</f>
        <v/>
      </c>
      <c r="T478" s="1668"/>
      <c r="U478" s="1668"/>
      <c r="V478" s="1659" t="str">
        <f t="shared" si="112"/>
        <v/>
      </c>
      <c r="W478" s="1659" t="str">
        <f t="shared" si="112"/>
        <v/>
      </c>
      <c r="X478" s="1659" t="str">
        <f>IF(AND($L478&lt;&gt;"",K478&lt;&gt;""),K478*12,"")</f>
        <v/>
      </c>
      <c r="Y478" s="1659" t="str">
        <f>IF(OR(L478="",L478=0),"",L478)</f>
        <v/>
      </c>
      <c r="Z478" s="1658" t="str">
        <f>IF(M478="","",M478)</f>
        <v/>
      </c>
    </row>
    <row r="479" spans="1:26" x14ac:dyDescent="0.25">
      <c r="A479" s="1655" t="s">
        <v>1166</v>
      </c>
      <c r="B479" s="1655" t="s">
        <v>302</v>
      </c>
      <c r="C479" s="1655" t="str">
        <f>IF(L479="","","Cash Flow Financing and Grants")</f>
        <v/>
      </c>
      <c r="D479" s="1655" t="str">
        <f>IF(SOURCES!D49="","",SOURCES!D49)</f>
        <v/>
      </c>
      <c r="E479" s="1659" t="str">
        <f>IF(SOURCE_CFSource20Other11="","",SOURCE_CFSource20Other11)</f>
        <v>Enter Entity Name</v>
      </c>
      <c r="F479" s="1678" t="str">
        <f>IF(SOURCE_CFLienPosition20="","",SOURCE_CFLienPosition20)</f>
        <v>_</v>
      </c>
      <c r="G479" s="1658"/>
      <c r="H479" s="1658"/>
      <c r="I479" s="1675" t="str">
        <f>IF(SOURCE_CFInterestRate20="","",SOURCE_CFInterestRate20)</f>
        <v/>
      </c>
      <c r="J479" s="1655" t="str">
        <f>IF(SOURCE_CFAmortizationTerm20="","",SOURCE_CFAmortizationTerm20)</f>
        <v/>
      </c>
      <c r="K479" s="1655" t="str">
        <f>IF(SOURCE_CFTerm20="","",SOURCE_CFTerm20)</f>
        <v/>
      </c>
      <c r="L479" s="1655" t="str">
        <f>IF(SOURCE_CFLoanAmount20="","",SOURCE_CFLoanAmount20)</f>
        <v/>
      </c>
      <c r="M479" s="1658"/>
      <c r="O479" s="1659" t="s">
        <v>1612</v>
      </c>
      <c r="P479" s="1657" t="str">
        <f>IF(C479="","",C479)</f>
        <v/>
      </c>
      <c r="Q479" s="1657" t="str">
        <f>IF(OR(D479="",D479="Describe",L479=""),"",D479)</f>
        <v/>
      </c>
      <c r="R479" s="1659" t="str">
        <f>IF(OR(E479="",E479="Enter Entity Name",E479=0,L479=""),"",E479)</f>
        <v/>
      </c>
      <c r="S479" s="1659" t="str">
        <f>IF(AND(L479&lt;&gt;"",F479&lt;&gt;"",F479&lt;&gt;"_"),F479,"")</f>
        <v/>
      </c>
      <c r="T479" s="1668"/>
      <c r="U479" s="1668"/>
      <c r="V479" s="1659" t="str">
        <f t="shared" si="112"/>
        <v/>
      </c>
      <c r="W479" s="1659" t="str">
        <f t="shared" si="112"/>
        <v/>
      </c>
      <c r="X479" s="1659" t="str">
        <f>IF(AND($L479&lt;&gt;"",K479&lt;&gt;""),K479*12,"")</f>
        <v/>
      </c>
      <c r="Y479" s="1659" t="str">
        <f>IF(OR(L479="",L479=0),"",L479)</f>
        <v/>
      </c>
      <c r="Z479" s="1658" t="str">
        <f>IF(M479="","",M479)</f>
        <v/>
      </c>
    </row>
    <row r="480" spans="1:26" x14ac:dyDescent="0.25">
      <c r="A480" s="1655" t="s">
        <v>1166</v>
      </c>
      <c r="B480" s="1655" t="s">
        <v>302</v>
      </c>
      <c r="C480" s="1655" t="str">
        <f>IF(L480="","","Cash Flow Financing and Grants")</f>
        <v/>
      </c>
      <c r="D480" s="1655" t="str">
        <f>IF(SOURCES!D50="","",SOURCES!D50)</f>
        <v/>
      </c>
      <c r="E480" s="1659" t="str">
        <f>IF(SOURCE_CFSource21Other12="","",SOURCE_CFSource21Other12)</f>
        <v>Enter Entity Name</v>
      </c>
      <c r="F480" s="1678" t="str">
        <f>IF(SOURCE_CFLienPosition21="","",SOURCE_CFLienPosition21)</f>
        <v>_</v>
      </c>
      <c r="G480" s="1658"/>
      <c r="H480" s="1658"/>
      <c r="I480" s="1675" t="str">
        <f>IF(SOURCE_CFInterestRate21="","",SOURCE_CFInterestRate21)</f>
        <v/>
      </c>
      <c r="J480" s="1655" t="str">
        <f>IF(SOURCE_CFAmortizationTerm21="","",SOURCE_CFAmortizationTerm21)</f>
        <v/>
      </c>
      <c r="K480" s="1655" t="str">
        <f>IF(SOURCE_CFTerm21="","",SOURCE_CFTerm21)</f>
        <v/>
      </c>
      <c r="L480" s="1655" t="str">
        <f>IF(SOURCE_CFLoanAmount21="","",SOURCE_CFLoanAmount21)</f>
        <v/>
      </c>
      <c r="M480" s="1658"/>
      <c r="O480" s="1659" t="s">
        <v>1612</v>
      </c>
      <c r="P480" s="1657" t="str">
        <f>IF(C480="","",C480)</f>
        <v/>
      </c>
      <c r="Q480" s="1657" t="str">
        <f>IF(OR(D480="",D480="Describe",L480=""),"",D480)</f>
        <v/>
      </c>
      <c r="R480" s="1659" t="str">
        <f>IF(OR(E480="",E480="Enter Entity Name",E480=0,L480=""),"",E480)</f>
        <v/>
      </c>
      <c r="S480" s="1659" t="str">
        <f>IF(AND(L480&lt;&gt;"",F480&lt;&gt;"",F480&lt;&gt;"_"),F480,"")</f>
        <v/>
      </c>
      <c r="T480" s="1668"/>
      <c r="U480" s="1668"/>
      <c r="V480" s="1659" t="str">
        <f t="shared" si="112"/>
        <v/>
      </c>
      <c r="W480" s="1659" t="str">
        <f t="shared" si="112"/>
        <v/>
      </c>
      <c r="X480" s="1659" t="str">
        <f>IF(AND($L480&lt;&gt;"",K480&lt;&gt;""),K480*12,"")</f>
        <v/>
      </c>
      <c r="Y480" s="1659" t="str">
        <f>IF(OR(L480="",L480=0),"",L480)</f>
        <v/>
      </c>
      <c r="Z480" s="1658" t="str">
        <f>IF(M480="","",M480)</f>
        <v/>
      </c>
    </row>
    <row r="481" spans="1:26" x14ac:dyDescent="0.25">
      <c r="A481" s="1655" t="s">
        <v>1166</v>
      </c>
      <c r="B481" s="1655" t="s">
        <v>302</v>
      </c>
      <c r="C481" s="1655" t="str">
        <f>IF(L481="","","Cash Flow Financing and Grants")</f>
        <v/>
      </c>
      <c r="D481" s="1655" t="str">
        <f>IF(SOURCES!D51="","",SOURCES!D51)</f>
        <v/>
      </c>
      <c r="E481" s="1659" t="str">
        <f>IF(SOURCE_CFSource22Other13="","",SOURCE_CFSource22Other13)</f>
        <v>Enter Entity Name</v>
      </c>
      <c r="F481" s="1678" t="str">
        <f>IF(SOURCE_CFLienPosition22="","",SOURCE_CFLienPosition22)</f>
        <v>_</v>
      </c>
      <c r="G481" s="1658"/>
      <c r="H481" s="1658"/>
      <c r="I481" s="1675" t="str">
        <f>IF(SOURCE_CFInterestRate22="","",SOURCE_CFInterestRate22)</f>
        <v/>
      </c>
      <c r="J481" s="1655" t="str">
        <f>IF(SOURCE_CFAmortizationTerm22="","",SOURCE_CFAmortizationTerm22)</f>
        <v/>
      </c>
      <c r="K481" s="1655" t="str">
        <f>IF(SOURCE_CFTerm22="","",SOURCE_CFTerm22)</f>
        <v/>
      </c>
      <c r="L481" s="1655" t="str">
        <f>IF(SOURCE_CFLoanAmount22="","",SOURCE_CFLoanAmount22)</f>
        <v/>
      </c>
      <c r="M481" s="1658"/>
      <c r="O481" s="1659" t="s">
        <v>1612</v>
      </c>
      <c r="P481" s="1657" t="str">
        <f>IF(C481="","",C481)</f>
        <v/>
      </c>
      <c r="Q481" s="1657" t="str">
        <f>IF(OR(D481="",D481="Describe",L481=""),"",D481)</f>
        <v/>
      </c>
      <c r="R481" s="1659" t="str">
        <f>IF(OR(E481="",E481="Enter Entity Name",E481=0,L481=""),"",E481)</f>
        <v/>
      </c>
      <c r="S481" s="1659" t="str">
        <f>IF(AND(L481&lt;&gt;"",F481&lt;&gt;"",F481&lt;&gt;"_"),F481,"")</f>
        <v/>
      </c>
      <c r="T481" s="1668"/>
      <c r="U481" s="1668"/>
      <c r="V481" s="1659" t="str">
        <f t="shared" si="112"/>
        <v/>
      </c>
      <c r="W481" s="1659" t="str">
        <f t="shared" si="112"/>
        <v/>
      </c>
      <c r="X481" s="1659" t="str">
        <f>IF(AND($L481&lt;&gt;"",K481&lt;&gt;""),K481*12,"")</f>
        <v/>
      </c>
      <c r="Y481" s="1659" t="str">
        <f>IF(OR(L481="",L481=0),"",L481)</f>
        <v/>
      </c>
      <c r="Z481" s="1658" t="str">
        <f>IF(M481="","",M481)</f>
        <v/>
      </c>
    </row>
    <row r="482" spans="1:26" x14ac:dyDescent="0.25">
      <c r="A482" s="1655" t="s">
        <v>1166</v>
      </c>
      <c r="B482" s="1655" t="s">
        <v>333</v>
      </c>
      <c r="C482" s="1655" t="str">
        <f>IF(OR(L482="",L482=0),"","Equity")</f>
        <v/>
      </c>
      <c r="D482" s="1655" t="s">
        <v>422</v>
      </c>
      <c r="E482" s="1659" t="str">
        <f>IF(OR(SOURCE_EquitySourcesofEquity1=0,SOURCE_EquitySourcesofEquity1=""),"",SOURCE_EquitySourcesofEquity1)</f>
        <v/>
      </c>
      <c r="F482" s="1682"/>
      <c r="G482" s="1658"/>
      <c r="H482" s="1658"/>
      <c r="I482" s="1658"/>
      <c r="J482" s="1658"/>
      <c r="K482" s="1658"/>
      <c r="L482" s="1655" t="str">
        <f>IF(OR(SOURCE_EquityAmount1=0,SOURCE_EquityAmount1=""),"",SOURCE_EquityAmount1)</f>
        <v/>
      </c>
      <c r="M482" s="1658"/>
      <c r="O482" s="1659" t="s">
        <v>1612</v>
      </c>
      <c r="P482" s="1657" t="str">
        <f t="shared" si="94"/>
        <v/>
      </c>
      <c r="Q482" s="1657" t="str">
        <f>IF(OR(D482="",D482="Describe",L482="",L482=0),"","Federal Historic Tax Credit Proceeds")</f>
        <v/>
      </c>
      <c r="R482" s="1659" t="str">
        <f t="shared" si="99"/>
        <v/>
      </c>
      <c r="S482" s="1668"/>
      <c r="T482" s="1668"/>
      <c r="U482" s="1668"/>
      <c r="V482" s="1668"/>
      <c r="W482" s="1668"/>
      <c r="X482" s="1668"/>
      <c r="Y482" s="1659" t="str">
        <f t="shared" si="101"/>
        <v/>
      </c>
      <c r="Z482" s="1658" t="str">
        <f t="shared" si="108"/>
        <v/>
      </c>
    </row>
    <row r="483" spans="1:26" x14ac:dyDescent="0.25">
      <c r="A483" s="1655" t="s">
        <v>1166</v>
      </c>
      <c r="B483" s="1655" t="s">
        <v>333</v>
      </c>
      <c r="C483" s="1655" t="str">
        <f t="shared" ref="C483:C493" si="113">IF(OR(L483="",L483=0),"","Equity")</f>
        <v/>
      </c>
      <c r="D483" s="1655" t="s">
        <v>545</v>
      </c>
      <c r="E483" s="1659" t="str">
        <f>IF(OR(SOURCE_EquitySourcesofEquity2=0,SOURCE_EquitySourcesofEquity2=""),"",SOURCE_EquitySourcesofEquity2)</f>
        <v/>
      </c>
      <c r="F483" s="1682"/>
      <c r="G483" s="1658"/>
      <c r="H483" s="1658"/>
      <c r="I483" s="1658"/>
      <c r="J483" s="1658"/>
      <c r="K483" s="1658"/>
      <c r="L483" s="1655" t="str">
        <f>IF(OR(SOURCE_EquityAmount2=0,SOURCE_EquityAmount2=""),"",SOURCE_EquityAmount2)</f>
        <v/>
      </c>
      <c r="M483" s="1658"/>
      <c r="O483" s="1659" t="s">
        <v>1612</v>
      </c>
      <c r="P483" s="1657" t="str">
        <f t="shared" si="94"/>
        <v/>
      </c>
      <c r="Q483" s="1657" t="str">
        <f>IF(OR(D483="",D483="Describe",L483="",L483=0),"","Federal Historic Tax Credit Proceeds")</f>
        <v/>
      </c>
      <c r="R483" s="1659" t="str">
        <f t="shared" si="99"/>
        <v/>
      </c>
      <c r="S483" s="1668"/>
      <c r="T483" s="1668"/>
      <c r="U483" s="1668"/>
      <c r="V483" s="1668"/>
      <c r="W483" s="1668"/>
      <c r="X483" s="1668"/>
      <c r="Y483" s="1659" t="str">
        <f t="shared" si="101"/>
        <v/>
      </c>
      <c r="Z483" s="1658" t="str">
        <f t="shared" si="108"/>
        <v/>
      </c>
    </row>
    <row r="484" spans="1:26" x14ac:dyDescent="0.25">
      <c r="A484" s="1655" t="s">
        <v>1166</v>
      </c>
      <c r="B484" s="1655" t="s">
        <v>333</v>
      </c>
      <c r="C484" s="1655" t="str">
        <f>IFERROR(IF(OR(L484="",L484=0),"","Equity"),"")</f>
        <v/>
      </c>
      <c r="D484" s="1655" t="s">
        <v>1613</v>
      </c>
      <c r="E484" s="1659" t="str">
        <f>IF(OR(SOURCE_EquitySourcesofEquity3=0,SOURCE_EquitySourcesofEquity3=""),"",SOURCE_EquitySourcesofEquity3)</f>
        <v/>
      </c>
      <c r="F484" s="1682"/>
      <c r="G484" s="1658"/>
      <c r="H484" s="1658"/>
      <c r="I484" s="1658"/>
      <c r="J484" s="1658"/>
      <c r="K484" s="1658"/>
      <c r="L484" s="1655" t="str">
        <f>IFERROR(IF(SOURCE_EquityAmount3="","",SOURCE_EquityAmount3),"")</f>
        <v/>
      </c>
      <c r="M484" s="1658"/>
      <c r="O484" s="1659" t="s">
        <v>1612</v>
      </c>
      <c r="P484" s="1657" t="str">
        <f t="shared" si="94"/>
        <v/>
      </c>
      <c r="Q484" s="1657" t="str">
        <f>IF(OR(D484="",D484="Describe",L484="",L483=0),"","Low Income Housing Tax Credit (Section 42)")</f>
        <v/>
      </c>
      <c r="R484" s="1659" t="str">
        <f t="shared" si="99"/>
        <v/>
      </c>
      <c r="S484" s="1668"/>
      <c r="T484" s="1668"/>
      <c r="U484" s="1668"/>
      <c r="V484" s="1668"/>
      <c r="W484" s="1668"/>
      <c r="X484" s="1668"/>
      <c r="Y484" s="1659" t="str">
        <f t="shared" si="101"/>
        <v/>
      </c>
      <c r="Z484" s="1658" t="str">
        <f t="shared" si="108"/>
        <v/>
      </c>
    </row>
    <row r="485" spans="1:26" x14ac:dyDescent="0.25">
      <c r="A485" s="1655" t="s">
        <v>1166</v>
      </c>
      <c r="B485" s="1655" t="s">
        <v>333</v>
      </c>
      <c r="C485" s="1655" t="str">
        <f t="shared" si="113"/>
        <v/>
      </c>
      <c r="D485" s="1655" t="s">
        <v>384</v>
      </c>
      <c r="E485" s="1668"/>
      <c r="F485" s="1682"/>
      <c r="G485" s="1658"/>
      <c r="H485" s="1658"/>
      <c r="I485" s="1658"/>
      <c r="J485" s="1658"/>
      <c r="K485" s="1658"/>
      <c r="L485" s="1655" t="str">
        <f>IF(SOURCE_EquityAmount4="","",SOURCE_EquityAmount4)</f>
        <v/>
      </c>
      <c r="M485" s="1658"/>
      <c r="O485" s="1659" t="s">
        <v>1612</v>
      </c>
      <c r="P485" s="1657" t="str">
        <f t="shared" ref="P485:P493" si="114">IF(C485="","",C485)</f>
        <v/>
      </c>
      <c r="Q485" s="1657" t="str">
        <f t="shared" si="102"/>
        <v/>
      </c>
      <c r="R485" s="1668"/>
      <c r="S485" s="1668"/>
      <c r="T485" s="1668"/>
      <c r="U485" s="1668"/>
      <c r="V485" s="1668"/>
      <c r="W485" s="1668"/>
      <c r="X485" s="1668"/>
      <c r="Y485" s="1659" t="str">
        <f t="shared" si="101"/>
        <v/>
      </c>
      <c r="Z485" s="1658" t="str">
        <f t="shared" si="108"/>
        <v/>
      </c>
    </row>
    <row r="486" spans="1:26" x14ac:dyDescent="0.25">
      <c r="A486" s="1655" t="s">
        <v>1166</v>
      </c>
      <c r="B486" s="1655" t="s">
        <v>333</v>
      </c>
      <c r="C486" s="1655" t="str">
        <f t="shared" si="113"/>
        <v/>
      </c>
      <c r="D486" s="1655" t="s">
        <v>389</v>
      </c>
      <c r="E486" s="1668"/>
      <c r="F486" s="1682"/>
      <c r="G486" s="1658"/>
      <c r="H486" s="1658"/>
      <c r="I486" s="1658"/>
      <c r="J486" s="1658"/>
      <c r="K486" s="1658"/>
      <c r="L486" s="1655" t="str">
        <f>IF(SOURCE_EquityAmount5="","",SOURCE_EquityAmount5)</f>
        <v/>
      </c>
      <c r="M486" s="1658"/>
      <c r="O486" s="1659" t="s">
        <v>1612</v>
      </c>
      <c r="P486" s="1657" t="str">
        <f t="shared" si="114"/>
        <v/>
      </c>
      <c r="Q486" s="1657" t="str">
        <f t="shared" si="102"/>
        <v/>
      </c>
      <c r="R486" s="1668"/>
      <c r="S486" s="1668"/>
      <c r="T486" s="1668"/>
      <c r="U486" s="1668"/>
      <c r="V486" s="1668"/>
      <c r="W486" s="1668"/>
      <c r="X486" s="1668"/>
      <c r="Y486" s="1659" t="str">
        <f t="shared" si="101"/>
        <v/>
      </c>
      <c r="Z486" s="1658" t="str">
        <f t="shared" si="108"/>
        <v/>
      </c>
    </row>
    <row r="487" spans="1:26" x14ac:dyDescent="0.25">
      <c r="A487" s="1655" t="s">
        <v>1166</v>
      </c>
      <c r="B487" s="1655" t="s">
        <v>333</v>
      </c>
      <c r="C487" s="1655" t="str">
        <f t="shared" si="113"/>
        <v/>
      </c>
      <c r="D487" s="1655" t="s">
        <v>471</v>
      </c>
      <c r="E487" s="1668"/>
      <c r="F487" s="1682"/>
      <c r="G487" s="1658"/>
      <c r="H487" s="1658"/>
      <c r="I487" s="1658"/>
      <c r="J487" s="1658"/>
      <c r="K487" s="1658"/>
      <c r="L487" s="1655" t="str">
        <f>IF(SOURCE_EquityAmount6="","",SOURCE_EquityAmount6)</f>
        <v/>
      </c>
      <c r="M487" s="1658"/>
      <c r="O487" s="1659" t="s">
        <v>1612</v>
      </c>
      <c r="P487" s="1657" t="str">
        <f t="shared" si="114"/>
        <v/>
      </c>
      <c r="Q487" s="1657" t="str">
        <f t="shared" si="102"/>
        <v/>
      </c>
      <c r="R487" s="1668"/>
      <c r="S487" s="1668"/>
      <c r="T487" s="1668"/>
      <c r="U487" s="1668"/>
      <c r="V487" s="1668"/>
      <c r="W487" s="1668"/>
      <c r="X487" s="1668"/>
      <c r="Y487" s="1659" t="str">
        <f t="shared" si="101"/>
        <v/>
      </c>
      <c r="Z487" s="1658" t="str">
        <f t="shared" si="108"/>
        <v/>
      </c>
    </row>
    <row r="488" spans="1:26" x14ac:dyDescent="0.25">
      <c r="A488" s="1655" t="s">
        <v>1166</v>
      </c>
      <c r="B488" s="1655" t="s">
        <v>333</v>
      </c>
      <c r="C488" s="1655" t="str">
        <f t="shared" si="113"/>
        <v/>
      </c>
      <c r="D488" s="1659" t="str">
        <f>IF(SOURCES!D64="","",SOURCES!D64)</f>
        <v>Energy Credits</v>
      </c>
      <c r="E488" s="1659" t="str">
        <f>IF(SOURCE_EquitySourcesofEquity7="","",SOURCE_EquitySourcesofEquity7)</f>
        <v>Entity Name</v>
      </c>
      <c r="F488" s="1682"/>
      <c r="G488" s="1658"/>
      <c r="H488" s="1658"/>
      <c r="I488" s="1658"/>
      <c r="J488" s="1658"/>
      <c r="K488" s="1658"/>
      <c r="L488" s="1655" t="str">
        <f>IF(SOURCE_EquityAmount7="","",SOURCE_EquityAmount7)</f>
        <v/>
      </c>
      <c r="M488" s="1658"/>
      <c r="O488" s="1659" t="s">
        <v>1612</v>
      </c>
      <c r="P488" s="1657" t="str">
        <f t="shared" si="114"/>
        <v/>
      </c>
      <c r="Q488" s="1703" t="str">
        <f t="shared" ref="Q488:Q498" si="115">IF(OR(D488="",D488="Describe",L488=""),"",D488)</f>
        <v/>
      </c>
      <c r="R488" s="1659" t="str">
        <f t="shared" ref="R488:R493" si="116">IF(OR(E488="",E488="Enter Entity Name",E488=0,L488=""),"",E488)</f>
        <v/>
      </c>
      <c r="S488" s="1668"/>
      <c r="T488" s="1668"/>
      <c r="U488" s="1668"/>
      <c r="V488" s="1668"/>
      <c r="W488" s="1668"/>
      <c r="X488" s="1668"/>
      <c r="Y488" s="1659" t="str">
        <f t="shared" si="101"/>
        <v/>
      </c>
      <c r="Z488" s="1658" t="str">
        <f t="shared" si="108"/>
        <v/>
      </c>
    </row>
    <row r="489" spans="1:26" x14ac:dyDescent="0.25">
      <c r="A489" s="1655" t="s">
        <v>1166</v>
      </c>
      <c r="B489" s="1655" t="s">
        <v>333</v>
      </c>
      <c r="C489" s="1655" t="str">
        <f t="shared" si="113"/>
        <v/>
      </c>
      <c r="D489" s="1655" t="str">
        <f>IF(SOURCE_EquityOtherDescribe8="","",SOURCE_EquityOtherDescribe8)</f>
        <v>Bond Investment Income</v>
      </c>
      <c r="E489" s="1659" t="str">
        <f>IF(SOURCE_EquitySourcesofEquity8="","",SOURCE_EquitySourcesofEquity8)</f>
        <v>Entity Name</v>
      </c>
      <c r="F489" s="1682"/>
      <c r="G489" s="1658"/>
      <c r="H489" s="1658"/>
      <c r="I489" s="1658"/>
      <c r="J489" s="1658"/>
      <c r="K489" s="1658"/>
      <c r="L489" s="1655" t="str">
        <f>IF(SOURCE_EquityAmount8="","",SOURCE_EquityAmount8)</f>
        <v/>
      </c>
      <c r="M489" s="1658"/>
      <c r="O489" s="1659" t="s">
        <v>1612</v>
      </c>
      <c r="P489" s="1657" t="str">
        <f t="shared" si="114"/>
        <v/>
      </c>
      <c r="Q489" s="1657" t="str">
        <f t="shared" si="115"/>
        <v/>
      </c>
      <c r="R489" s="1659" t="str">
        <f t="shared" si="116"/>
        <v/>
      </c>
      <c r="S489" s="1668"/>
      <c r="T489" s="1668"/>
      <c r="U489" s="1668"/>
      <c r="V489" s="1668"/>
      <c r="W489" s="1668"/>
      <c r="X489" s="1668"/>
      <c r="Y489" s="1659" t="str">
        <f t="shared" si="101"/>
        <v/>
      </c>
      <c r="Z489" s="1658" t="str">
        <f t="shared" si="108"/>
        <v/>
      </c>
    </row>
    <row r="490" spans="1:26" x14ac:dyDescent="0.25">
      <c r="A490" s="1655" t="s">
        <v>1166</v>
      </c>
      <c r="B490" s="1655" t="s">
        <v>333</v>
      </c>
      <c r="C490" s="1655" t="str">
        <f t="shared" si="113"/>
        <v/>
      </c>
      <c r="D490" s="1655" t="str">
        <f>IF(SOURCE_EquityOtherDescribe9="","",SOURCE_EquityOtherDescribe9)</f>
        <v>Existing Reserves</v>
      </c>
      <c r="E490" s="1659" t="str">
        <f>IF(SOURCE_EquitySourcesofEquity9="","",SOURCE_EquitySourcesofEquity9)</f>
        <v>Entity Name</v>
      </c>
      <c r="F490" s="1682"/>
      <c r="G490" s="1658"/>
      <c r="H490" s="1658"/>
      <c r="I490" s="1658"/>
      <c r="J490" s="1658"/>
      <c r="K490" s="1658"/>
      <c r="L490" s="1655" t="str">
        <f>IF(SOURCE_EquityAmount9="","",SOURCE_EquityAmount9)</f>
        <v/>
      </c>
      <c r="M490" s="1658"/>
      <c r="O490" s="1659" t="s">
        <v>1612</v>
      </c>
      <c r="P490" s="1657" t="str">
        <f t="shared" si="114"/>
        <v/>
      </c>
      <c r="Q490" s="1657" t="str">
        <f t="shared" si="115"/>
        <v/>
      </c>
      <c r="R490" s="1659" t="str">
        <f t="shared" si="116"/>
        <v/>
      </c>
      <c r="S490" s="1668"/>
      <c r="T490" s="1668"/>
      <c r="U490" s="1668"/>
      <c r="V490" s="1668"/>
      <c r="W490" s="1668"/>
      <c r="X490" s="1668"/>
      <c r="Y490" s="1659" t="str">
        <f t="shared" si="101"/>
        <v/>
      </c>
      <c r="Z490" s="1658" t="str">
        <f t="shared" si="108"/>
        <v/>
      </c>
    </row>
    <row r="491" spans="1:26" x14ac:dyDescent="0.25">
      <c r="A491" s="1655" t="s">
        <v>1166</v>
      </c>
      <c r="B491" s="1655" t="s">
        <v>333</v>
      </c>
      <c r="C491" s="1655" t="str">
        <f t="shared" si="113"/>
        <v/>
      </c>
      <c r="D491" s="1655" t="str">
        <f>IF(SOURCE_EquityOtherDescribe10="","",SOURCE_EquityOtherDescribe10)</f>
        <v/>
      </c>
      <c r="E491" s="1659" t="str">
        <f>IF(SOURCE_EquitySourcesofEquity10="","",SOURCE_EquitySourcesofEquity10)</f>
        <v>Entity Name</v>
      </c>
      <c r="F491" s="1682"/>
      <c r="G491" s="1658"/>
      <c r="H491" s="1658"/>
      <c r="I491" s="1658"/>
      <c r="J491" s="1658"/>
      <c r="K491" s="1658"/>
      <c r="L491" s="1655" t="str">
        <f>IF(SOURCE_EquityAmount10="","",SOURCE_EquityAmount10)</f>
        <v/>
      </c>
      <c r="M491" s="1658"/>
      <c r="O491" s="1659" t="s">
        <v>1612</v>
      </c>
      <c r="P491" s="1657" t="str">
        <f t="shared" si="114"/>
        <v/>
      </c>
      <c r="Q491" s="1657" t="str">
        <f t="shared" si="115"/>
        <v/>
      </c>
      <c r="R491" s="1659" t="str">
        <f t="shared" si="116"/>
        <v/>
      </c>
      <c r="S491" s="1668"/>
      <c r="T491" s="1668"/>
      <c r="U491" s="1668"/>
      <c r="V491" s="1668"/>
      <c r="W491" s="1668"/>
      <c r="X491" s="1668"/>
      <c r="Y491" s="1659" t="str">
        <f t="shared" si="101"/>
        <v/>
      </c>
      <c r="Z491" s="1658" t="str">
        <f t="shared" si="108"/>
        <v/>
      </c>
    </row>
    <row r="492" spans="1:26" x14ac:dyDescent="0.25">
      <c r="A492" s="1655" t="s">
        <v>1166</v>
      </c>
      <c r="B492" s="1655" t="s">
        <v>333</v>
      </c>
      <c r="C492" s="1655" t="str">
        <f t="shared" si="113"/>
        <v/>
      </c>
      <c r="D492" s="1655" t="str">
        <f>IF(SOURCE_EquityOtherDescribe11="","",SOURCE_EquityOtherDescribe11)</f>
        <v/>
      </c>
      <c r="E492" s="1659" t="str">
        <f>IF(SOURCE_EquitySourcesofEquity11="","",SOURCE_EquitySourcesofEquity11)</f>
        <v>Entity Name</v>
      </c>
      <c r="F492" s="1682"/>
      <c r="G492" s="1658"/>
      <c r="H492" s="1658"/>
      <c r="I492" s="1658"/>
      <c r="J492" s="1658"/>
      <c r="K492" s="1658"/>
      <c r="L492" s="1655" t="str">
        <f>IF(SOURCE_EquityAmount11="","",SOURCE_EquityAmount11)</f>
        <v/>
      </c>
      <c r="M492" s="1658"/>
      <c r="O492" s="1659" t="s">
        <v>1612</v>
      </c>
      <c r="P492" s="1657" t="str">
        <f t="shared" si="114"/>
        <v/>
      </c>
      <c r="Q492" s="1657" t="str">
        <f t="shared" si="115"/>
        <v/>
      </c>
      <c r="R492" s="1659" t="str">
        <f t="shared" si="116"/>
        <v/>
      </c>
      <c r="S492" s="1668"/>
      <c r="T492" s="1668"/>
      <c r="U492" s="1668"/>
      <c r="V492" s="1668"/>
      <c r="W492" s="1668"/>
      <c r="X492" s="1668"/>
      <c r="Y492" s="1659" t="str">
        <f t="shared" si="101"/>
        <v/>
      </c>
      <c r="Z492" s="1658" t="str">
        <f t="shared" si="108"/>
        <v/>
      </c>
    </row>
    <row r="493" spans="1:26" x14ac:dyDescent="0.25">
      <c r="A493" s="1655" t="s">
        <v>1166</v>
      </c>
      <c r="B493" s="1655" t="s">
        <v>333</v>
      </c>
      <c r="C493" s="1655" t="str">
        <f t="shared" si="113"/>
        <v/>
      </c>
      <c r="D493" s="1655" t="str">
        <f>IF(SOURCE_EquityOtherDescribe12="","",SOURCE_EquityOtherDescribe12)</f>
        <v/>
      </c>
      <c r="E493" s="1659" t="str">
        <f>IF(SOURCE_EquitySourcesofEquity12="","",SOURCE_EquitySourcesofEquity12)</f>
        <v>Entity Name</v>
      </c>
      <c r="F493" s="1682"/>
      <c r="G493" s="1658"/>
      <c r="H493" s="1658"/>
      <c r="I493" s="1658"/>
      <c r="J493" s="1658"/>
      <c r="K493" s="1658"/>
      <c r="L493" s="1655" t="str">
        <f>IF(SOURCE_EquityAmount12="","",SOURCE_EquityAmount12)</f>
        <v/>
      </c>
      <c r="M493" s="1658"/>
      <c r="O493" s="1659" t="s">
        <v>1612</v>
      </c>
      <c r="P493" s="1657" t="str">
        <f t="shared" si="114"/>
        <v/>
      </c>
      <c r="Q493" s="1657" t="str">
        <f t="shared" si="115"/>
        <v/>
      </c>
      <c r="R493" s="1659" t="str">
        <f t="shared" si="116"/>
        <v/>
      </c>
      <c r="S493" s="1668"/>
      <c r="T493" s="1668"/>
      <c r="U493" s="1668"/>
      <c r="V493" s="1668"/>
      <c r="W493" s="1668"/>
      <c r="X493" s="1668"/>
      <c r="Y493" s="1659" t="str">
        <f t="shared" si="101"/>
        <v/>
      </c>
      <c r="Z493" s="1658" t="str">
        <f t="shared" si="108"/>
        <v/>
      </c>
    </row>
    <row r="494" spans="1:26" x14ac:dyDescent="0.25">
      <c r="A494" s="1655" t="s">
        <v>1166</v>
      </c>
      <c r="B494" s="1655" t="s">
        <v>333</v>
      </c>
      <c r="C494" s="1655" t="str">
        <f>IF(OR(L494="",L494=0),"","Equity")</f>
        <v/>
      </c>
      <c r="D494" s="1655" t="str">
        <f>IF(SOURCE_EquityOtherDescribe13="","",SOURCE_EquityOtherDescribe13)</f>
        <v/>
      </c>
      <c r="E494" s="1659" t="str">
        <f>IF(SOURCE_EquitySourcesofEquity13="","",SOURCE_EquitySourcesofEquity13)</f>
        <v>Entity Name</v>
      </c>
      <c r="F494" s="1682"/>
      <c r="G494" s="1658"/>
      <c r="H494" s="1658"/>
      <c r="I494" s="1658"/>
      <c r="J494" s="1658"/>
      <c r="K494" s="1658"/>
      <c r="L494" s="1655" t="str">
        <f>IF(SOURCE_EquityAmount13="","",SOURCE_EquityAmount13)</f>
        <v/>
      </c>
      <c r="M494" s="1658"/>
      <c r="O494" s="1659" t="s">
        <v>1612</v>
      </c>
      <c r="P494" s="1657" t="str">
        <f>IF(C494="","",C494)</f>
        <v/>
      </c>
      <c r="Q494" s="1657" t="str">
        <f t="shared" si="115"/>
        <v/>
      </c>
      <c r="R494" s="1659" t="str">
        <f>IF(OR(E494="",E494="Enter Entity Name",E494=0,L494=""),"",E494)</f>
        <v/>
      </c>
      <c r="S494" s="1668"/>
      <c r="T494" s="1668"/>
      <c r="U494" s="1668"/>
      <c r="V494" s="1668"/>
      <c r="W494" s="1668"/>
      <c r="X494" s="1668"/>
      <c r="Y494" s="1659" t="str">
        <f>IF(OR(L494="",L494=0),"",L494)</f>
        <v/>
      </c>
      <c r="Z494" s="1658" t="str">
        <f>IF(M494="","",M494)</f>
        <v/>
      </c>
    </row>
    <row r="495" spans="1:26" x14ac:dyDescent="0.25">
      <c r="A495" s="1655" t="s">
        <v>1166</v>
      </c>
      <c r="B495" s="1655" t="s">
        <v>333</v>
      </c>
      <c r="C495" s="1655" t="str">
        <f>IF(OR(L495="",L495=0),"","Equity")</f>
        <v/>
      </c>
      <c r="D495" s="1655" t="str">
        <f>IF(SOURCE_EquityOtherDescribe14="","",SOURCE_EquityOtherDescribe14)</f>
        <v/>
      </c>
      <c r="E495" s="1659" t="str">
        <f>IF(SOURCE_EquitySourcesofEquity14="","",SOURCE_EquitySourcesofEquity14)</f>
        <v>Entity Name</v>
      </c>
      <c r="F495" s="1682"/>
      <c r="G495" s="1658"/>
      <c r="H495" s="1658"/>
      <c r="I495" s="1658"/>
      <c r="J495" s="1658"/>
      <c r="K495" s="1658"/>
      <c r="L495" s="1655" t="str">
        <f>IF(SOURCE_EquityAmount14="","",SOURCE_EquityAmount14)</f>
        <v/>
      </c>
      <c r="M495" s="1658"/>
      <c r="O495" s="1659" t="s">
        <v>1612</v>
      </c>
      <c r="P495" s="1657" t="str">
        <f>IF(C495="","",C495)</f>
        <v/>
      </c>
      <c r="Q495" s="1657" t="str">
        <f t="shared" si="115"/>
        <v/>
      </c>
      <c r="R495" s="1659" t="str">
        <f>IF(OR(E495="",E495="Enter Entity Name",E495=0,L495=""),"",E495)</f>
        <v/>
      </c>
      <c r="S495" s="1668"/>
      <c r="T495" s="1668"/>
      <c r="U495" s="1668"/>
      <c r="V495" s="1668"/>
      <c r="W495" s="1668"/>
      <c r="X495" s="1668"/>
      <c r="Y495" s="1659" t="str">
        <f>IF(OR(L495="",L495=0),"",L495)</f>
        <v/>
      </c>
      <c r="Z495" s="1658" t="str">
        <f>IF(M495="","",M495)</f>
        <v/>
      </c>
    </row>
    <row r="496" spans="1:26" x14ac:dyDescent="0.25">
      <c r="A496" s="1655" t="s">
        <v>1166</v>
      </c>
      <c r="B496" s="1655" t="s">
        <v>333</v>
      </c>
      <c r="C496" s="1655" t="str">
        <f>IF(OR(L496="",L496=0),"","Equity")</f>
        <v/>
      </c>
      <c r="D496" s="1655" t="str">
        <f>IF(SOURCE_EquityOtherDescribe15="","",SOURCE_EquityOtherDescribe15)</f>
        <v/>
      </c>
      <c r="E496" s="1659" t="str">
        <f>IF(SOURCE_EquitySourcesofEquity15="","",SOURCE_EquitySourcesofEquity15)</f>
        <v>Entity Name</v>
      </c>
      <c r="F496" s="1682"/>
      <c r="G496" s="1658"/>
      <c r="H496" s="1658"/>
      <c r="I496" s="1658"/>
      <c r="J496" s="1658"/>
      <c r="K496" s="1658"/>
      <c r="L496" s="1655" t="str">
        <f>IF(SOURCE_EquityAmount15="","",SOURCE_EquityAmount15)</f>
        <v/>
      </c>
      <c r="M496" s="1658"/>
      <c r="O496" s="1659" t="s">
        <v>1612</v>
      </c>
      <c r="P496" s="1657" t="str">
        <f>IF(C496="","",C496)</f>
        <v/>
      </c>
      <c r="Q496" s="1657" t="str">
        <f t="shared" si="115"/>
        <v/>
      </c>
      <c r="R496" s="1659" t="str">
        <f>IF(OR(E496="",E496="Enter Entity Name",E496=0,L496=""),"",E496)</f>
        <v/>
      </c>
      <c r="S496" s="1668"/>
      <c r="T496" s="1668"/>
      <c r="U496" s="1668"/>
      <c r="V496" s="1668"/>
      <c r="W496" s="1668"/>
      <c r="X496" s="1668"/>
      <c r="Y496" s="1659" t="str">
        <f>IF(OR(L496="",L496=0),"",L496)</f>
        <v/>
      </c>
      <c r="Z496" s="1658" t="str">
        <f>IF(M496="","",M496)</f>
        <v/>
      </c>
    </row>
    <row r="497" spans="1:26" x14ac:dyDescent="0.25">
      <c r="A497" s="1655" t="s">
        <v>1166</v>
      </c>
      <c r="B497" s="1655" t="s">
        <v>333</v>
      </c>
      <c r="C497" s="1655" t="str">
        <f>IF(OR(L497="",L497=0),"","Equity")</f>
        <v/>
      </c>
      <c r="D497" s="1655" t="str">
        <f>IF(SOURCE_EquityOtherDescribe16="","",SOURCE_EquityOtherDescribe16)</f>
        <v/>
      </c>
      <c r="E497" s="1659" t="str">
        <f>IF(SOURCE_EquitySourcesofEquity16="","",SOURCE_EquitySourcesofEquity16)</f>
        <v>Entity Name</v>
      </c>
      <c r="F497" s="1682"/>
      <c r="G497" s="1658"/>
      <c r="H497" s="1658"/>
      <c r="I497" s="1658"/>
      <c r="J497" s="1658"/>
      <c r="K497" s="1658"/>
      <c r="L497" s="1655" t="str">
        <f>IF(SOURCE_EquityAmount16="","",SOURCE_EquityAmount16)</f>
        <v/>
      </c>
      <c r="M497" s="1658"/>
      <c r="O497" s="1659" t="s">
        <v>1612</v>
      </c>
      <c r="P497" s="1657" t="str">
        <f>IF(C497="","",C497)</f>
        <v/>
      </c>
      <c r="Q497" s="1657" t="str">
        <f t="shared" si="115"/>
        <v/>
      </c>
      <c r="R497" s="1659" t="str">
        <f>IF(OR(E497="",E497="Enter Entity Name",E497=0,L497=""),"",E497)</f>
        <v/>
      </c>
      <c r="S497" s="1668"/>
      <c r="T497" s="1668"/>
      <c r="U497" s="1668"/>
      <c r="V497" s="1668"/>
      <c r="W497" s="1668"/>
      <c r="X497" s="1668"/>
      <c r="Y497" s="1659" t="str">
        <f>IF(OR(L497="",L497=0),"",L497)</f>
        <v/>
      </c>
      <c r="Z497" s="1658" t="str">
        <f>IF(M497="","",M497)</f>
        <v/>
      </c>
    </row>
    <row r="498" spans="1:26" x14ac:dyDescent="0.25">
      <c r="A498" s="1655" t="s">
        <v>1166</v>
      </c>
      <c r="B498" s="1655" t="s">
        <v>333</v>
      </c>
      <c r="C498" s="1655" t="str">
        <f>IF(OR(L498="",L498=0),"","Equity")</f>
        <v/>
      </c>
      <c r="D498" s="1655" t="str">
        <f>IF(SOURCE_EquityOtherDescribe17="","",SOURCE_EquityOtherDescribe17)</f>
        <v/>
      </c>
      <c r="E498" s="1659" t="str">
        <f>IF(SOURCE_EquitySourcesofEquity17="","",SOURCE_EquitySourcesofEquity17)</f>
        <v>Entity Name</v>
      </c>
      <c r="F498" s="1682"/>
      <c r="G498" s="1658"/>
      <c r="H498" s="1658"/>
      <c r="I498" s="1658"/>
      <c r="J498" s="1658"/>
      <c r="K498" s="1658"/>
      <c r="L498" s="1655" t="str">
        <f>IF(SOURCE_EquityAmount17="","",SOURCE_EquityAmount17)</f>
        <v/>
      </c>
      <c r="M498" s="1658"/>
      <c r="O498" s="1659" t="s">
        <v>1612</v>
      </c>
      <c r="P498" s="1657" t="str">
        <f>IF(C498="","",C498)</f>
        <v/>
      </c>
      <c r="Q498" s="1657" t="str">
        <f t="shared" si="115"/>
        <v/>
      </c>
      <c r="R498" s="1659" t="str">
        <f>IF(OR(E498="",E498="Enter Entity Name",E498=0,L498=""),"",E498)</f>
        <v/>
      </c>
      <c r="S498" s="1668"/>
      <c r="T498" s="1668"/>
      <c r="U498" s="1668"/>
      <c r="V498" s="1668"/>
      <c r="W498" s="1668"/>
      <c r="X498" s="1668"/>
      <c r="Y498" s="1659" t="str">
        <f>IF(OR(L498="",L498=0),"",L498)</f>
        <v/>
      </c>
      <c r="Z498" s="1658" t="str">
        <f>IF(M498="","",M498)</f>
        <v/>
      </c>
    </row>
    <row r="500" spans="1:26" x14ac:dyDescent="0.25">
      <c r="R500" t="s">
        <v>1614</v>
      </c>
      <c r="S500">
        <f>GEN_AppType</f>
        <v>0</v>
      </c>
      <c r="T500" t="str">
        <f>LEFT(S500,2)</f>
        <v>0</v>
      </c>
    </row>
    <row r="501" spans="1:26" ht="13.8" x14ac:dyDescent="0.25">
      <c r="P501" s="1661" t="s">
        <v>1195</v>
      </c>
      <c r="Q501" s="1661"/>
      <c r="R501" s="1661"/>
      <c r="S501" s="1661"/>
      <c r="T501" s="1661"/>
      <c r="U501" s="1661"/>
      <c r="V501" s="1661"/>
      <c r="X501" s="1661" t="s">
        <v>1534</v>
      </c>
      <c r="Y501" s="1661"/>
      <c r="Z501" s="1661"/>
    </row>
    <row r="502" spans="1:26" ht="13.8" x14ac:dyDescent="0.25">
      <c r="A502" s="1651" t="s">
        <v>1177</v>
      </c>
      <c r="B502" s="1651" t="s">
        <v>1178</v>
      </c>
      <c r="C502" s="1651"/>
      <c r="D502" s="1651"/>
      <c r="E502" s="1651"/>
      <c r="F502" s="1651"/>
      <c r="H502" s="1660" t="s">
        <v>1194</v>
      </c>
      <c r="I502" s="1660"/>
      <c r="J502" s="1660"/>
      <c r="L502" s="1660" t="s">
        <v>1615</v>
      </c>
      <c r="M502" s="1660"/>
      <c r="N502" s="1660"/>
      <c r="P502" s="1662" t="s">
        <v>1202</v>
      </c>
      <c r="Q502" s="1662" t="s">
        <v>1203</v>
      </c>
      <c r="R502" s="1662" t="s">
        <v>1616</v>
      </c>
      <c r="S502" s="1662" t="s">
        <v>869</v>
      </c>
      <c r="T502" s="1662" t="s">
        <v>1617</v>
      </c>
      <c r="U502" s="1662" t="s">
        <v>1618</v>
      </c>
      <c r="V502" s="1662" t="s">
        <v>1619</v>
      </c>
      <c r="X502" s="1662" t="s">
        <v>1202</v>
      </c>
      <c r="Y502" s="1662" t="s">
        <v>1200</v>
      </c>
      <c r="Z502" s="1662" t="s">
        <v>1535</v>
      </c>
    </row>
    <row r="503" spans="1:26" x14ac:dyDescent="0.25">
      <c r="A503" s="1654" t="s">
        <v>1198</v>
      </c>
      <c r="B503" s="1654" t="s">
        <v>1199</v>
      </c>
      <c r="C503" s="1654" t="s">
        <v>1200</v>
      </c>
      <c r="D503" s="1654" t="s">
        <v>1535</v>
      </c>
      <c r="E503" s="1654" t="s">
        <v>869</v>
      </c>
      <c r="F503" s="1654" t="s">
        <v>870</v>
      </c>
      <c r="H503" s="1662" t="s">
        <v>1202</v>
      </c>
      <c r="I503" s="1654" t="str">
        <f>C503</f>
        <v>Field</v>
      </c>
      <c r="J503" s="1654" t="str">
        <f>D503</f>
        <v>Total Budgeted Cost / Value</v>
      </c>
      <c r="L503" s="1662" t="str">
        <f>H503</f>
        <v>Mapped to Object</v>
      </c>
      <c r="M503" s="1662" t="str">
        <f>I503</f>
        <v>Field</v>
      </c>
      <c r="N503" s="1662" t="str">
        <f>J503</f>
        <v>Total Budgeted Cost / Value</v>
      </c>
      <c r="P503" s="1655" t="s">
        <v>1620</v>
      </c>
      <c r="Q503" s="1655" t="s">
        <v>1621</v>
      </c>
      <c r="R503" s="671" t="str">
        <f>IF(TC_NewConstruction="X",MAPPING!D504,"")</f>
        <v/>
      </c>
      <c r="S503" s="672"/>
      <c r="T503" s="671" t="str">
        <f>IF($T$500&lt;&gt;"4%","",IF(TC_NewConstruction="X",MAPPING!F504,""))</f>
        <v/>
      </c>
      <c r="U503" s="671" t="str">
        <f>IF($T$500&lt;&gt;"9%","",IF(TC_NewConstruction="X",MAPPING!F504,""))</f>
        <v/>
      </c>
      <c r="V503" s="1677"/>
      <c r="X503" s="1668"/>
      <c r="Y503" s="1668"/>
      <c r="Z503" s="1668"/>
    </row>
    <row r="504" spans="1:26" x14ac:dyDescent="0.25">
      <c r="A504" s="1655" t="s">
        <v>1178</v>
      </c>
      <c r="B504" s="1655" t="s">
        <v>1622</v>
      </c>
      <c r="C504" s="1683" t="s">
        <v>739</v>
      </c>
      <c r="D504" s="1684" t="str">
        <f>IF(USE_NetConstructionCosts="","",USE_NetConstructionCosts)</f>
        <v/>
      </c>
      <c r="E504" s="1658"/>
      <c r="F504" s="1674" t="str">
        <f>IF(USE_ConstBNetConstructionCosts="","",USE_ConstBNetConstructionCosts)</f>
        <v/>
      </c>
      <c r="H504" s="1655" t="s">
        <v>1623</v>
      </c>
      <c r="I504" s="1664" t="s">
        <v>1624</v>
      </c>
      <c r="J504" s="1684" t="str">
        <f>IF(D504="","",D504)</f>
        <v/>
      </c>
      <c r="L504" s="1668"/>
      <c r="M504" s="1668"/>
      <c r="N504" s="1668"/>
      <c r="P504" s="1655" t="s">
        <v>1620</v>
      </c>
      <c r="Q504" s="1655" t="s">
        <v>1625</v>
      </c>
      <c r="R504" s="671" t="str">
        <f>IF(TC_NewConstruction&lt;&gt;"X",MAPPING!D504,"")</f>
        <v/>
      </c>
      <c r="S504" s="672"/>
      <c r="T504" s="671" t="str">
        <f>IF($T$500&lt;&gt;"4%","",IF(TC_NewConstruction&lt;&gt;"X",MAPPING!F504,""))</f>
        <v/>
      </c>
      <c r="U504" s="671" t="str">
        <f>IF($T$500&lt;&gt;"9%","",IF(TC_NewConstruction&lt;&gt;"X",MAPPING!F504,""))</f>
        <v/>
      </c>
      <c r="V504" s="1677"/>
      <c r="X504" s="1668"/>
      <c r="Y504" s="1668"/>
      <c r="Z504" s="1668"/>
    </row>
    <row r="505" spans="1:26" x14ac:dyDescent="0.25">
      <c r="A505" s="1655" t="s">
        <v>1178</v>
      </c>
      <c r="B505" s="1655" t="s">
        <v>1622</v>
      </c>
      <c r="C505" s="1683" t="s">
        <v>740</v>
      </c>
      <c r="D505" s="1684" t="str">
        <f>IF(USE_GeneralRequirements="","",USE_GeneralRequirements)</f>
        <v/>
      </c>
      <c r="E505" s="1658"/>
      <c r="F505" s="1674" t="str">
        <f>IF(USE_ConstBGeneralRequirements="","",USE_ConstBGeneralRequirements)</f>
        <v/>
      </c>
      <c r="H505" s="1655" t="s">
        <v>1623</v>
      </c>
      <c r="I505" s="1664" t="s">
        <v>1626</v>
      </c>
      <c r="J505" s="1684" t="str">
        <f>IF(D505="","",D505)</f>
        <v/>
      </c>
      <c r="L505" s="1668"/>
      <c r="M505" s="1668"/>
      <c r="N505" s="1668"/>
      <c r="P505" s="1655" t="s">
        <v>1620</v>
      </c>
      <c r="Q505" s="1659" t="s">
        <v>1627</v>
      </c>
      <c r="R505" s="671" t="str">
        <f>IF(D505="","",D505)</f>
        <v/>
      </c>
      <c r="S505" s="672"/>
      <c r="T505" s="671" t="str">
        <f>IF($T$500&lt;&gt;"4%","",IF(F505="","",F505))</f>
        <v/>
      </c>
      <c r="U505" s="671" t="str">
        <f t="shared" ref="U505:U516" si="117">IF($T$500&lt;&gt;"9%","",IF(F505="","",F505))</f>
        <v/>
      </c>
      <c r="V505" s="1668"/>
      <c r="X505" s="1668"/>
      <c r="Y505" s="1668"/>
      <c r="Z505" s="1668"/>
    </row>
    <row r="506" spans="1:26" x14ac:dyDescent="0.25">
      <c r="A506" s="1655" t="s">
        <v>1178</v>
      </c>
      <c r="B506" s="1655" t="s">
        <v>1622</v>
      </c>
      <c r="C506" s="1683" t="s">
        <v>741</v>
      </c>
      <c r="D506" s="1684" t="str">
        <f>IF(USE_BuildersProfit="","",USE_BuildersProfit)</f>
        <v/>
      </c>
      <c r="E506" s="1658"/>
      <c r="F506" s="1674" t="str">
        <f>IF(USE_ConstBBuildersProfit="","",USE_ConstBBuildersProfit)</f>
        <v/>
      </c>
      <c r="H506" s="1655" t="s">
        <v>1623</v>
      </c>
      <c r="I506" s="1664" t="s">
        <v>1628</v>
      </c>
      <c r="J506" s="1684" t="str">
        <f>IF(D506="","",D506)</f>
        <v/>
      </c>
      <c r="L506" s="1668"/>
      <c r="M506" s="1668"/>
      <c r="N506" s="1668"/>
      <c r="P506" s="1655" t="s">
        <v>1620</v>
      </c>
      <c r="Q506" s="1659" t="s">
        <v>1629</v>
      </c>
      <c r="R506" s="671" t="str">
        <f>IF(D506="","",D506)</f>
        <v/>
      </c>
      <c r="S506" s="672"/>
      <c r="T506" s="671" t="str">
        <f t="shared" ref="T506:T516" si="118">IF($T$500&lt;&gt;"4%","",IF(F506="","",F506))</f>
        <v/>
      </c>
      <c r="U506" s="671" t="str">
        <f t="shared" si="117"/>
        <v/>
      </c>
      <c r="V506" s="1668"/>
      <c r="X506" s="1668"/>
      <c r="Y506" s="1668"/>
      <c r="Z506" s="1668"/>
    </row>
    <row r="507" spans="1:26" x14ac:dyDescent="0.25">
      <c r="A507" s="1655" t="s">
        <v>1178</v>
      </c>
      <c r="B507" s="1655" t="s">
        <v>1622</v>
      </c>
      <c r="C507" s="1683" t="s">
        <v>742</v>
      </c>
      <c r="D507" s="1684" t="str">
        <f>IF(USE_BuildersGeneralOverhead="","",USE_BuildersGeneralOverhead)</f>
        <v/>
      </c>
      <c r="E507" s="1658"/>
      <c r="F507" s="1674" t="str">
        <f>IF(USE_ConstBBuildersGeneralOverhead="","",USE_ConstBBuildersGeneralOverhead)</f>
        <v/>
      </c>
      <c r="H507" s="1655" t="s">
        <v>1623</v>
      </c>
      <c r="I507" s="1664" t="s">
        <v>1630</v>
      </c>
      <c r="J507" s="1684" t="str">
        <f>IF(D507="","",D507)</f>
        <v/>
      </c>
      <c r="L507" s="1668"/>
      <c r="M507" s="1668"/>
      <c r="N507" s="1668"/>
      <c r="P507" s="1655" t="s">
        <v>1620</v>
      </c>
      <c r="Q507" s="1659" t="s">
        <v>1631</v>
      </c>
      <c r="R507" s="671" t="str">
        <f>IF(D507="","",D507)</f>
        <v/>
      </c>
      <c r="S507" s="672"/>
      <c r="T507" s="671" t="str">
        <f t="shared" si="118"/>
        <v/>
      </c>
      <c r="U507" s="671" t="str">
        <f t="shared" si="117"/>
        <v/>
      </c>
      <c r="V507" s="1668"/>
      <c r="X507" s="1668"/>
      <c r="Y507" s="1668"/>
      <c r="Z507" s="1668"/>
    </row>
    <row r="508" spans="1:26" x14ac:dyDescent="0.25">
      <c r="A508" s="1655" t="s">
        <v>1178</v>
      </c>
      <c r="B508" s="1655" t="s">
        <v>1622</v>
      </c>
      <c r="C508" s="1683" t="s">
        <v>743</v>
      </c>
      <c r="D508" s="1684" t="str">
        <f>IF(USE_BondPremium="","",USE_BondPremium)</f>
        <v/>
      </c>
      <c r="E508" s="1658"/>
      <c r="F508" s="1674" t="str">
        <f>IF(USE_ConstBBondPremium="","",USE_ConstBBondPremium)</f>
        <v/>
      </c>
      <c r="H508" s="1655" t="s">
        <v>1623</v>
      </c>
      <c r="I508" s="1664" t="s">
        <v>1632</v>
      </c>
      <c r="J508" s="1684" t="str">
        <f>IF(D508="","",D508)</f>
        <v/>
      </c>
      <c r="L508" s="1668"/>
      <c r="M508" s="1668"/>
      <c r="N508" s="1668"/>
      <c r="P508" s="1655" t="s">
        <v>1620</v>
      </c>
      <c r="Q508" s="1659" t="s">
        <v>1633</v>
      </c>
      <c r="R508" s="671" t="str">
        <f>IF(D508="","",D508)</f>
        <v/>
      </c>
      <c r="S508" s="672"/>
      <c r="T508" s="671" t="str">
        <f t="shared" si="118"/>
        <v/>
      </c>
      <c r="U508" s="671" t="str">
        <f t="shared" si="117"/>
        <v/>
      </c>
      <c r="V508" s="1668"/>
      <c r="X508" s="1668"/>
      <c r="Y508" s="1668"/>
      <c r="Z508" s="1668"/>
    </row>
    <row r="509" spans="1:26" x14ac:dyDescent="0.25">
      <c r="A509" s="1655" t="s">
        <v>1178</v>
      </c>
      <c r="B509" s="1655" t="s">
        <v>1622</v>
      </c>
      <c r="C509" s="1683" t="s">
        <v>1329</v>
      </c>
      <c r="D509" s="1684" t="str">
        <f>IF(USE_Other1="","",USE_Other1)</f>
        <v/>
      </c>
      <c r="E509" s="1658"/>
      <c r="F509" s="1674" t="str">
        <f>IF(USE_ConstBOther1="","",USE_ConstBOther1)</f>
        <v/>
      </c>
      <c r="H509" s="1655" t="s">
        <v>1623</v>
      </c>
      <c r="I509" s="1664" t="s">
        <v>1634</v>
      </c>
      <c r="J509" s="1684" t="str">
        <f>IF(IF(D509="",0,D509)+IF(D510="",0,D510)+IF(D511="",0,D511)+IF(D512="",0,D512)+IF(D513="",0,D513)+IF(D514="",0,D514)+IF(D515="",0,D515)=0,"",IF(D509="",0,D509)+IF(D510="",0,D510)+IF(D511="",0,D511)+IF(D512="",0,D512)+IF(D513="",0,D513)+IF(D514="",0,D514)+IF(D515="",0,D515))</f>
        <v/>
      </c>
      <c r="L509" s="1659" t="s">
        <v>1623</v>
      </c>
      <c r="M509" s="1659" t="str">
        <f t="shared" ref="M509:M515" si="119">C509</f>
        <v>Other 1</v>
      </c>
      <c r="N509" s="1659" t="str">
        <f t="shared" ref="N509:N515" si="120">IF(D509="","",D509)</f>
        <v/>
      </c>
      <c r="P509" s="1655" t="s">
        <v>1620</v>
      </c>
      <c r="Q509" s="1659" t="s">
        <v>1635</v>
      </c>
      <c r="R509" s="671" t="str">
        <f>IF(D509="","",D509)</f>
        <v/>
      </c>
      <c r="S509" s="672"/>
      <c r="T509" s="671" t="str">
        <f t="shared" si="118"/>
        <v/>
      </c>
      <c r="U509" s="671" t="str">
        <f t="shared" si="117"/>
        <v/>
      </c>
      <c r="V509" s="1668"/>
      <c r="X509" s="1668"/>
      <c r="Y509" s="1668"/>
      <c r="Z509" s="1668"/>
    </row>
    <row r="510" spans="1:26" x14ac:dyDescent="0.25">
      <c r="A510" s="1655" t="s">
        <v>1178</v>
      </c>
      <c r="B510" s="1655" t="s">
        <v>1622</v>
      </c>
      <c r="C510" s="1683" t="s">
        <v>1331</v>
      </c>
      <c r="D510" s="1684" t="str">
        <f>IF(USE_Other2="","",USE_Other2)</f>
        <v/>
      </c>
      <c r="E510" s="1658"/>
      <c r="F510" s="1674" t="str">
        <f>IF(USE_ConstBOther2="","",USE_ConstBOther2)</f>
        <v/>
      </c>
      <c r="H510" s="1658"/>
      <c r="I510" s="1658" t="s">
        <v>1634</v>
      </c>
      <c r="J510" s="1677"/>
      <c r="L510" s="1659" t="s">
        <v>1623</v>
      </c>
      <c r="M510" s="1659" t="str">
        <f t="shared" si="119"/>
        <v>Other 2</v>
      </c>
      <c r="N510" s="1659" t="str">
        <f t="shared" si="120"/>
        <v/>
      </c>
      <c r="P510" s="1655" t="s">
        <v>1620</v>
      </c>
      <c r="Q510" s="1659" t="s">
        <v>1636</v>
      </c>
      <c r="R510" s="671">
        <f>IF(D510="",0,D510)+IF(D511="",0,D511)+IF(D512="",0,D512)+IF(D513="",0,D513)+IF(D514="",0,D514)+IF(D515="",0,D515)</f>
        <v>0</v>
      </c>
      <c r="S510" s="672"/>
      <c r="T510" s="671" t="str">
        <f>IF($T$500&lt;&gt;"4%","",IF(F510="",0,F510)+IF(F511="",0,F511)+IF(F512="",0,F512)+IF(F513="",0,F513)+IF(F514="",0,F514)+IF(F515="",0,F515))</f>
        <v/>
      </c>
      <c r="U510" s="671" t="str">
        <f>IF($T$500&lt;&gt;"9%","",IF(F510="",0,F510)+IF(F511="",0,F511)+IF(F512="",0,F512)+IF(F513="",0,F513)+IF(F514="",0,F514)+IF(F515="",0,F515))</f>
        <v/>
      </c>
      <c r="V510" s="1668"/>
      <c r="X510" s="1659" t="s">
        <v>1209</v>
      </c>
      <c r="Y510" s="1657" t="s">
        <v>1331</v>
      </c>
      <c r="Z510" s="1659" t="str">
        <f t="shared" ref="Z510:Z515" si="121">IF(D510="","",D510)</f>
        <v/>
      </c>
    </row>
    <row r="511" spans="1:26" x14ac:dyDescent="0.25">
      <c r="A511" s="1655" t="s">
        <v>1178</v>
      </c>
      <c r="B511" s="1655" t="s">
        <v>1622</v>
      </c>
      <c r="C511" s="1683" t="s">
        <v>1333</v>
      </c>
      <c r="D511" s="1684" t="str">
        <f>IF(USE_Other21="","",USE_Other21)</f>
        <v/>
      </c>
      <c r="E511" s="1658"/>
      <c r="F511" s="1674" t="str">
        <f>IF(USE_ConstBOther21="","",USE_ConstBOther21)</f>
        <v/>
      </c>
      <c r="H511" s="1658"/>
      <c r="I511" s="1658" t="s">
        <v>1634</v>
      </c>
      <c r="J511" s="1677"/>
      <c r="L511" s="1659" t="s">
        <v>1623</v>
      </c>
      <c r="M511" s="1659" t="str">
        <f t="shared" si="119"/>
        <v>Other 3</v>
      </c>
      <c r="N511" s="1659" t="str">
        <f t="shared" si="120"/>
        <v/>
      </c>
      <c r="P511" s="1658"/>
      <c r="Q511" s="1668" t="s">
        <v>1636</v>
      </c>
      <c r="R511" s="672"/>
      <c r="S511" s="672"/>
      <c r="T511" s="672"/>
      <c r="U511" s="672"/>
      <c r="V511" s="1668"/>
      <c r="X511" s="1659" t="s">
        <v>1209</v>
      </c>
      <c r="Y511" s="1657" t="s">
        <v>1333</v>
      </c>
      <c r="Z511" s="1659" t="str">
        <f t="shared" si="121"/>
        <v/>
      </c>
    </row>
    <row r="512" spans="1:26" x14ac:dyDescent="0.25">
      <c r="A512" s="1655" t="s">
        <v>1178</v>
      </c>
      <c r="B512" s="1655" t="s">
        <v>1622</v>
      </c>
      <c r="C512" s="1683" t="s">
        <v>1335</v>
      </c>
      <c r="D512" s="1684" t="str">
        <f>IF(USE_Other22="","",USE_Other22)</f>
        <v/>
      </c>
      <c r="E512" s="1658"/>
      <c r="F512" s="1674" t="str">
        <f>IF(USE_ConstBOther22="","",USE_ConstBOther22)</f>
        <v/>
      </c>
      <c r="H512" s="1658"/>
      <c r="I512" s="1658" t="s">
        <v>1634</v>
      </c>
      <c r="J512" s="1677"/>
      <c r="L512" s="1659" t="s">
        <v>1623</v>
      </c>
      <c r="M512" s="1659" t="str">
        <f t="shared" si="119"/>
        <v>Other 4</v>
      </c>
      <c r="N512" s="1659" t="str">
        <f t="shared" si="120"/>
        <v/>
      </c>
      <c r="P512" s="1658"/>
      <c r="Q512" s="1668" t="s">
        <v>1636</v>
      </c>
      <c r="R512" s="672"/>
      <c r="S512" s="672"/>
      <c r="T512" s="672"/>
      <c r="U512" s="672"/>
      <c r="V512" s="1668"/>
      <c r="X512" s="1659" t="s">
        <v>1209</v>
      </c>
      <c r="Y512" s="1657" t="s">
        <v>1335</v>
      </c>
      <c r="Z512" s="1659" t="str">
        <f t="shared" si="121"/>
        <v/>
      </c>
    </row>
    <row r="513" spans="1:26" x14ac:dyDescent="0.25">
      <c r="A513" s="1655" t="s">
        <v>1178</v>
      </c>
      <c r="B513" s="1655" t="s">
        <v>1622</v>
      </c>
      <c r="C513" s="1683" t="s">
        <v>1337</v>
      </c>
      <c r="D513" s="1684" t="str">
        <f>IF(USE_Other23="","",USE_Other23)</f>
        <v/>
      </c>
      <c r="E513" s="1658"/>
      <c r="F513" s="1674" t="str">
        <f>IF(USE_ConstBOther23="","",USE_ConstBOther23)</f>
        <v/>
      </c>
      <c r="H513" s="1658"/>
      <c r="I513" s="1658" t="s">
        <v>1634</v>
      </c>
      <c r="J513" s="1677"/>
      <c r="L513" s="1659" t="s">
        <v>1623</v>
      </c>
      <c r="M513" s="1659" t="str">
        <f t="shared" si="119"/>
        <v>Other 5</v>
      </c>
      <c r="N513" s="1659" t="str">
        <f t="shared" si="120"/>
        <v/>
      </c>
      <c r="P513" s="1658"/>
      <c r="Q513" s="1668" t="s">
        <v>1636</v>
      </c>
      <c r="R513" s="672"/>
      <c r="S513" s="672"/>
      <c r="T513" s="672"/>
      <c r="U513" s="672"/>
      <c r="V513" s="1668"/>
      <c r="X513" s="1659" t="s">
        <v>1209</v>
      </c>
      <c r="Y513" s="1657" t="s">
        <v>1337</v>
      </c>
      <c r="Z513" s="1659" t="str">
        <f t="shared" si="121"/>
        <v/>
      </c>
    </row>
    <row r="514" spans="1:26" x14ac:dyDescent="0.25">
      <c r="A514" s="1655" t="s">
        <v>1178</v>
      </c>
      <c r="B514" s="1655" t="s">
        <v>1622</v>
      </c>
      <c r="C514" s="1683" t="s">
        <v>1637</v>
      </c>
      <c r="D514" s="1684" t="str">
        <f>IF(USE_Other24="","",USE_Other24)</f>
        <v/>
      </c>
      <c r="E514" s="1658"/>
      <c r="F514" s="1674" t="str">
        <f>IF(USE_ConstBOther24="","",USE_ConstBOther24)</f>
        <v/>
      </c>
      <c r="H514" s="1658"/>
      <c r="I514" s="1658" t="s">
        <v>1634</v>
      </c>
      <c r="J514" s="1677"/>
      <c r="L514" s="1659" t="s">
        <v>1623</v>
      </c>
      <c r="M514" s="1659" t="str">
        <f t="shared" si="119"/>
        <v>Other 6</v>
      </c>
      <c r="N514" s="1659" t="str">
        <f t="shared" si="120"/>
        <v/>
      </c>
      <c r="O514" s="1685"/>
      <c r="P514" s="1658"/>
      <c r="Q514" s="1668" t="s">
        <v>1636</v>
      </c>
      <c r="R514" s="672"/>
      <c r="S514" s="672"/>
      <c r="T514" s="672"/>
      <c r="U514" s="672"/>
      <c r="V514" s="1668"/>
      <c r="X514" s="1659" t="s">
        <v>1209</v>
      </c>
      <c r="Y514" s="1657" t="s">
        <v>1637</v>
      </c>
      <c r="Z514" s="1659" t="str">
        <f t="shared" si="121"/>
        <v/>
      </c>
    </row>
    <row r="515" spans="1:26" x14ac:dyDescent="0.25">
      <c r="A515" s="1655" t="s">
        <v>1178</v>
      </c>
      <c r="B515" s="1655" t="s">
        <v>1622</v>
      </c>
      <c r="C515" s="1683" t="s">
        <v>1638</v>
      </c>
      <c r="D515" s="1684" t="str">
        <f>IF(USE_Other25="","",USE_Other25)</f>
        <v/>
      </c>
      <c r="E515" s="1658"/>
      <c r="F515" s="1674" t="str">
        <f>IF(USE_ConstBOther25="","",USE_ConstBOther25)</f>
        <v/>
      </c>
      <c r="H515" s="1658"/>
      <c r="I515" s="1658" t="s">
        <v>1634</v>
      </c>
      <c r="J515" s="1677"/>
      <c r="L515" s="1659" t="s">
        <v>1623</v>
      </c>
      <c r="M515" s="1659" t="str">
        <f t="shared" si="119"/>
        <v>Other 7</v>
      </c>
      <c r="N515" s="1659" t="str">
        <f t="shared" si="120"/>
        <v/>
      </c>
      <c r="P515" s="1658"/>
      <c r="Q515" s="1668" t="s">
        <v>1636</v>
      </c>
      <c r="R515" s="672"/>
      <c r="S515" s="672"/>
      <c r="T515" s="672"/>
      <c r="U515" s="672"/>
      <c r="V515" s="1668"/>
      <c r="X515" s="1659" t="s">
        <v>1209</v>
      </c>
      <c r="Y515" s="1657" t="s">
        <v>1638</v>
      </c>
      <c r="Z515" s="1659" t="str">
        <f t="shared" si="121"/>
        <v/>
      </c>
    </row>
    <row r="516" spans="1:26" x14ac:dyDescent="0.25">
      <c r="A516" s="1655" t="s">
        <v>1178</v>
      </c>
      <c r="B516" s="1655" t="s">
        <v>1622</v>
      </c>
      <c r="C516" s="1683" t="s">
        <v>745</v>
      </c>
      <c r="D516" s="1684" t="str">
        <f>IF(USE_ConstructionContingency="","",USE_ConstructionContingency)</f>
        <v/>
      </c>
      <c r="E516" s="1658"/>
      <c r="F516" s="1674" t="str">
        <f>IF(USE_ConstBConstructionContingency="","",USE_ConstBConstructionContingency)</f>
        <v/>
      </c>
      <c r="H516" s="1655" t="s">
        <v>1623</v>
      </c>
      <c r="I516" s="1664" t="s">
        <v>1639</v>
      </c>
      <c r="J516" s="1674" t="str">
        <f>IF(D516="","",D516)</f>
        <v/>
      </c>
      <c r="L516" s="1668"/>
      <c r="M516" s="1668"/>
      <c r="N516" s="1668"/>
      <c r="P516" s="1655" t="s">
        <v>1620</v>
      </c>
      <c r="Q516" s="1659" t="s">
        <v>1640</v>
      </c>
      <c r="R516" s="671" t="str">
        <f>IF(D516="","",D516)</f>
        <v/>
      </c>
      <c r="S516" s="672"/>
      <c r="T516" s="671" t="str">
        <f t="shared" si="118"/>
        <v/>
      </c>
      <c r="U516" s="671" t="str">
        <f t="shared" si="117"/>
        <v/>
      </c>
      <c r="V516" s="1668"/>
      <c r="X516" s="1668"/>
      <c r="Y516" s="1668"/>
      <c r="Z516" s="1668"/>
    </row>
    <row r="517" spans="1:26" x14ac:dyDescent="0.25">
      <c r="A517" s="1655" t="s">
        <v>1178</v>
      </c>
      <c r="B517" s="1655" t="s">
        <v>1622</v>
      </c>
      <c r="C517" s="1657" t="s">
        <v>1505</v>
      </c>
      <c r="D517" s="1684" t="str">
        <f>IF(USE_Other1Describe="","",USE_Other1Describe)</f>
        <v>Describe</v>
      </c>
      <c r="E517" s="1668"/>
      <c r="F517" s="1677"/>
      <c r="H517" s="1655" t="s">
        <v>1623</v>
      </c>
      <c r="I517" s="1655" t="s">
        <v>1641</v>
      </c>
      <c r="J517" s="1674" t="str">
        <f>_xlfn.CONCAT(D517,", ",D518,", ",D519,", ",D520,", ",D521,", ",D522,", ",D523)</f>
        <v>Describe, Describe, Describe, Describe, Describe, Describe, Describe</v>
      </c>
      <c r="L517" s="1659" t="s">
        <v>1623</v>
      </c>
      <c r="M517" s="1659" t="str">
        <f t="shared" ref="M517:M524" si="122">C517</f>
        <v>Other 1 Describe</v>
      </c>
      <c r="N517" s="1659" t="str">
        <f t="shared" ref="N517:N523" si="123">IF(OR(D517="",D517="Describe"),"",D517)</f>
        <v/>
      </c>
      <c r="P517" s="1668"/>
      <c r="Q517" s="1668"/>
      <c r="R517" s="672"/>
      <c r="S517" s="672"/>
      <c r="T517" s="672"/>
      <c r="U517" s="672"/>
      <c r="V517" s="1668"/>
      <c r="X517" s="1659" t="s">
        <v>1209</v>
      </c>
      <c r="Y517" s="1657" t="str">
        <f>C517</f>
        <v>Other 1 Describe</v>
      </c>
      <c r="Z517" s="1659" t="str">
        <f t="shared" ref="Z517:Z523" si="124">IF(OR(D517="",D517="Describe"),"",D517)</f>
        <v/>
      </c>
    </row>
    <row r="518" spans="1:26" x14ac:dyDescent="0.25">
      <c r="A518" s="1655" t="s">
        <v>1178</v>
      </c>
      <c r="B518" s="1655" t="s">
        <v>1622</v>
      </c>
      <c r="C518" s="1657" t="s">
        <v>1506</v>
      </c>
      <c r="D518" s="1684" t="str">
        <f>IF(USE_Other2Describe="","",USE_Other2Describe)</f>
        <v>Describe</v>
      </c>
      <c r="E518" s="1668"/>
      <c r="F518" s="1677"/>
      <c r="H518" s="1658"/>
      <c r="I518" s="1658" t="s">
        <v>1641</v>
      </c>
      <c r="J518" s="1677"/>
      <c r="L518" s="1659" t="s">
        <v>1623</v>
      </c>
      <c r="M518" s="1659" t="str">
        <f t="shared" si="122"/>
        <v>Other 2 Describe</v>
      </c>
      <c r="N518" s="1659" t="str">
        <f t="shared" si="123"/>
        <v/>
      </c>
      <c r="P518" s="1668"/>
      <c r="Q518" s="1668"/>
      <c r="R518" s="672"/>
      <c r="S518" s="672"/>
      <c r="T518" s="672"/>
      <c r="U518" s="672"/>
      <c r="V518" s="1668"/>
      <c r="X518" s="1659" t="s">
        <v>1209</v>
      </c>
      <c r="Y518" s="1657" t="str">
        <f t="shared" ref="Y518:Y523" si="125">C518</f>
        <v>Other 2 Describe</v>
      </c>
      <c r="Z518" s="1659" t="str">
        <f t="shared" si="124"/>
        <v/>
      </c>
    </row>
    <row r="519" spans="1:26" x14ac:dyDescent="0.25">
      <c r="A519" s="1655" t="s">
        <v>1178</v>
      </c>
      <c r="B519" s="1655" t="s">
        <v>1622</v>
      </c>
      <c r="C519" s="1657" t="s">
        <v>1642</v>
      </c>
      <c r="D519" s="1684" t="str">
        <f>IF(USE_Other21Describe="","",USE_Other21Describe)</f>
        <v>Describe</v>
      </c>
      <c r="E519" s="1668"/>
      <c r="F519" s="1677"/>
      <c r="H519" s="1658"/>
      <c r="I519" s="1658" t="s">
        <v>1641</v>
      </c>
      <c r="J519" s="1677"/>
      <c r="L519" s="1659" t="s">
        <v>1623</v>
      </c>
      <c r="M519" s="1659" t="str">
        <f t="shared" si="122"/>
        <v>Other 3 Describe</v>
      </c>
      <c r="N519" s="1659" t="str">
        <f t="shared" si="123"/>
        <v/>
      </c>
      <c r="P519" s="1668"/>
      <c r="Q519" s="1668"/>
      <c r="R519" s="672"/>
      <c r="S519" s="672"/>
      <c r="T519" s="672"/>
      <c r="U519" s="672"/>
      <c r="V519" s="1668"/>
      <c r="X519" s="1659" t="s">
        <v>1209</v>
      </c>
      <c r="Y519" s="1657" t="str">
        <f t="shared" si="125"/>
        <v>Other 3 Describe</v>
      </c>
      <c r="Z519" s="1659" t="str">
        <f t="shared" si="124"/>
        <v/>
      </c>
    </row>
    <row r="520" spans="1:26" x14ac:dyDescent="0.25">
      <c r="A520" s="1655" t="s">
        <v>1178</v>
      </c>
      <c r="B520" s="1655" t="s">
        <v>1622</v>
      </c>
      <c r="C520" s="1657" t="s">
        <v>1643</v>
      </c>
      <c r="D520" s="1684" t="str">
        <f>IF(USE_Other22Describe="","",USE_Other22Describe)</f>
        <v>Describe</v>
      </c>
      <c r="E520" s="1668"/>
      <c r="F520" s="1677"/>
      <c r="H520" s="1658"/>
      <c r="I520" s="1658" t="s">
        <v>1641</v>
      </c>
      <c r="J520" s="1677"/>
      <c r="L520" s="1659" t="s">
        <v>1623</v>
      </c>
      <c r="M520" s="1659" t="str">
        <f t="shared" si="122"/>
        <v>Other 4 Describe</v>
      </c>
      <c r="N520" s="1659" t="str">
        <f t="shared" si="123"/>
        <v/>
      </c>
      <c r="P520" s="1668"/>
      <c r="Q520" s="1668"/>
      <c r="R520" s="672"/>
      <c r="S520" s="672"/>
      <c r="T520" s="672"/>
      <c r="U520" s="672"/>
      <c r="V520" s="1668"/>
      <c r="X520" s="1659" t="s">
        <v>1209</v>
      </c>
      <c r="Y520" s="1657" t="str">
        <f t="shared" si="125"/>
        <v>Other 4 Describe</v>
      </c>
      <c r="Z520" s="1659" t="str">
        <f t="shared" si="124"/>
        <v/>
      </c>
    </row>
    <row r="521" spans="1:26" x14ac:dyDescent="0.25">
      <c r="A521" s="1655" t="s">
        <v>1178</v>
      </c>
      <c r="B521" s="1655" t="s">
        <v>1622</v>
      </c>
      <c r="C521" s="1657" t="s">
        <v>1644</v>
      </c>
      <c r="D521" s="1684" t="str">
        <f>IF(USE_Other23Describe="","",USE_Other23Describe)</f>
        <v>Describe</v>
      </c>
      <c r="E521" s="1668"/>
      <c r="F521" s="1677"/>
      <c r="H521" s="1658"/>
      <c r="I521" s="1658" t="s">
        <v>1641</v>
      </c>
      <c r="J521" s="1677"/>
      <c r="L521" s="1659" t="s">
        <v>1623</v>
      </c>
      <c r="M521" s="1659" t="str">
        <f t="shared" si="122"/>
        <v>Other 5 Describe</v>
      </c>
      <c r="N521" s="1659" t="str">
        <f t="shared" si="123"/>
        <v/>
      </c>
      <c r="P521" s="1668"/>
      <c r="Q521" s="1668"/>
      <c r="R521" s="672"/>
      <c r="S521" s="672"/>
      <c r="T521" s="672"/>
      <c r="U521" s="672"/>
      <c r="V521" s="1668"/>
      <c r="X521" s="1659" t="s">
        <v>1209</v>
      </c>
      <c r="Y521" s="1657" t="str">
        <f t="shared" si="125"/>
        <v>Other 5 Describe</v>
      </c>
      <c r="Z521" s="1659" t="str">
        <f t="shared" si="124"/>
        <v/>
      </c>
    </row>
    <row r="522" spans="1:26" x14ac:dyDescent="0.25">
      <c r="A522" s="1655" t="s">
        <v>1178</v>
      </c>
      <c r="B522" s="1655" t="s">
        <v>1622</v>
      </c>
      <c r="C522" s="1657" t="s">
        <v>1645</v>
      </c>
      <c r="D522" s="1684" t="str">
        <f>IF(USE_Other24Describe="","",USE_Other24Describe)</f>
        <v>Describe</v>
      </c>
      <c r="E522" s="1668"/>
      <c r="F522" s="1677"/>
      <c r="H522" s="1658"/>
      <c r="I522" s="1658" t="s">
        <v>1641</v>
      </c>
      <c r="J522" s="1677"/>
      <c r="L522" s="1659" t="s">
        <v>1623</v>
      </c>
      <c r="M522" s="1659" t="str">
        <f t="shared" si="122"/>
        <v>Other 6 Describe</v>
      </c>
      <c r="N522" s="1659" t="str">
        <f t="shared" si="123"/>
        <v/>
      </c>
      <c r="P522" s="1668"/>
      <c r="Q522" s="1668"/>
      <c r="R522" s="672"/>
      <c r="S522" s="672"/>
      <c r="T522" s="672"/>
      <c r="U522" s="672"/>
      <c r="V522" s="1668"/>
      <c r="X522" s="1659" t="s">
        <v>1209</v>
      </c>
      <c r="Y522" s="1657" t="str">
        <f t="shared" si="125"/>
        <v>Other 6 Describe</v>
      </c>
      <c r="Z522" s="1659" t="str">
        <f t="shared" si="124"/>
        <v/>
      </c>
    </row>
    <row r="523" spans="1:26" x14ac:dyDescent="0.25">
      <c r="A523" s="1655" t="s">
        <v>1178</v>
      </c>
      <c r="B523" s="1655" t="s">
        <v>1622</v>
      </c>
      <c r="C523" s="1657" t="s">
        <v>1646</v>
      </c>
      <c r="D523" s="1684" t="str">
        <f>IF(USE_Other25Describe="","",USE_Other25Describe)</f>
        <v>Describe</v>
      </c>
      <c r="E523" s="1668"/>
      <c r="F523" s="1677"/>
      <c r="H523" s="1658"/>
      <c r="I523" s="1658" t="s">
        <v>1641</v>
      </c>
      <c r="J523" s="1677"/>
      <c r="L523" s="1659" t="s">
        <v>1623</v>
      </c>
      <c r="M523" s="1659" t="str">
        <f t="shared" si="122"/>
        <v>Other 7 Describe</v>
      </c>
      <c r="N523" s="1659" t="str">
        <f t="shared" si="123"/>
        <v/>
      </c>
      <c r="P523" s="1668"/>
      <c r="Q523" s="1668"/>
      <c r="R523" s="672"/>
      <c r="S523" s="672"/>
      <c r="T523" s="672"/>
      <c r="U523" s="672"/>
      <c r="V523" s="1668"/>
      <c r="X523" s="1659" t="s">
        <v>1209</v>
      </c>
      <c r="Y523" s="1657" t="str">
        <f t="shared" si="125"/>
        <v>Other 7 Describe</v>
      </c>
      <c r="Z523" s="1659" t="str">
        <f t="shared" si="124"/>
        <v/>
      </c>
    </row>
    <row r="524" spans="1:26" x14ac:dyDescent="0.25">
      <c r="A524" s="1655" t="s">
        <v>1178</v>
      </c>
      <c r="B524" s="1655" t="s">
        <v>1647</v>
      </c>
      <c r="C524" s="1657" t="s">
        <v>747</v>
      </c>
      <c r="D524" s="1701" t="str">
        <f>IF(USE_ArchitectsDesignFee="","",USE_ArchitectsDesignFee)</f>
        <v/>
      </c>
      <c r="E524" s="1686" t="str">
        <f>IF(USE_AcqBArchitectsDesignFee="","",USE_AcqBArchitectsDesignFee)</f>
        <v/>
      </c>
      <c r="F524" s="1684" t="str">
        <f>IF(USE_ConstBArchitectsDesignFee="","",USE_ConstBArchitectsDesignFee)</f>
        <v/>
      </c>
      <c r="G524" s="1446"/>
      <c r="H524" s="1664" t="s">
        <v>1623</v>
      </c>
      <c r="I524" s="1664" t="s">
        <v>1648</v>
      </c>
      <c r="J524" s="1674" t="str">
        <f>IF(IF(D524="",0,D524)+IF(D526="",0,D526)=0,"",IF(D524="",0,D524)+IF(D526="",0,D526))</f>
        <v/>
      </c>
      <c r="L524" s="1659" t="s">
        <v>1623</v>
      </c>
      <c r="M524" s="1659" t="str">
        <f t="shared" si="122"/>
        <v>Architect's Design Fee</v>
      </c>
      <c r="N524" s="1659" t="str">
        <f>IF(D524="","",D524)</f>
        <v/>
      </c>
      <c r="P524" s="1655" t="s">
        <v>1620</v>
      </c>
      <c r="Q524" s="1659" t="s">
        <v>1649</v>
      </c>
      <c r="R524" s="671">
        <f>IF(D524="",0,D524)+IF(D526="",0,D526)</f>
        <v>0</v>
      </c>
      <c r="S524" s="671">
        <f>IF(E524="",0,E524)+IF(E526="",0,E526)</f>
        <v>0</v>
      </c>
      <c r="T524" s="671" t="str">
        <f>IF($T$500&lt;&gt;"4%","",IF(F524="",0,F524)+IF(F526="",0,F526))</f>
        <v/>
      </c>
      <c r="U524" s="671" t="str">
        <f>IF($T$500&lt;&gt;"9%","",IF(F524="",0,F524)+IF(F526="",0,F526))</f>
        <v/>
      </c>
      <c r="V524" s="1668"/>
      <c r="X524" s="1659" t="s">
        <v>1209</v>
      </c>
      <c r="Y524" s="1659" t="s">
        <v>747</v>
      </c>
      <c r="Z524" s="1659" t="str">
        <f>IF(D524="","",D524)</f>
        <v/>
      </c>
    </row>
    <row r="525" spans="1:26" x14ac:dyDescent="0.25">
      <c r="A525" s="1655" t="s">
        <v>1178</v>
      </c>
      <c r="B525" s="1655" t="s">
        <v>1647</v>
      </c>
      <c r="C525" s="1657" t="s">
        <v>748</v>
      </c>
      <c r="D525" s="1684" t="str">
        <f>IF(USE_ArchitectsSupervisionFee="","",USE_ArchitectsSupervisionFee)</f>
        <v/>
      </c>
      <c r="E525" s="1686" t="str">
        <f>IF(USE_AcqBArchitectsSupervisionFee="","",USE_AcqBArchitectsSupervisionFee)</f>
        <v/>
      </c>
      <c r="F525" s="1684" t="str">
        <f>IF(USE_ConstBArchitectsSupervisionFee="","",USE_ConstBArchitectsSupervisionFee)</f>
        <v/>
      </c>
      <c r="G525" s="1446"/>
      <c r="H525" s="1664" t="s">
        <v>1623</v>
      </c>
      <c r="I525" s="1664" t="s">
        <v>1650</v>
      </c>
      <c r="J525" s="1674" t="str">
        <f>IF(D525="","",D525)</f>
        <v/>
      </c>
      <c r="L525" s="1668"/>
      <c r="M525" s="1668"/>
      <c r="N525" s="1668"/>
      <c r="P525" s="1655" t="s">
        <v>1620</v>
      </c>
      <c r="Q525" s="1659" t="s">
        <v>1651</v>
      </c>
      <c r="R525" s="671" t="str">
        <f>IF(D525="","",D525)</f>
        <v/>
      </c>
      <c r="S525" s="671" t="str">
        <f>IF(E525="","",E525)</f>
        <v/>
      </c>
      <c r="T525" s="671" t="str">
        <f>IF($T$500&lt;&gt;"4%","",IF(F525="","",F525))</f>
        <v/>
      </c>
      <c r="U525" s="671" t="str">
        <f>IF($T$500&lt;&gt;"9%","",IF(F525="","",F525))</f>
        <v/>
      </c>
      <c r="V525" s="1668"/>
      <c r="X525" s="1668"/>
      <c r="Y525" s="1668"/>
      <c r="Z525" s="1668"/>
    </row>
    <row r="526" spans="1:26" x14ac:dyDescent="0.25">
      <c r="A526" s="1655" t="s">
        <v>1178</v>
      </c>
      <c r="B526" s="1655" t="s">
        <v>1647</v>
      </c>
      <c r="C526" s="1657" t="s">
        <v>749</v>
      </c>
      <c r="D526" s="1701" t="str">
        <f>IF(USE_ArchitectReimbursableDesign="","",USE_ArchitectReimbursableDesign)</f>
        <v/>
      </c>
      <c r="E526" s="1659" t="str">
        <f>IF(USE_AcqBArchitectReimbursableDesign="","",USE_AcqBArchitectReimbursableDesign)</f>
        <v/>
      </c>
      <c r="F526" s="1674" t="str">
        <f>IF(USE_ConstBArchitectReimbursableDesign="","",USE_ConstBArchitectReimbursableDesign)</f>
        <v/>
      </c>
      <c r="H526" s="1658"/>
      <c r="I526" s="1658" t="s">
        <v>1648</v>
      </c>
      <c r="J526" s="1677"/>
      <c r="L526" s="1659" t="s">
        <v>1623</v>
      </c>
      <c r="M526" s="1659" t="str">
        <f>C526</f>
        <v>Architect Reimbursable Additional Design</v>
      </c>
      <c r="N526" s="1659" t="str">
        <f>IF(D526="","",D526)</f>
        <v/>
      </c>
      <c r="P526" s="1658"/>
      <c r="Q526" s="1668" t="s">
        <v>1649</v>
      </c>
      <c r="R526" s="672"/>
      <c r="S526" s="672"/>
      <c r="T526" s="672"/>
      <c r="U526" s="672"/>
      <c r="V526" s="1668"/>
      <c r="X526" s="1659" t="s">
        <v>1209</v>
      </c>
      <c r="Y526" s="1659" t="s">
        <v>749</v>
      </c>
      <c r="Z526" s="1659" t="str">
        <f>IF(D526="","",D526)</f>
        <v/>
      </c>
    </row>
    <row r="527" spans="1:26" x14ac:dyDescent="0.25">
      <c r="A527" s="1655" t="s">
        <v>1178</v>
      </c>
      <c r="B527" s="1655" t="s">
        <v>1647</v>
      </c>
      <c r="C527" s="1657" t="s">
        <v>750</v>
      </c>
      <c r="D527" s="1684" t="str">
        <f>IF(USE_RealEstateAttorney="","",USE_RealEstateAttorney)</f>
        <v/>
      </c>
      <c r="E527" s="1659" t="str">
        <f>IF(USE_AcqBRealEstateAttorney="","",USE_AcqBRealEstateAttorney)</f>
        <v/>
      </c>
      <c r="F527" s="1674" t="str">
        <f>IF(USE_ConstBRealEstateAttorney="","",USE_ConstBRealEstateAttorney)</f>
        <v/>
      </c>
      <c r="H527" s="1655" t="s">
        <v>1623</v>
      </c>
      <c r="I527" s="1664" t="s">
        <v>1652</v>
      </c>
      <c r="J527" s="1674" t="str">
        <f>IF(D527="","",D527)</f>
        <v/>
      </c>
      <c r="L527" s="1668"/>
      <c r="M527" s="1668"/>
      <c r="N527" s="1668"/>
      <c r="P527" s="1655" t="s">
        <v>1620</v>
      </c>
      <c r="Q527" s="1659" t="s">
        <v>1653</v>
      </c>
      <c r="R527" s="671" t="str">
        <f>IF(D527="","",D527)</f>
        <v/>
      </c>
      <c r="S527" s="671" t="str">
        <f>IF(E527="","",E527)</f>
        <v/>
      </c>
      <c r="T527" s="671" t="str">
        <f>IF($T$500&lt;&gt;"4%","",IF(F527="","",F527))</f>
        <v/>
      </c>
      <c r="U527" s="671" t="str">
        <f>IF($T$500&lt;&gt;"9%","",IF(F527="","",F527))</f>
        <v/>
      </c>
      <c r="V527" s="1668"/>
      <c r="X527" s="1668"/>
      <c r="Y527" s="1668"/>
      <c r="Z527" s="1668"/>
    </row>
    <row r="528" spans="1:26" x14ac:dyDescent="0.25">
      <c r="A528" s="1655" t="s">
        <v>1178</v>
      </c>
      <c r="B528" s="1655" t="s">
        <v>1647</v>
      </c>
      <c r="C528" s="1657" t="s">
        <v>2662</v>
      </c>
      <c r="D528" s="1701" t="str">
        <f>IF(USE_CivilEngineeringFee="","",USE_CivilEngineeringFee)</f>
        <v/>
      </c>
      <c r="E528" s="1659" t="str">
        <f>IF(USE_AcqBCivilEngineeringFee="","",USE_AcqBCivilEngineeringFee)</f>
        <v/>
      </c>
      <c r="F528" s="1674" t="str">
        <f>IF(USE_ConstBCivilEngineeringFee="","",USE_ConstBCivilEngineeringFee)</f>
        <v/>
      </c>
      <c r="H528" s="1655" t="s">
        <v>1623</v>
      </c>
      <c r="I528" s="1664" t="s">
        <v>1654</v>
      </c>
      <c r="J528" s="1674" t="str">
        <f>IF(IF(D528="",0,D528)+IF(D529="",0,D529)=0,"",IF(D528="",0,D528)+IF(D529="",0,D529))</f>
        <v/>
      </c>
      <c r="L528" s="1659" t="s">
        <v>1623</v>
      </c>
      <c r="M528" s="1657" t="s">
        <v>2662</v>
      </c>
      <c r="N528" s="1687"/>
      <c r="P528" s="1655" t="s">
        <v>1620</v>
      </c>
      <c r="Q528" s="1659" t="s">
        <v>1655</v>
      </c>
      <c r="R528" s="671">
        <f>IF(D528="",0,D528)+IF(D529="",0,D529)+IF(D532="",0,D532)</f>
        <v>0</v>
      </c>
      <c r="S528" s="671">
        <f>IF(E528="",0,E528)+IF(E529="",0,E529)+IF(E532="",0,E532)</f>
        <v>0</v>
      </c>
      <c r="T528" s="671" t="str">
        <f>IF($T$500&lt;&gt;"4%","",IF(F528="",0,F528)+IF(F529="",0,F529)+IF(F532="",0,F532))</f>
        <v/>
      </c>
      <c r="U528" s="671" t="str">
        <f>IF($T$500&lt;&gt;"9%","",IF(F528="",0,F528)+IF(F529="",0,F529)+IF(F532="",0,F532))</f>
        <v/>
      </c>
      <c r="V528" s="1668"/>
      <c r="X528" s="1659" t="s">
        <v>1209</v>
      </c>
      <c r="Y528" s="1659" t="str">
        <f>C528</f>
        <v>Civil Engineering Design Fee</v>
      </c>
      <c r="Z528" s="1686" t="str">
        <f>IF(D528="","",D528)</f>
        <v/>
      </c>
    </row>
    <row r="529" spans="1:26" x14ac:dyDescent="0.25">
      <c r="A529" s="1655" t="s">
        <v>1178</v>
      </c>
      <c r="B529" s="1655" t="s">
        <v>1647</v>
      </c>
      <c r="C529" s="1657" t="s">
        <v>2663</v>
      </c>
      <c r="D529" s="1701" t="str">
        <f>IF(USES!J33="","",USES!J33)</f>
        <v/>
      </c>
      <c r="E529" s="1659" t="str">
        <f>IF(USES!M33="","",USES!M33)</f>
        <v/>
      </c>
      <c r="F529" s="1659" t="str">
        <f>IF(USES!N33="","",USES!N33)</f>
        <v/>
      </c>
      <c r="H529" s="1658" t="s">
        <v>1623</v>
      </c>
      <c r="I529" s="1658" t="s">
        <v>2733</v>
      </c>
      <c r="J529" s="1668"/>
      <c r="K529" s="237"/>
      <c r="L529" s="1659" t="s">
        <v>1623</v>
      </c>
      <c r="M529" s="1659" t="str">
        <f>C529</f>
        <v>Civil Engineering Supervision Fee</v>
      </c>
      <c r="N529" s="1687" t="str">
        <f>IF(D529="","",D529)</f>
        <v/>
      </c>
      <c r="P529" s="1658" t="s">
        <v>1620</v>
      </c>
      <c r="Q529" s="1668" t="s">
        <v>1655</v>
      </c>
      <c r="R529" s="672"/>
      <c r="S529" s="672"/>
      <c r="T529" s="672"/>
      <c r="U529" s="672"/>
      <c r="V529" s="1668"/>
      <c r="X529" s="1659" t="s">
        <v>1209</v>
      </c>
      <c r="Y529" s="1659" t="str">
        <f>C529</f>
        <v>Civil Engineering Supervision Fee</v>
      </c>
      <c r="Z529" s="1686" t="str">
        <f>IF(D529="","",D529)</f>
        <v/>
      </c>
    </row>
    <row r="530" spans="1:26" x14ac:dyDescent="0.25">
      <c r="A530" s="1655" t="s">
        <v>1178</v>
      </c>
      <c r="B530" s="1655" t="s">
        <v>1647</v>
      </c>
      <c r="C530" s="1657" t="s">
        <v>751</v>
      </c>
      <c r="D530" s="1684" t="str">
        <f>IF(USE_Marketing="","",USE_Marketing)</f>
        <v/>
      </c>
      <c r="E530" s="1659" t="str">
        <f>IF(USE_AcqBMarketing="","",USE_AcqBMarketing)</f>
        <v/>
      </c>
      <c r="F530" s="1674" t="str">
        <f>IF(USE_ConstBMarketing="","",USE_ConstBMarketing)</f>
        <v/>
      </c>
      <c r="H530" s="1655" t="s">
        <v>1623</v>
      </c>
      <c r="I530" s="1664" t="s">
        <v>1656</v>
      </c>
      <c r="J530" s="1674" t="str">
        <f>IF(D530="","",D530)</f>
        <v/>
      </c>
      <c r="L530" s="1668"/>
      <c r="M530" s="1668"/>
      <c r="N530" s="1668"/>
      <c r="P530" s="1655" t="s">
        <v>1620</v>
      </c>
      <c r="Q530" s="1659" t="s">
        <v>1657</v>
      </c>
      <c r="R530" s="671" t="str">
        <f>IF(D530="","",D530)</f>
        <v/>
      </c>
      <c r="S530" s="671" t="str">
        <f>IF(E530="","",E530)</f>
        <v/>
      </c>
      <c r="T530" s="671" t="str">
        <f>IF($T$500&lt;&gt;"4%","",IF(F530="","",F530))</f>
        <v/>
      </c>
      <c r="U530" s="671" t="str">
        <f>IF($T$500&lt;&gt;"9%","",IF(F530="","",F530))</f>
        <v/>
      </c>
      <c r="V530" s="1659" t="str">
        <f>C530</f>
        <v>Marketing</v>
      </c>
      <c r="X530" s="1668"/>
      <c r="Y530" s="1668"/>
      <c r="Z530" s="1668"/>
    </row>
    <row r="531" spans="1:26" x14ac:dyDescent="0.25">
      <c r="A531" s="1655" t="s">
        <v>1178</v>
      </c>
      <c r="B531" s="1655" t="s">
        <v>1647</v>
      </c>
      <c r="C531" s="1657" t="s">
        <v>1329</v>
      </c>
      <c r="D531" s="1684" t="str">
        <f>IF(USE_Other3="","",USE_Other3)</f>
        <v/>
      </c>
      <c r="E531" s="1659" t="str">
        <f>IF(USE_AcqBOther3="","",USE_AcqBOther3)</f>
        <v/>
      </c>
      <c r="F531" s="1674" t="str">
        <f>IF(USE_ConstBOther3="","",USE_ConstBOther3)</f>
        <v/>
      </c>
      <c r="H531" s="1655" t="s">
        <v>1623</v>
      </c>
      <c r="I531" s="1664" t="s">
        <v>1658</v>
      </c>
      <c r="J531" s="1674" t="str">
        <f>IF(IF(D531="",0,D531)+IF(D545="",0,D545)+IF(D546="",0,D546)+IF(D547="",0,D547)+IF(D548="",0,D548)+IF(D549="",0,D549)+IF(D550="",0,D550)+IF(D552="",0,D552)+IF(D553="",0,D553)+IF(D554="",0,D554)+IF(D555="",0,D555)+IF(D556="",0,D556)+IF(D551="",0,D551)=0,"",IF(D531="",0,D531)+IF(D545="",0,D545)+IF(D546="",0,D546)+IF(D547="",0,D547)+IF(D548="",0,D548)+IF(D549="",0,D549)+IF(D550="",0,D550)+IF(D552="",0,D552)+IF(D553="",0,D553)+IF(D554="",0,D554)+IF(D555="",0,D555)+IF(D556="",0,D556)+IF(D551="",0,D551))</f>
        <v/>
      </c>
      <c r="L531" s="1659" t="s">
        <v>1623</v>
      </c>
      <c r="M531" s="1659" t="str">
        <f>C531</f>
        <v>Other 1</v>
      </c>
      <c r="N531" s="1659" t="str">
        <f>IF(D531="","",D531)</f>
        <v/>
      </c>
      <c r="P531" s="1655" t="s">
        <v>1620</v>
      </c>
      <c r="Q531" s="1659" t="s">
        <v>1659</v>
      </c>
      <c r="R531" s="671">
        <f>IF(D531="",0,D531)+IF(D545="",0,D545)+IF(D546="",0,D546)+IF(D547="",0,D547)+IF(D548="",0,D548)+IF(D549="",0,D549)+IF(D550="",0,D550)+IF(D552="",0,D552)+IF(D553="",0,D553)+IF(D554="",0,D554)+IF(D555="",0,D555)+IF(D556="",0,D556)+IF(D551="",0,D551)</f>
        <v>0</v>
      </c>
      <c r="S531" s="671">
        <f>IF(E531="",0,E531)+IF(E545="",0,E545)+IF(E546="",0,E546)+IF(E547="",0,E547)+IF(E548="",0,E548)+IF(E549="",0,E549)+IF(E550="",0,E550)+IF(E552="",0,E552)+IF(E553="",0,E553)+IF(E554="",0,E554)+IF(E555="",0,E555)+IF(E556="",0,E556)+IF(E551="",0,E551)</f>
        <v>0</v>
      </c>
      <c r="T531" s="671" t="str">
        <f>IF($T$500&lt;&gt;"4%","",IF(F531="",0,F531)+IF(F545="",0,F545)+IF(F546="",0,F546)+IF(F547="",0,F547)+IF(F548="",0,F548)+IF(F549="",0,F549)+IF(F550="",0,F550)+IF(F552="",0,F552)+IF(F553="",0,F553)+IF(F554="",0,F554)+IF(F555="",0,F555)+IF(F556="",0,F556)+IF(F551="",0,F551))</f>
        <v/>
      </c>
      <c r="U531" s="671" t="str">
        <f>IF($T$500&lt;&gt;"9%","",IF(F531="",0,F531)+IF(F545="",0,F545)+IF(F546="",0,F546)+IF(F547="",0,F547)+IF(F548="",0,F548)+IF(F549="",0,F549)+IF(F550="",0,F550)+IF(F552="",0,F552)+IF(F553="",0,F553)+IF(F554="",0,F554)+IF(F555="",0,F555)+IF(F556="",0,F556)+IF(F551="",0,F551))</f>
        <v/>
      </c>
      <c r="V531" s="1659" t="s">
        <v>1660</v>
      </c>
      <c r="X531" s="1659" t="s">
        <v>1209</v>
      </c>
      <c r="Y531" s="1659" t="str">
        <f>C531</f>
        <v>Other 1</v>
      </c>
      <c r="Z531" s="1659" t="str">
        <f>IF(D531="","",D531)</f>
        <v/>
      </c>
    </row>
    <row r="532" spans="1:26" x14ac:dyDescent="0.25">
      <c r="A532" s="1655" t="s">
        <v>1178</v>
      </c>
      <c r="B532" s="1655" t="s">
        <v>1647</v>
      </c>
      <c r="C532" s="1657" t="s">
        <v>752</v>
      </c>
      <c r="D532" s="1684" t="str">
        <f>IF(USE_Surveys="","",USE_Surveys)</f>
        <v/>
      </c>
      <c r="E532" s="1659" t="str">
        <f>IF(USE_AcqBSurveys="","",USE_AcqBSurveys)</f>
        <v/>
      </c>
      <c r="F532" s="1674" t="str">
        <f>IF(USE_ConstBSurveys="","",USE_ConstBSurveys)</f>
        <v/>
      </c>
      <c r="H532" s="1655" t="s">
        <v>1623</v>
      </c>
      <c r="I532" s="1664" t="s">
        <v>1661</v>
      </c>
      <c r="J532" s="1674" t="str">
        <f>IF(D532="","",D532)</f>
        <v/>
      </c>
      <c r="L532" s="1668"/>
      <c r="M532" s="1668"/>
      <c r="N532" s="1668"/>
      <c r="P532" s="1658"/>
      <c r="Q532" s="1668" t="s">
        <v>1655</v>
      </c>
      <c r="R532" s="672"/>
      <c r="S532" s="672"/>
      <c r="T532" s="672"/>
      <c r="U532" s="672"/>
      <c r="V532" s="1668"/>
      <c r="X532" s="1659" t="s">
        <v>1209</v>
      </c>
      <c r="Y532" s="1659" t="str">
        <f>C532</f>
        <v>Surveys</v>
      </c>
      <c r="Z532" s="1659" t="str">
        <f>IF(D532="","",D532)</f>
        <v/>
      </c>
    </row>
    <row r="533" spans="1:26" x14ac:dyDescent="0.25">
      <c r="A533" s="1655" t="s">
        <v>1178</v>
      </c>
      <c r="B533" s="1655" t="s">
        <v>1647</v>
      </c>
      <c r="C533" s="1657" t="s">
        <v>753</v>
      </c>
      <c r="D533" s="1684" t="str">
        <f>IF(USE_SoilBorings="","",USE_SoilBorings)</f>
        <v/>
      </c>
      <c r="E533" s="1659" t="str">
        <f>IF(USE_AcqBSoilBorings="","",USE_AcqBSoilBorings)</f>
        <v/>
      </c>
      <c r="F533" s="1674" t="str">
        <f>IF(USE_ConstBSoilBorings="","",USE_ConstBSoilBorings)</f>
        <v/>
      </c>
      <c r="H533" s="1655" t="s">
        <v>1623</v>
      </c>
      <c r="I533" s="1664" t="s">
        <v>1662</v>
      </c>
      <c r="J533" s="1674" t="str">
        <f>IF(D533="","",D533)</f>
        <v/>
      </c>
      <c r="L533" s="1668"/>
      <c r="M533" s="1668"/>
      <c r="N533" s="1668"/>
      <c r="P533" s="1655" t="s">
        <v>1620</v>
      </c>
      <c r="Q533" s="1659" t="s">
        <v>1663</v>
      </c>
      <c r="R533" s="671" t="str">
        <f t="shared" ref="R533:S535" si="126">IF(D533="","",D533)</f>
        <v/>
      </c>
      <c r="S533" s="671" t="str">
        <f t="shared" si="126"/>
        <v/>
      </c>
      <c r="T533" s="671" t="str">
        <f>IF($T$500&lt;&gt;"4%","",IF(F533="","",F533))</f>
        <v/>
      </c>
      <c r="U533" s="671" t="str">
        <f>IF($T$500&lt;&gt;"9%","",IF(F533="","",F533))</f>
        <v/>
      </c>
      <c r="V533" s="1668"/>
      <c r="X533" s="1668"/>
      <c r="Y533" s="1668"/>
      <c r="Z533" s="1668"/>
    </row>
    <row r="534" spans="1:26" x14ac:dyDescent="0.25">
      <c r="A534" s="1655" t="s">
        <v>1178</v>
      </c>
      <c r="B534" s="1655" t="s">
        <v>1647</v>
      </c>
      <c r="C534" s="1657" t="s">
        <v>754</v>
      </c>
      <c r="D534" s="1684" t="str">
        <f>IF(USE_Appraisal="","",USE_Appraisal)</f>
        <v/>
      </c>
      <c r="E534" s="1659" t="str">
        <f>IF(USE_AcqBAppraisal="","",USE_AcqBAppraisal)</f>
        <v/>
      </c>
      <c r="F534" s="1674" t="str">
        <f>IF(USE_ConstBAppraisal="","",USE_ConstBAppraisal)</f>
        <v/>
      </c>
      <c r="H534" s="1655" t="s">
        <v>1623</v>
      </c>
      <c r="I534" s="1664" t="s">
        <v>1664</v>
      </c>
      <c r="J534" s="1674" t="str">
        <f>IF(D534="","",D534)</f>
        <v/>
      </c>
      <c r="L534" s="1668"/>
      <c r="M534" s="1668"/>
      <c r="N534" s="1668"/>
      <c r="P534" s="1655" t="s">
        <v>1620</v>
      </c>
      <c r="Q534" s="1659" t="s">
        <v>1665</v>
      </c>
      <c r="R534" s="671" t="str">
        <f t="shared" si="126"/>
        <v/>
      </c>
      <c r="S534" s="671" t="str">
        <f t="shared" si="126"/>
        <v/>
      </c>
      <c r="T534" s="671" t="str">
        <f>IF($T$500&lt;&gt;"4%","",IF(F534="","",F534))</f>
        <v/>
      </c>
      <c r="U534" s="671" t="str">
        <f>IF($T$500&lt;&gt;"9%","",IF(F534="","",F534))</f>
        <v/>
      </c>
      <c r="V534" s="1668"/>
      <c r="X534" s="1668"/>
      <c r="Y534" s="1668"/>
      <c r="Z534" s="1668"/>
    </row>
    <row r="535" spans="1:26" x14ac:dyDescent="0.25">
      <c r="A535" s="1655" t="s">
        <v>1178</v>
      </c>
      <c r="B535" s="1655" t="s">
        <v>1647</v>
      </c>
      <c r="C535" s="1657" t="s">
        <v>755</v>
      </c>
      <c r="D535" s="1684" t="str">
        <f>IF(USE_MarketStudy="","",USE_MarketStudy)</f>
        <v/>
      </c>
      <c r="E535" s="1659" t="str">
        <f>IF(USE_AcqBMarketStudy="","",USE_AcqBMarketStudy)</f>
        <v/>
      </c>
      <c r="F535" s="1674" t="str">
        <f>IF(USE_ConstBMarketStudy="","",USE_ConstBMarketStudy)</f>
        <v/>
      </c>
      <c r="H535" s="1655" t="s">
        <v>1623</v>
      </c>
      <c r="I535" s="1664" t="s">
        <v>1666</v>
      </c>
      <c r="J535" s="1674" t="str">
        <f>IF(D535="","",D535)</f>
        <v/>
      </c>
      <c r="L535" s="1668"/>
      <c r="M535" s="1668"/>
      <c r="N535" s="1668"/>
      <c r="P535" s="1655" t="s">
        <v>1620</v>
      </c>
      <c r="Q535" s="1659" t="s">
        <v>1667</v>
      </c>
      <c r="R535" s="671" t="str">
        <f t="shared" si="126"/>
        <v/>
      </c>
      <c r="S535" s="671" t="str">
        <f t="shared" si="126"/>
        <v/>
      </c>
      <c r="T535" s="671" t="str">
        <f>IF($T$500&lt;&gt;"4%","",IF(F535="","",F535))</f>
        <v/>
      </c>
      <c r="U535" s="671" t="str">
        <f>IF($T$500&lt;&gt;"9%","",IF(F535="","",F535))</f>
        <v/>
      </c>
      <c r="V535" s="1668"/>
      <c r="X535" s="1668"/>
      <c r="Y535" s="1668"/>
      <c r="Z535" s="1668"/>
    </row>
    <row r="536" spans="1:26" x14ac:dyDescent="0.25">
      <c r="A536" s="1655" t="s">
        <v>1178</v>
      </c>
      <c r="B536" s="1655" t="s">
        <v>1647</v>
      </c>
      <c r="C536" s="1657" t="s">
        <v>756</v>
      </c>
      <c r="D536" s="1684" t="str">
        <f>IF(USE_EnvironmentalReport="","",USE_EnvironmentalReport)</f>
        <v/>
      </c>
      <c r="E536" s="1659" t="str">
        <f>IF(USE_AcqBEnvironmentalReport="","",USE_AcqBEnvironmentalReport)</f>
        <v/>
      </c>
      <c r="F536" s="1674" t="str">
        <f>IF(USE_ConstBEnvironmentalReport="","",USE_ConstBEnvironmentalReport)</f>
        <v/>
      </c>
      <c r="H536" s="1655" t="s">
        <v>1623</v>
      </c>
      <c r="I536" s="1664" t="s">
        <v>1668</v>
      </c>
      <c r="J536" s="1674" t="str">
        <f>IF(IF(D536="",0,D536)+IF(D537="",0,D537)=0,"",IF(D536="",0,D536)+IF(D537="",0,D537))</f>
        <v/>
      </c>
      <c r="L536" s="1659" t="s">
        <v>1623</v>
      </c>
      <c r="M536" s="1659" t="str">
        <f>C536</f>
        <v>Environmental Report</v>
      </c>
      <c r="N536" s="1659" t="str">
        <f>IF(D536="","",D536)</f>
        <v/>
      </c>
      <c r="P536" s="1655" t="s">
        <v>1620</v>
      </c>
      <c r="Q536" s="1659" t="s">
        <v>1669</v>
      </c>
      <c r="R536" s="671">
        <f>IF(D536="",0,D536)+IF(D537="",0,D537)</f>
        <v>0</v>
      </c>
      <c r="S536" s="671">
        <f>IF(E536="",0,E536)+IF(E537="",0,E537)</f>
        <v>0</v>
      </c>
      <c r="T536" s="671" t="str">
        <f>IF($T$500&lt;&gt;"4%","",IF(F536="",0,F536)+IF(F537="",0,F537))</f>
        <v/>
      </c>
      <c r="U536" s="671" t="str">
        <f>IF($T$500&lt;&gt;"9%","",IF(F536="",0,F536)+IF(F537="",0,F537))</f>
        <v/>
      </c>
      <c r="V536" s="1668"/>
      <c r="X536" s="1659" t="s">
        <v>1209</v>
      </c>
      <c r="Y536" s="1659" t="str">
        <f>C536</f>
        <v>Environmental Report</v>
      </c>
      <c r="Z536" s="1659" t="str">
        <f>IF(D536="","",D536)</f>
        <v/>
      </c>
    </row>
    <row r="537" spans="1:26" x14ac:dyDescent="0.25">
      <c r="A537" s="1655" t="s">
        <v>1178</v>
      </c>
      <c r="B537" s="1655" t="s">
        <v>1647</v>
      </c>
      <c r="C537" s="1657" t="s">
        <v>757</v>
      </c>
      <c r="D537" s="1684" t="str">
        <f>IF(USE_EnvironmentalConsultant="","",USE_EnvironmentalConsultant)</f>
        <v/>
      </c>
      <c r="E537" s="1659" t="str">
        <f>IF(USE_AcqBEnvironmentalConsultant="","",USE_AcqBEnvironmentalConsultant)</f>
        <v/>
      </c>
      <c r="F537" s="1674" t="str">
        <f>IF(USE_ConstBEnvironmentalConsultant="","",USE_ConstBEnvironmentalConsultant)</f>
        <v/>
      </c>
      <c r="H537" s="1658"/>
      <c r="I537" s="1658" t="s">
        <v>1668</v>
      </c>
      <c r="J537" s="1677"/>
      <c r="L537" s="1659" t="s">
        <v>1623</v>
      </c>
      <c r="M537" s="1659" t="str">
        <f>C537</f>
        <v>Environmental Consultant</v>
      </c>
      <c r="N537" s="1659" t="str">
        <f>IF(D537="","",D537)</f>
        <v/>
      </c>
      <c r="P537" s="1658"/>
      <c r="Q537" s="1668" t="s">
        <v>1669</v>
      </c>
      <c r="R537" s="672"/>
      <c r="S537" s="672"/>
      <c r="T537" s="672"/>
      <c r="U537" s="672"/>
      <c r="V537" s="1668"/>
      <c r="X537" s="1659" t="s">
        <v>1209</v>
      </c>
      <c r="Y537" s="1659" t="str">
        <f>C537</f>
        <v>Environmental Consultant</v>
      </c>
      <c r="Z537" s="1659" t="str">
        <f>IF(D537="","",D537)</f>
        <v/>
      </c>
    </row>
    <row r="538" spans="1:26" x14ac:dyDescent="0.25">
      <c r="A538" s="1655" t="s">
        <v>1178</v>
      </c>
      <c r="B538" s="1655" t="s">
        <v>1647</v>
      </c>
      <c r="C538" s="1657" t="s">
        <v>758</v>
      </c>
      <c r="D538" s="1684" t="str">
        <f>IF(USE_BuildingPermitsandFees="","",USE_BuildingPermitsandFees)</f>
        <v/>
      </c>
      <c r="E538" s="1659" t="str">
        <f>IF(USE_AcqBBuildingPermitsandFees="","",USE_AcqBBuildingPermitsandFees)</f>
        <v/>
      </c>
      <c r="F538" s="1674" t="str">
        <f>IF(USE_ConstBBuildingPermitsandFees="","",USE_ConstBBuildingPermitsandFees)</f>
        <v/>
      </c>
      <c r="H538" s="1655" t="s">
        <v>1623</v>
      </c>
      <c r="I538" s="1664" t="s">
        <v>1670</v>
      </c>
      <c r="J538" s="1674" t="str">
        <f>IF(D538="","",D538)</f>
        <v/>
      </c>
      <c r="L538" s="1668"/>
      <c r="M538" s="1668"/>
      <c r="N538" s="1668"/>
      <c r="P538" s="1655" t="s">
        <v>1620</v>
      </c>
      <c r="Q538" s="1659" t="s">
        <v>1671</v>
      </c>
      <c r="R538" s="671" t="str">
        <f t="shared" ref="R538:S540" si="127">IF(D538="","",D538)</f>
        <v/>
      </c>
      <c r="S538" s="671" t="str">
        <f t="shared" si="127"/>
        <v/>
      </c>
      <c r="T538" s="671" t="str">
        <f>IF($T$500&lt;&gt;"4%","",IF(F538="","",F538))</f>
        <v/>
      </c>
      <c r="U538" s="671" t="str">
        <f>IF($T$500&lt;&gt;"9%","",IF(F538="","",F538))</f>
        <v/>
      </c>
      <c r="V538" s="1668"/>
      <c r="X538" s="1668"/>
      <c r="Y538" s="1668"/>
      <c r="Z538" s="1668"/>
    </row>
    <row r="539" spans="1:26" x14ac:dyDescent="0.25">
      <c r="A539" s="1655" t="s">
        <v>1178</v>
      </c>
      <c r="B539" s="1655" t="s">
        <v>1647</v>
      </c>
      <c r="C539" s="1657" t="s">
        <v>759</v>
      </c>
      <c r="D539" s="1684" t="str">
        <f>IF(USE_TapFees="","",USE_TapFees)</f>
        <v/>
      </c>
      <c r="E539" s="1659" t="str">
        <f>IF(USE_AcqBTapFees="","",USE_AcqBTapFees)</f>
        <v/>
      </c>
      <c r="F539" s="1674" t="str">
        <f>IF(USE_ConstBTapFees="","",USE_ConstBTapFees)</f>
        <v/>
      </c>
      <c r="H539" s="1655" t="s">
        <v>1623</v>
      </c>
      <c r="I539" s="1664" t="s">
        <v>1672</v>
      </c>
      <c r="J539" s="1674" t="str">
        <f>IF(D539="","",D539)</f>
        <v/>
      </c>
      <c r="L539" s="1668"/>
      <c r="M539" s="1668"/>
      <c r="N539" s="1668"/>
      <c r="P539" s="1655" t="s">
        <v>1620</v>
      </c>
      <c r="Q539" s="1659" t="s">
        <v>1673</v>
      </c>
      <c r="R539" s="671" t="str">
        <f t="shared" si="127"/>
        <v/>
      </c>
      <c r="S539" s="671" t="str">
        <f t="shared" si="127"/>
        <v/>
      </c>
      <c r="T539" s="671" t="str">
        <f>IF($T$500&lt;&gt;"4%","",IF(F539="","",F539))</f>
        <v/>
      </c>
      <c r="U539" s="671" t="str">
        <f>IF($T$500&lt;&gt;"9%","",IF(F539="","",F539))</f>
        <v/>
      </c>
      <c r="V539" s="1668"/>
      <c r="X539" s="1668"/>
      <c r="Y539" s="1668"/>
      <c r="Z539" s="1668"/>
    </row>
    <row r="540" spans="1:26" x14ac:dyDescent="0.25">
      <c r="A540" s="1655" t="s">
        <v>1178</v>
      </c>
      <c r="B540" s="1655" t="s">
        <v>1647</v>
      </c>
      <c r="C540" s="1657" t="s">
        <v>760</v>
      </c>
      <c r="D540" s="1684" t="str">
        <f>IF(USE_FFE="","",USE_FFE)</f>
        <v/>
      </c>
      <c r="E540" s="1659" t="str">
        <f>IF(USE_AcqBFFE="","",USE_AcqBFFE)</f>
        <v/>
      </c>
      <c r="F540" s="1674" t="str">
        <f>IF(USE_ConstBFFE="","",USE_ConstBFFE)</f>
        <v/>
      </c>
      <c r="H540" s="1655" t="s">
        <v>1623</v>
      </c>
      <c r="I540" s="1664" t="s">
        <v>1674</v>
      </c>
      <c r="J540" s="1674" t="str">
        <f>IF(D540="","",D540)</f>
        <v/>
      </c>
      <c r="L540" s="1668"/>
      <c r="M540" s="1668"/>
      <c r="N540" s="1668"/>
      <c r="P540" s="1655" t="s">
        <v>1620</v>
      </c>
      <c r="Q540" s="1659" t="s">
        <v>1675</v>
      </c>
      <c r="R540" s="671" t="str">
        <f t="shared" si="127"/>
        <v/>
      </c>
      <c r="S540" s="671" t="str">
        <f t="shared" si="127"/>
        <v/>
      </c>
      <c r="T540" s="671" t="str">
        <f>IF($T$500&lt;&gt;"4%","",IF(F540="","",F540))</f>
        <v/>
      </c>
      <c r="U540" s="671" t="str">
        <f>IF($T$500&lt;&gt;"9%","",IF(F540="","",F540))</f>
        <v/>
      </c>
      <c r="V540" s="1668"/>
      <c r="X540" s="1668"/>
      <c r="Y540" s="1668"/>
      <c r="Z540" s="1668"/>
    </row>
    <row r="541" spans="1:26" x14ac:dyDescent="0.25">
      <c r="A541" s="1655" t="s">
        <v>1178</v>
      </c>
      <c r="B541" s="1655" t="s">
        <v>1647</v>
      </c>
      <c r="C541" s="1657" t="s">
        <v>2664</v>
      </c>
      <c r="D541" s="1701" t="str">
        <f>IF(USE_AccessibilityConsultant="","",USE_AccessibilityConsultant)</f>
        <v/>
      </c>
      <c r="E541" s="1659" t="str">
        <f>IF(USE_AcqBAccessibilityConsultant="","",USE_AcqBAccessibilityConsultant)</f>
        <v/>
      </c>
      <c r="F541" s="1674" t="str">
        <f>IF(USE_ConstBAccessibilityConsultant="","",USE_ConstBAccessibilityConsultant)</f>
        <v/>
      </c>
      <c r="H541" s="1655" t="s">
        <v>1623</v>
      </c>
      <c r="I541" s="1655" t="s">
        <v>1676</v>
      </c>
      <c r="J541" s="1674" t="str">
        <f>IF(IF(D541="",0,D541)+IF(D543="",0,D543)+IF(D542="",0,D542)+IF(D544="",0,D544)=0,"",IF(D541="",0,D541)+IF(D543="",0,D543)+IF(D542="",0,D542)+IF(D544="",0,D544))</f>
        <v/>
      </c>
      <c r="L541" s="1659" t="s">
        <v>1623</v>
      </c>
      <c r="M541" s="1659" t="str">
        <f>C541</f>
        <v>Accessibility Consultant Design Fee</v>
      </c>
      <c r="N541" s="1659" t="str">
        <f t="shared" ref="N541:N550" si="128">IF(D541="","",D541)</f>
        <v/>
      </c>
      <c r="P541" s="1655" t="s">
        <v>1620</v>
      </c>
      <c r="Q541" s="1659" t="s">
        <v>1677</v>
      </c>
      <c r="R541" s="671">
        <f>IF(D541="",0,D541)+IF(D543="",0,D543)+IF(D542="",0,D542)+IF(D544="",0,D544)</f>
        <v>0</v>
      </c>
      <c r="S541" s="671">
        <f>IF(E541="",0,E541)+IF(E543="",0,E543)+IF(E542="",0,E542)+IF(E544="",0,E544)</f>
        <v>0</v>
      </c>
      <c r="T541" s="671" t="str">
        <f>IF($T$500&lt;&gt;"4%","",IF(F541="",0,F541)+IF(F543="",0,F543)+IF(F542="",0,F542)+IF(F544="",0,F544))</f>
        <v/>
      </c>
      <c r="U541" s="671" t="str">
        <f>IF($T$500&lt;&gt;"9%","",IF(F541="",0,F541)+IF(F543="",0,F543)+IF(F542="",0,F542)+IF(F544="",0,F544))</f>
        <v/>
      </c>
      <c r="V541" s="1659" t="s">
        <v>2740</v>
      </c>
      <c r="X541" s="1659" t="s">
        <v>1209</v>
      </c>
      <c r="Y541" s="1659" t="str">
        <f>C541</f>
        <v>Accessibility Consultant Design Fee</v>
      </c>
      <c r="Z541" s="1659" t="str">
        <f>IF(D541="","",D541)</f>
        <v/>
      </c>
    </row>
    <row r="542" spans="1:26" x14ac:dyDescent="0.25">
      <c r="A542" s="1655" t="s">
        <v>1178</v>
      </c>
      <c r="B542" s="1655" t="s">
        <v>1647</v>
      </c>
      <c r="C542" s="1657" t="s">
        <v>2665</v>
      </c>
      <c r="D542" s="1701" t="str">
        <f>IF(USES!J46="","",USES!J46)</f>
        <v/>
      </c>
      <c r="E542" s="1659" t="str">
        <f>IF(USES!M46="","",USES!M46)</f>
        <v/>
      </c>
      <c r="F542" s="1659" t="str">
        <f>IF(USES!N46="","",USES!N46)</f>
        <v/>
      </c>
      <c r="H542" s="1658"/>
      <c r="I542" s="1658" t="s">
        <v>1676</v>
      </c>
      <c r="J542" s="1677"/>
      <c r="K542" s="3"/>
      <c r="L542" s="1659" t="s">
        <v>1623</v>
      </c>
      <c r="M542" s="1659" t="str">
        <f>C542</f>
        <v>Accessibility Consultant Supervision Fee</v>
      </c>
      <c r="N542" s="1686"/>
      <c r="P542" s="1658"/>
      <c r="Q542" s="1668" t="s">
        <v>1677</v>
      </c>
      <c r="R542" s="672"/>
      <c r="S542" s="672"/>
      <c r="T542" s="672"/>
      <c r="U542" s="672"/>
      <c r="V542" s="1668"/>
      <c r="X542" s="1659" t="s">
        <v>1209</v>
      </c>
      <c r="Y542" s="1659" t="str">
        <f>C542</f>
        <v>Accessibility Consultant Supervision Fee</v>
      </c>
      <c r="Z542" s="1687" t="str">
        <f>IF(D542="","",D542)</f>
        <v/>
      </c>
    </row>
    <row r="543" spans="1:26" x14ac:dyDescent="0.25">
      <c r="A543" s="1655" t="s">
        <v>1178</v>
      </c>
      <c r="B543" s="1655" t="s">
        <v>1647</v>
      </c>
      <c r="C543" s="1657" t="s">
        <v>2666</v>
      </c>
      <c r="D543" s="1701" t="str">
        <f>IF(USE_GreenConsultant="","",USE_GreenConsultant)</f>
        <v/>
      </c>
      <c r="E543" s="1659" t="str">
        <f>IF(USES!M47="","",USES!M47)</f>
        <v/>
      </c>
      <c r="F543" s="1659" t="str">
        <f>IF(USES!N47="","",USES!N47)</f>
        <v/>
      </c>
      <c r="H543" s="1658"/>
      <c r="I543" s="1658" t="s">
        <v>1676</v>
      </c>
      <c r="J543" s="1677"/>
      <c r="L543" s="1659" t="s">
        <v>1623</v>
      </c>
      <c r="M543" s="1659" t="str">
        <f t="shared" ref="M543:M570" si="129">C543</f>
        <v>Energy/Green Consultant Design Fee</v>
      </c>
      <c r="N543" s="1659" t="str">
        <f t="shared" si="128"/>
        <v/>
      </c>
      <c r="P543" s="1658"/>
      <c r="Q543" s="1668" t="s">
        <v>1677</v>
      </c>
      <c r="R543" s="672"/>
      <c r="S543" s="672"/>
      <c r="T543" s="672"/>
      <c r="U543" s="672"/>
      <c r="V543" s="1668"/>
      <c r="X543" s="1659" t="s">
        <v>1209</v>
      </c>
      <c r="Y543" s="1659" t="str">
        <f>C543</f>
        <v>Energy/Green Consultant Design Fee</v>
      </c>
      <c r="Z543" s="1686" t="str">
        <f>IF(D543="","",D543)</f>
        <v/>
      </c>
    </row>
    <row r="544" spans="1:26" x14ac:dyDescent="0.25">
      <c r="A544" s="1655" t="s">
        <v>1178</v>
      </c>
      <c r="B544" s="1655" t="s">
        <v>1647</v>
      </c>
      <c r="C544" s="1657" t="s">
        <v>2667</v>
      </c>
      <c r="D544" s="1701" t="str">
        <f>IF(USES!J48="","",USES!J48)</f>
        <v/>
      </c>
      <c r="E544" s="1659" t="str">
        <f>IF(USES!M48="","",USES!M48)</f>
        <v/>
      </c>
      <c r="F544" s="1659" t="str">
        <f>IF(USES!N48="","",USES!N48)</f>
        <v/>
      </c>
      <c r="H544" s="1658"/>
      <c r="I544" s="1658" t="s">
        <v>1676</v>
      </c>
      <c r="J544" s="1677"/>
      <c r="K544" s="3"/>
      <c r="L544" s="1659" t="s">
        <v>1623</v>
      </c>
      <c r="M544" s="1659" t="str">
        <f>C544</f>
        <v>Energy/Green Consultant Supervision Fee</v>
      </c>
      <c r="N544" s="1686"/>
      <c r="P544" s="1658"/>
      <c r="Q544" s="1668" t="s">
        <v>1677</v>
      </c>
      <c r="R544" s="672"/>
      <c r="S544" s="672"/>
      <c r="T544" s="672"/>
      <c r="U544" s="672"/>
      <c r="V544" s="1668"/>
      <c r="X544" s="1659" t="s">
        <v>1209</v>
      </c>
      <c r="Y544" s="1659" t="str">
        <f>C544</f>
        <v>Energy/Green Consultant Supervision Fee</v>
      </c>
      <c r="Z544" s="1687" t="str">
        <f>IF(D544="","",D544)</f>
        <v/>
      </c>
    </row>
    <row r="545" spans="1:26" x14ac:dyDescent="0.25">
      <c r="A545" s="1655" t="s">
        <v>1178</v>
      </c>
      <c r="B545" s="1655" t="s">
        <v>1647</v>
      </c>
      <c r="C545" s="1657" t="s">
        <v>761</v>
      </c>
      <c r="D545" s="1684" t="str">
        <f>IF(USE_OffsiteInfrastructure="","",USE_OffsiteInfrastructure)</f>
        <v/>
      </c>
      <c r="E545" s="1659" t="str">
        <f>IF(USE_AcqBOffsiteInfrastructure="","",USE_AcqBOffsiteInfrastructure)</f>
        <v/>
      </c>
      <c r="F545" s="1674" t="str">
        <f>IF(USE_ConstBOffsiteInfrastructure="","",USE_ConstBOffsiteInfrastructure)</f>
        <v/>
      </c>
      <c r="H545" s="1658"/>
      <c r="I545" s="1658" t="s">
        <v>1658</v>
      </c>
      <c r="J545" s="1677"/>
      <c r="L545" s="1659" t="s">
        <v>1623</v>
      </c>
      <c r="M545" s="1659" t="str">
        <f t="shared" si="129"/>
        <v>Offsite Infrastructure</v>
      </c>
      <c r="N545" s="1659" t="str">
        <f t="shared" si="128"/>
        <v/>
      </c>
      <c r="P545" s="1658"/>
      <c r="Q545" s="1668" t="s">
        <v>1659</v>
      </c>
      <c r="R545" s="672"/>
      <c r="S545" s="672"/>
      <c r="T545" s="672"/>
      <c r="U545" s="672"/>
      <c r="V545" s="1668"/>
      <c r="X545" s="1659" t="s">
        <v>1209</v>
      </c>
      <c r="Y545" s="1659" t="str">
        <f t="shared" ref="Y545:Y562" si="130">C545</f>
        <v>Offsite Infrastructure</v>
      </c>
      <c r="Z545" s="1686" t="str">
        <f t="shared" ref="Z545:Z550" si="131">IF(D545="","",D545)</f>
        <v/>
      </c>
    </row>
    <row r="546" spans="1:26" x14ac:dyDescent="0.25">
      <c r="A546" s="1655" t="s">
        <v>1178</v>
      </c>
      <c r="B546" s="1655" t="s">
        <v>1647</v>
      </c>
      <c r="C546" s="1657" t="s">
        <v>762</v>
      </c>
      <c r="D546" s="1684" t="str">
        <f>IF(USE_SolarInstallation="","",USE_SolarInstallation)</f>
        <v/>
      </c>
      <c r="E546" s="1659" t="str">
        <f>IF(USE_AcqBSolarInstallation="","",USE_AcqBSolarInstallation)</f>
        <v/>
      </c>
      <c r="F546" s="1674" t="str">
        <f>IF(USE_ConstBSolarInstallation="","",USE_ConstBSolarInstallation)</f>
        <v/>
      </c>
      <c r="H546" s="1658"/>
      <c r="I546" s="1658" t="s">
        <v>1658</v>
      </c>
      <c r="J546" s="1677"/>
      <c r="L546" s="1659" t="s">
        <v>1623</v>
      </c>
      <c r="M546" s="1659" t="str">
        <f t="shared" si="129"/>
        <v>Solar Installation</v>
      </c>
      <c r="N546" s="1659" t="str">
        <f t="shared" si="128"/>
        <v/>
      </c>
      <c r="P546" s="1658"/>
      <c r="Q546" s="1668" t="s">
        <v>1659</v>
      </c>
      <c r="R546" s="672"/>
      <c r="S546" s="672"/>
      <c r="T546" s="672"/>
      <c r="U546" s="672"/>
      <c r="V546" s="1668"/>
      <c r="X546" s="1659" t="s">
        <v>1209</v>
      </c>
      <c r="Y546" s="1659" t="str">
        <f t="shared" si="130"/>
        <v>Solar Installation</v>
      </c>
      <c r="Z546" s="1686" t="str">
        <f t="shared" si="131"/>
        <v/>
      </c>
    </row>
    <row r="547" spans="1:26" x14ac:dyDescent="0.25">
      <c r="A547" s="1655" t="s">
        <v>1178</v>
      </c>
      <c r="B547" s="1655" t="s">
        <v>1647</v>
      </c>
      <c r="C547" s="1657" t="s">
        <v>1331</v>
      </c>
      <c r="D547" s="1684" t="str">
        <f>IF(USE_Other7="","",USE_Other7)</f>
        <v/>
      </c>
      <c r="E547" s="1659" t="str">
        <f>IF(USE_AcqBOther7="","",USE_AcqBOther7)</f>
        <v/>
      </c>
      <c r="F547" s="1674" t="str">
        <f>IF(USE_ConstBOther7="","",USE_ConstBOther7)</f>
        <v/>
      </c>
      <c r="H547" s="1658"/>
      <c r="I547" s="1658" t="s">
        <v>1658</v>
      </c>
      <c r="J547" s="1677"/>
      <c r="L547" s="1659" t="s">
        <v>1623</v>
      </c>
      <c r="M547" s="1659" t="str">
        <f t="shared" si="129"/>
        <v>Other 2</v>
      </c>
      <c r="N547" s="1659" t="str">
        <f t="shared" si="128"/>
        <v/>
      </c>
      <c r="P547" s="1658"/>
      <c r="Q547" s="1668" t="s">
        <v>1659</v>
      </c>
      <c r="R547" s="672"/>
      <c r="S547" s="672"/>
      <c r="T547" s="672"/>
      <c r="U547" s="672"/>
      <c r="V547" s="1668"/>
      <c r="X547" s="1659" t="s">
        <v>1209</v>
      </c>
      <c r="Y547" s="1659" t="str">
        <f t="shared" si="130"/>
        <v>Other 2</v>
      </c>
      <c r="Z547" s="1686" t="str">
        <f t="shared" si="131"/>
        <v/>
      </c>
    </row>
    <row r="548" spans="1:26" x14ac:dyDescent="0.25">
      <c r="A548" s="1655" t="s">
        <v>1178</v>
      </c>
      <c r="B548" s="1655" t="s">
        <v>1647</v>
      </c>
      <c r="C548" s="1657" t="s">
        <v>1333</v>
      </c>
      <c r="D548" s="1684" t="str">
        <f>IF(USE_Other8="","",USE_Other8)</f>
        <v/>
      </c>
      <c r="E548" s="1659" t="str">
        <f>IF(USE_AcqBOther8="","",USE_AcqBOther8)</f>
        <v/>
      </c>
      <c r="F548" s="1674" t="str">
        <f>IF(USE_ConstBOther8="","",USE_ConstBOther8)</f>
        <v/>
      </c>
      <c r="H548" s="1658"/>
      <c r="I548" s="1658" t="s">
        <v>1658</v>
      </c>
      <c r="J548" s="1677"/>
      <c r="L548" s="1659" t="s">
        <v>1623</v>
      </c>
      <c r="M548" s="1659" t="str">
        <f t="shared" si="129"/>
        <v>Other 3</v>
      </c>
      <c r="N548" s="1659" t="str">
        <f t="shared" si="128"/>
        <v/>
      </c>
      <c r="P548" s="1658"/>
      <c r="Q548" s="1668" t="s">
        <v>1659</v>
      </c>
      <c r="R548" s="672"/>
      <c r="S548" s="672"/>
      <c r="T548" s="672"/>
      <c r="U548" s="672"/>
      <c r="V548" s="1668"/>
      <c r="X548" s="1659" t="s">
        <v>1209</v>
      </c>
      <c r="Y548" s="1659" t="str">
        <f t="shared" si="130"/>
        <v>Other 3</v>
      </c>
      <c r="Z548" s="1659" t="str">
        <f t="shared" si="131"/>
        <v/>
      </c>
    </row>
    <row r="549" spans="1:26" x14ac:dyDescent="0.25">
      <c r="A549" s="1655" t="s">
        <v>1178</v>
      </c>
      <c r="B549" s="1655" t="s">
        <v>1647</v>
      </c>
      <c r="C549" s="1657" t="s">
        <v>1335</v>
      </c>
      <c r="D549" s="1684" t="str">
        <f>IF(USE_Other9="","",USE_Other9)</f>
        <v/>
      </c>
      <c r="E549" s="1659" t="str">
        <f>IF(USE_AcqBOther9="","",USE_AcqBOther9)</f>
        <v/>
      </c>
      <c r="F549" s="1674" t="str">
        <f>IF(USE_ConstBOther9="","",USE_ConstBOther9)</f>
        <v/>
      </c>
      <c r="H549" s="1658"/>
      <c r="I549" s="1658" t="s">
        <v>1658</v>
      </c>
      <c r="J549" s="1677"/>
      <c r="L549" s="1659" t="s">
        <v>1623</v>
      </c>
      <c r="M549" s="1659" t="str">
        <f t="shared" si="129"/>
        <v>Other 4</v>
      </c>
      <c r="N549" s="1659" t="str">
        <f t="shared" si="128"/>
        <v/>
      </c>
      <c r="P549" s="1658"/>
      <c r="Q549" s="1668" t="s">
        <v>1659</v>
      </c>
      <c r="R549" s="672"/>
      <c r="S549" s="672"/>
      <c r="T549" s="672"/>
      <c r="U549" s="672"/>
      <c r="V549" s="1668"/>
      <c r="X549" s="1659" t="s">
        <v>1209</v>
      </c>
      <c r="Y549" s="1659" t="str">
        <f t="shared" si="130"/>
        <v>Other 4</v>
      </c>
      <c r="Z549" s="1659" t="str">
        <f t="shared" si="131"/>
        <v/>
      </c>
    </row>
    <row r="550" spans="1:26" x14ac:dyDescent="0.25">
      <c r="A550" s="1655" t="s">
        <v>1178</v>
      </c>
      <c r="B550" s="1655" t="s">
        <v>1647</v>
      </c>
      <c r="C550" s="1657" t="s">
        <v>1337</v>
      </c>
      <c r="D550" s="1684" t="str">
        <f>IF(USE_Other10="","",USE_Other10)</f>
        <v/>
      </c>
      <c r="E550" s="1659" t="str">
        <f>IF(USE_AcqBOther10="","",USE_AcqBOther10)</f>
        <v/>
      </c>
      <c r="F550" s="1674" t="str">
        <f>IF(USE_ConstBOther10="","",USE_ConstBOther10)</f>
        <v/>
      </c>
      <c r="H550" s="1658"/>
      <c r="I550" s="1658" t="s">
        <v>1658</v>
      </c>
      <c r="J550" s="1677"/>
      <c r="L550" s="1659" t="s">
        <v>1623</v>
      </c>
      <c r="M550" s="1659" t="str">
        <f t="shared" si="129"/>
        <v>Other 5</v>
      </c>
      <c r="N550" s="1659" t="str">
        <f t="shared" si="128"/>
        <v/>
      </c>
      <c r="P550" s="1658"/>
      <c r="Q550" s="1668" t="s">
        <v>1659</v>
      </c>
      <c r="R550" s="672"/>
      <c r="S550" s="672"/>
      <c r="T550" s="672"/>
      <c r="U550" s="672"/>
      <c r="V550" s="1668"/>
      <c r="X550" s="1659" t="s">
        <v>1209</v>
      </c>
      <c r="Y550" s="1659" t="str">
        <f t="shared" si="130"/>
        <v>Other 5</v>
      </c>
      <c r="Z550" s="1659" t="str">
        <f t="shared" si="131"/>
        <v/>
      </c>
    </row>
    <row r="551" spans="1:26" x14ac:dyDescent="0.25">
      <c r="A551" s="1655" t="s">
        <v>1178</v>
      </c>
      <c r="B551" s="1655" t="s">
        <v>1647</v>
      </c>
      <c r="C551" s="1657" t="s">
        <v>1637</v>
      </c>
      <c r="D551" s="1684" t="str">
        <f>IF(USE_Other11="","",USE_Other11)</f>
        <v/>
      </c>
      <c r="E551" s="1659" t="str">
        <f>IF(USE_AcqBOther11="","",USE_AcqBOther11)</f>
        <v/>
      </c>
      <c r="F551" s="1674" t="str">
        <f>IF(USE_ConstBOther11="","",USE_ConstBOther11)</f>
        <v/>
      </c>
      <c r="H551" s="1658"/>
      <c r="I551" s="1658" t="s">
        <v>1658</v>
      </c>
      <c r="J551" s="1677"/>
      <c r="L551" s="1659" t="s">
        <v>1623</v>
      </c>
      <c r="M551" s="1659" t="str">
        <f t="shared" ref="M551:M556" si="132">C551</f>
        <v>Other 6</v>
      </c>
      <c r="N551" s="1659" t="str">
        <f t="shared" ref="N551:N556" si="133">IF(D551="","",D551)</f>
        <v/>
      </c>
      <c r="P551" s="1658"/>
      <c r="Q551" s="1668" t="s">
        <v>1659</v>
      </c>
      <c r="R551" s="672"/>
      <c r="S551" s="672"/>
      <c r="T551" s="672"/>
      <c r="U551" s="672"/>
      <c r="V551" s="1668"/>
      <c r="X551" s="1659" t="s">
        <v>1209</v>
      </c>
      <c r="Y551" s="1659" t="str">
        <f t="shared" ref="Y551:Y556" si="134">C551</f>
        <v>Other 6</v>
      </c>
      <c r="Z551" s="1659" t="str">
        <f t="shared" ref="Z551:Z556" si="135">IF(D551="","",D551)</f>
        <v/>
      </c>
    </row>
    <row r="552" spans="1:26" x14ac:dyDescent="0.25">
      <c r="A552" s="1655" t="s">
        <v>1178</v>
      </c>
      <c r="B552" s="1655" t="s">
        <v>1647</v>
      </c>
      <c r="C552" s="1657" t="s">
        <v>1638</v>
      </c>
      <c r="D552" s="1684" t="str">
        <f>IF(USE_Other26="","",USE_Other26)</f>
        <v/>
      </c>
      <c r="E552" s="1659" t="str">
        <f>IF(USE_AcqBOther26="","",USE_AcqBOther26)</f>
        <v/>
      </c>
      <c r="F552" s="1674" t="str">
        <f>IF(USE_ConstBOther26="","",USE_ConstBOther26)</f>
        <v/>
      </c>
      <c r="H552" s="1658"/>
      <c r="I552" s="1658" t="s">
        <v>1658</v>
      </c>
      <c r="J552" s="1677"/>
      <c r="L552" s="1659" t="s">
        <v>1623</v>
      </c>
      <c r="M552" s="1659" t="str">
        <f t="shared" si="132"/>
        <v>Other 7</v>
      </c>
      <c r="N552" s="1659" t="str">
        <f t="shared" si="133"/>
        <v/>
      </c>
      <c r="P552" s="1658"/>
      <c r="Q552" s="1668" t="s">
        <v>1659</v>
      </c>
      <c r="R552" s="672"/>
      <c r="S552" s="672"/>
      <c r="T552" s="672"/>
      <c r="U552" s="672"/>
      <c r="V552" s="1668"/>
      <c r="X552" s="1659" t="s">
        <v>1209</v>
      </c>
      <c r="Y552" s="1659" t="str">
        <f t="shared" si="134"/>
        <v>Other 7</v>
      </c>
      <c r="Z552" s="1659" t="str">
        <f t="shared" si="135"/>
        <v/>
      </c>
    </row>
    <row r="553" spans="1:26" x14ac:dyDescent="0.25">
      <c r="A553" s="1655" t="s">
        <v>1178</v>
      </c>
      <c r="B553" s="1655" t="s">
        <v>1647</v>
      </c>
      <c r="C553" s="1657" t="s">
        <v>1678</v>
      </c>
      <c r="D553" s="1684" t="str">
        <f>IF(USE_Other27="","",USE_Other27)</f>
        <v/>
      </c>
      <c r="E553" s="1659" t="str">
        <f>IF(USE_AcqBOther27="","",USE_AcqBOther27)</f>
        <v/>
      </c>
      <c r="F553" s="1674" t="str">
        <f>IF(USE_ConstBOther27="","",USE_ConstBOther27)</f>
        <v/>
      </c>
      <c r="H553" s="1658"/>
      <c r="I553" s="1658" t="s">
        <v>1658</v>
      </c>
      <c r="J553" s="1677"/>
      <c r="L553" s="1659" t="s">
        <v>1623</v>
      </c>
      <c r="M553" s="1659" t="str">
        <f t="shared" si="132"/>
        <v>Other 8</v>
      </c>
      <c r="N553" s="1659" t="str">
        <f t="shared" si="133"/>
        <v/>
      </c>
      <c r="P553" s="1658"/>
      <c r="Q553" s="1668" t="s">
        <v>1659</v>
      </c>
      <c r="R553" s="672"/>
      <c r="S553" s="672"/>
      <c r="T553" s="672"/>
      <c r="U553" s="672"/>
      <c r="V553" s="1668"/>
      <c r="X553" s="1659" t="s">
        <v>1209</v>
      </c>
      <c r="Y553" s="1659" t="str">
        <f t="shared" si="134"/>
        <v>Other 8</v>
      </c>
      <c r="Z553" s="1659" t="str">
        <f t="shared" si="135"/>
        <v/>
      </c>
    </row>
    <row r="554" spans="1:26" x14ac:dyDescent="0.25">
      <c r="A554" s="1655" t="s">
        <v>1178</v>
      </c>
      <c r="B554" s="1655" t="s">
        <v>1647</v>
      </c>
      <c r="C554" s="1657" t="s">
        <v>1679</v>
      </c>
      <c r="D554" s="1684" t="str">
        <f>IF(USE_Other28="","",USE_Other28)</f>
        <v/>
      </c>
      <c r="E554" s="1659" t="str">
        <f>IF(USE_AcqBOther28="","",USE_AcqBOther28)</f>
        <v/>
      </c>
      <c r="F554" s="1674" t="str">
        <f>IF(USE_ConstBOther28="","",USE_ConstBOther28)</f>
        <v/>
      </c>
      <c r="H554" s="1658"/>
      <c r="I554" s="1658" t="s">
        <v>1658</v>
      </c>
      <c r="J554" s="1677"/>
      <c r="L554" s="1659" t="s">
        <v>1623</v>
      </c>
      <c r="M554" s="1659" t="str">
        <f t="shared" si="132"/>
        <v>Other 9</v>
      </c>
      <c r="N554" s="1659" t="str">
        <f t="shared" si="133"/>
        <v/>
      </c>
      <c r="P554" s="1658"/>
      <c r="Q554" s="1668" t="s">
        <v>1659</v>
      </c>
      <c r="R554" s="672"/>
      <c r="S554" s="672"/>
      <c r="T554" s="672"/>
      <c r="U554" s="672"/>
      <c r="V554" s="1668"/>
      <c r="X554" s="1659" t="s">
        <v>1209</v>
      </c>
      <c r="Y554" s="1659" t="str">
        <f t="shared" si="134"/>
        <v>Other 9</v>
      </c>
      <c r="Z554" s="1659" t="str">
        <f t="shared" si="135"/>
        <v/>
      </c>
    </row>
    <row r="555" spans="1:26" x14ac:dyDescent="0.25">
      <c r="A555" s="1655" t="s">
        <v>1178</v>
      </c>
      <c r="B555" s="1655" t="s">
        <v>1647</v>
      </c>
      <c r="C555" s="1657" t="s">
        <v>1680</v>
      </c>
      <c r="D555" s="1684" t="str">
        <f>IF(USE_Other29="","",USE_Other29)</f>
        <v/>
      </c>
      <c r="E555" s="1659" t="str">
        <f>IF(USE_AcqBOther29="","",USE_AcqBOther29)</f>
        <v/>
      </c>
      <c r="F555" s="1674" t="str">
        <f>IF(USE_ConstBOther29="","",USE_ConstBOther29)</f>
        <v/>
      </c>
      <c r="H555" s="1658"/>
      <c r="I555" s="1658" t="s">
        <v>1658</v>
      </c>
      <c r="J555" s="1677"/>
      <c r="L555" s="1659" t="s">
        <v>1623</v>
      </c>
      <c r="M555" s="1659" t="str">
        <f t="shared" si="132"/>
        <v>Other 10</v>
      </c>
      <c r="N555" s="1659" t="str">
        <f t="shared" si="133"/>
        <v/>
      </c>
      <c r="P555" s="1658"/>
      <c r="Q555" s="1668" t="s">
        <v>1659</v>
      </c>
      <c r="R555" s="672"/>
      <c r="S555" s="672"/>
      <c r="T555" s="672"/>
      <c r="U555" s="672"/>
      <c r="V555" s="1668"/>
      <c r="X555" s="1659" t="s">
        <v>1209</v>
      </c>
      <c r="Y555" s="1659" t="str">
        <f t="shared" si="134"/>
        <v>Other 10</v>
      </c>
      <c r="Z555" s="1659" t="str">
        <f t="shared" si="135"/>
        <v/>
      </c>
    </row>
    <row r="556" spans="1:26" x14ac:dyDescent="0.25">
      <c r="A556" s="1655" t="s">
        <v>1178</v>
      </c>
      <c r="B556" s="1655" t="s">
        <v>1647</v>
      </c>
      <c r="C556" s="1657" t="s">
        <v>1681</v>
      </c>
      <c r="D556" s="1684" t="str">
        <f>IF(USE_Other30="","",USE_Other30)</f>
        <v/>
      </c>
      <c r="E556" s="1659" t="str">
        <f>IF(USE_AcqBOther30="","",USE_AcqBOther30)</f>
        <v/>
      </c>
      <c r="F556" s="1674" t="str">
        <f>IF(USE_ConstBOther30="","",USE_ConstBOther30)</f>
        <v/>
      </c>
      <c r="H556" s="1658"/>
      <c r="I556" s="1658" t="s">
        <v>1658</v>
      </c>
      <c r="J556" s="1677"/>
      <c r="L556" s="1659" t="s">
        <v>1623</v>
      </c>
      <c r="M556" s="1659" t="str">
        <f t="shared" si="132"/>
        <v>Other 11</v>
      </c>
      <c r="N556" s="1659" t="str">
        <f t="shared" si="133"/>
        <v/>
      </c>
      <c r="P556" s="1658"/>
      <c r="Q556" s="1668" t="s">
        <v>1659</v>
      </c>
      <c r="R556" s="672"/>
      <c r="S556" s="672"/>
      <c r="T556" s="672"/>
      <c r="U556" s="672"/>
      <c r="V556" s="1668"/>
      <c r="X556" s="1659" t="s">
        <v>1209</v>
      </c>
      <c r="Y556" s="1659" t="str">
        <f t="shared" si="134"/>
        <v>Other 11</v>
      </c>
      <c r="Z556" s="1659" t="str">
        <f t="shared" si="135"/>
        <v/>
      </c>
    </row>
    <row r="557" spans="1:26" x14ac:dyDescent="0.25">
      <c r="A557" s="1655" t="s">
        <v>1178</v>
      </c>
      <c r="B557" s="1655" t="s">
        <v>1647</v>
      </c>
      <c r="C557" s="1657" t="s">
        <v>1505</v>
      </c>
      <c r="D557" s="1684" t="str">
        <f>IF(USE_Other3Describe="","",USE_Other3Describe)</f>
        <v>Describe</v>
      </c>
      <c r="E557" s="1668"/>
      <c r="F557" s="1677"/>
      <c r="H557" s="1655" t="s">
        <v>1623</v>
      </c>
      <c r="I557" s="1655" t="s">
        <v>1682</v>
      </c>
      <c r="J557" s="1674" t="str">
        <f>_xlfn.CONCAT(C545,", ",C546,", ",D557,", ",D558,", ",D559,", ",D560,", ",D561,", ",D562,", ",D563,", ",D564,", ",D565,", ",D566,", ",D567)</f>
        <v>Offsite Infrastructure, Solar Installation, Describe, Describe, Describe, Describe, Describe, Describe, Describe, Describe, Describe, Describe, Describe</v>
      </c>
      <c r="L557" s="1659" t="s">
        <v>1623</v>
      </c>
      <c r="M557" s="1659" t="str">
        <f t="shared" si="129"/>
        <v>Other 1 Describe</v>
      </c>
      <c r="N557" s="1659" t="str">
        <f t="shared" ref="N557:N562" si="136">IF(OR(D557="",D557="Describe"),"",D557)</f>
        <v/>
      </c>
      <c r="P557" s="1668"/>
      <c r="Q557" s="1668" t="s">
        <v>1683</v>
      </c>
      <c r="R557" s="672"/>
      <c r="S557" s="672"/>
      <c r="T557" s="672"/>
      <c r="U557" s="672"/>
      <c r="V557" s="1668"/>
      <c r="X557" s="1659" t="s">
        <v>1209</v>
      </c>
      <c r="Y557" s="1659" t="str">
        <f t="shared" si="130"/>
        <v>Other 1 Describe</v>
      </c>
      <c r="Z557" s="1659" t="str">
        <f t="shared" ref="Z557:Z562" si="137">IF(OR(D557="",D557="Describe"),"",D557)</f>
        <v/>
      </c>
    </row>
    <row r="558" spans="1:26" x14ac:dyDescent="0.25">
      <c r="A558" s="1655" t="s">
        <v>1178</v>
      </c>
      <c r="B558" s="1655" t="s">
        <v>1647</v>
      </c>
      <c r="C558" s="1657" t="s">
        <v>1506</v>
      </c>
      <c r="D558" s="1684" t="str">
        <f>IF(USE_Other7Describe="","",USE_Other7Describe)</f>
        <v>Describe</v>
      </c>
      <c r="E558" s="1668"/>
      <c r="F558" s="1677"/>
      <c r="H558" s="1658"/>
      <c r="I558" s="1658" t="s">
        <v>1682</v>
      </c>
      <c r="J558" s="1677"/>
      <c r="L558" s="1659" t="s">
        <v>1623</v>
      </c>
      <c r="M558" s="1659" t="str">
        <f t="shared" si="129"/>
        <v>Other 2 Describe</v>
      </c>
      <c r="N558" s="1659" t="str">
        <f t="shared" si="136"/>
        <v/>
      </c>
      <c r="P558" s="1668"/>
      <c r="Q558" s="1668" t="s">
        <v>1683</v>
      </c>
      <c r="R558" s="672"/>
      <c r="S558" s="672"/>
      <c r="T558" s="672"/>
      <c r="U558" s="672"/>
      <c r="V558" s="1668"/>
      <c r="X558" s="1659" t="s">
        <v>1209</v>
      </c>
      <c r="Y558" s="1659" t="str">
        <f t="shared" si="130"/>
        <v>Other 2 Describe</v>
      </c>
      <c r="Z558" s="1659" t="str">
        <f t="shared" si="137"/>
        <v/>
      </c>
    </row>
    <row r="559" spans="1:26" x14ac:dyDescent="0.25">
      <c r="A559" s="1655" t="s">
        <v>1178</v>
      </c>
      <c r="B559" s="1655" t="s">
        <v>1647</v>
      </c>
      <c r="C559" s="1657" t="s">
        <v>1642</v>
      </c>
      <c r="D559" s="1684" t="str">
        <f>IF(USE_Other8Describe="","",USE_Other8Describe)</f>
        <v>Describe</v>
      </c>
      <c r="E559" s="1668"/>
      <c r="F559" s="1677"/>
      <c r="H559" s="1658"/>
      <c r="I559" s="1658" t="s">
        <v>1682</v>
      </c>
      <c r="J559" s="1677"/>
      <c r="L559" s="1659" t="s">
        <v>1623</v>
      </c>
      <c r="M559" s="1659" t="str">
        <f t="shared" si="129"/>
        <v>Other 3 Describe</v>
      </c>
      <c r="N559" s="1659" t="str">
        <f t="shared" si="136"/>
        <v/>
      </c>
      <c r="P559" s="1668"/>
      <c r="Q559" s="1668" t="s">
        <v>1683</v>
      </c>
      <c r="R559" s="672"/>
      <c r="S559" s="672"/>
      <c r="T559" s="672"/>
      <c r="U559" s="672"/>
      <c r="V559" s="1668"/>
      <c r="X559" s="1659" t="s">
        <v>1209</v>
      </c>
      <c r="Y559" s="1659" t="str">
        <f t="shared" si="130"/>
        <v>Other 3 Describe</v>
      </c>
      <c r="Z559" s="1659" t="str">
        <f t="shared" si="137"/>
        <v/>
      </c>
    </row>
    <row r="560" spans="1:26" x14ac:dyDescent="0.25">
      <c r="A560" s="1655" t="s">
        <v>1178</v>
      </c>
      <c r="B560" s="1655" t="s">
        <v>1647</v>
      </c>
      <c r="C560" s="1657" t="s">
        <v>1643</v>
      </c>
      <c r="D560" s="1684" t="str">
        <f>IF(USE_Other9Describe="","",USE_Other9Describe)</f>
        <v>Describe</v>
      </c>
      <c r="E560" s="1668"/>
      <c r="F560" s="1677"/>
      <c r="H560" s="1658"/>
      <c r="I560" s="1658" t="s">
        <v>1682</v>
      </c>
      <c r="J560" s="1677"/>
      <c r="L560" s="1659" t="s">
        <v>1623</v>
      </c>
      <c r="M560" s="1659" t="str">
        <f t="shared" si="129"/>
        <v>Other 4 Describe</v>
      </c>
      <c r="N560" s="1659" t="str">
        <f t="shared" si="136"/>
        <v/>
      </c>
      <c r="P560" s="1668"/>
      <c r="Q560" s="1668" t="s">
        <v>1683</v>
      </c>
      <c r="R560" s="672"/>
      <c r="S560" s="672"/>
      <c r="T560" s="672"/>
      <c r="U560" s="672"/>
      <c r="V560" s="1668"/>
      <c r="X560" s="1659" t="s">
        <v>1209</v>
      </c>
      <c r="Y560" s="1659" t="str">
        <f t="shared" si="130"/>
        <v>Other 4 Describe</v>
      </c>
      <c r="Z560" s="1659" t="str">
        <f t="shared" si="137"/>
        <v/>
      </c>
    </row>
    <row r="561" spans="1:26" x14ac:dyDescent="0.25">
      <c r="A561" s="1655" t="s">
        <v>1178</v>
      </c>
      <c r="B561" s="1655" t="s">
        <v>1647</v>
      </c>
      <c r="C561" s="1657" t="s">
        <v>1644</v>
      </c>
      <c r="D561" s="1684" t="str">
        <f>IF(USE_Other10Describe="","",USE_Other10Describe)</f>
        <v>Describe</v>
      </c>
      <c r="E561" s="1668"/>
      <c r="F561" s="1677"/>
      <c r="H561" s="1658"/>
      <c r="I561" s="1658" t="s">
        <v>1682</v>
      </c>
      <c r="J561" s="1677"/>
      <c r="L561" s="1659" t="s">
        <v>1623</v>
      </c>
      <c r="M561" s="1659" t="str">
        <f t="shared" si="129"/>
        <v>Other 5 Describe</v>
      </c>
      <c r="N561" s="1659" t="str">
        <f t="shared" si="136"/>
        <v/>
      </c>
      <c r="P561" s="1668"/>
      <c r="Q561" s="1668" t="s">
        <v>1683</v>
      </c>
      <c r="R561" s="672"/>
      <c r="S561" s="672"/>
      <c r="T561" s="672"/>
      <c r="U561" s="672"/>
      <c r="V561" s="1668"/>
      <c r="X561" s="1659" t="s">
        <v>1209</v>
      </c>
      <c r="Y561" s="1659" t="str">
        <f t="shared" si="130"/>
        <v>Other 5 Describe</v>
      </c>
      <c r="Z561" s="1659" t="str">
        <f t="shared" si="137"/>
        <v/>
      </c>
    </row>
    <row r="562" spans="1:26" x14ac:dyDescent="0.25">
      <c r="A562" s="1655" t="s">
        <v>1178</v>
      </c>
      <c r="B562" s="1655" t="s">
        <v>1647</v>
      </c>
      <c r="C562" s="1657" t="s">
        <v>1645</v>
      </c>
      <c r="D562" s="1684" t="str">
        <f>IF(USE_Other11Describe="","",USE_Other11Describe)</f>
        <v>Describe</v>
      </c>
      <c r="E562" s="1668"/>
      <c r="F562" s="1677"/>
      <c r="H562" s="1658"/>
      <c r="I562" s="1658" t="s">
        <v>1682</v>
      </c>
      <c r="J562" s="1677"/>
      <c r="L562" s="1659" t="s">
        <v>1623</v>
      </c>
      <c r="M562" s="1659" t="str">
        <f t="shared" si="129"/>
        <v>Other 6 Describe</v>
      </c>
      <c r="N562" s="1659" t="str">
        <f t="shared" si="136"/>
        <v/>
      </c>
      <c r="P562" s="1668"/>
      <c r="Q562" s="1668" t="s">
        <v>1683</v>
      </c>
      <c r="R562" s="672"/>
      <c r="S562" s="672"/>
      <c r="T562" s="672"/>
      <c r="U562" s="672"/>
      <c r="V562" s="1668"/>
      <c r="X562" s="1659" t="s">
        <v>1209</v>
      </c>
      <c r="Y562" s="1659" t="str">
        <f t="shared" si="130"/>
        <v>Other 6 Describe</v>
      </c>
      <c r="Z562" s="1659" t="str">
        <f t="shared" si="137"/>
        <v/>
      </c>
    </row>
    <row r="563" spans="1:26" x14ac:dyDescent="0.25">
      <c r="A563" s="1655" t="s">
        <v>1178</v>
      </c>
      <c r="B563" s="1655" t="s">
        <v>1647</v>
      </c>
      <c r="C563" s="1657" t="s">
        <v>1646</v>
      </c>
      <c r="D563" s="1684" t="str">
        <f>IF(USE_Other26Describe="","",USE_Other26Describe)</f>
        <v>Describe</v>
      </c>
      <c r="E563" s="1668"/>
      <c r="F563" s="1677"/>
      <c r="H563" s="1658"/>
      <c r="I563" s="1658" t="s">
        <v>1682</v>
      </c>
      <c r="J563" s="1677"/>
      <c r="L563" s="1659" t="s">
        <v>1623</v>
      </c>
      <c r="M563" s="1659" t="str">
        <f>C563</f>
        <v>Other 7 Describe</v>
      </c>
      <c r="N563" s="1659" t="str">
        <f>IF(OR(D563="",D563="Describe"),"",D563)</f>
        <v/>
      </c>
      <c r="P563" s="1668"/>
      <c r="Q563" s="1668" t="s">
        <v>1683</v>
      </c>
      <c r="R563" s="672"/>
      <c r="S563" s="672"/>
      <c r="T563" s="672"/>
      <c r="U563" s="672"/>
      <c r="V563" s="1668"/>
      <c r="X563" s="1659" t="s">
        <v>1209</v>
      </c>
      <c r="Y563" s="1659" t="str">
        <f t="shared" ref="Y563:Y570" si="138">C563</f>
        <v>Other 7 Describe</v>
      </c>
      <c r="Z563" s="1659" t="str">
        <f>IF(OR(D563="",D563="Describe"),"",D563)</f>
        <v/>
      </c>
    </row>
    <row r="564" spans="1:26" x14ac:dyDescent="0.25">
      <c r="A564" s="1655" t="s">
        <v>1178</v>
      </c>
      <c r="B564" s="1655" t="s">
        <v>1647</v>
      </c>
      <c r="C564" s="1657" t="s">
        <v>1684</v>
      </c>
      <c r="D564" s="1684" t="str">
        <f>IF(USE_Other27Describe="","",USE_Other27Describe)</f>
        <v>Describe</v>
      </c>
      <c r="E564" s="1668"/>
      <c r="F564" s="1677"/>
      <c r="H564" s="1658"/>
      <c r="I564" s="1658" t="s">
        <v>1682</v>
      </c>
      <c r="J564" s="1677"/>
      <c r="L564" s="1659" t="s">
        <v>1623</v>
      </c>
      <c r="M564" s="1659" t="str">
        <f>C564</f>
        <v>Other 8 Describe</v>
      </c>
      <c r="N564" s="1659" t="str">
        <f>IF(OR(D564="",D564="Describe"),"",D564)</f>
        <v/>
      </c>
      <c r="P564" s="1668"/>
      <c r="Q564" s="1668" t="s">
        <v>1683</v>
      </c>
      <c r="R564" s="672"/>
      <c r="S564" s="672"/>
      <c r="T564" s="672"/>
      <c r="U564" s="672"/>
      <c r="V564" s="1668"/>
      <c r="X564" s="1659" t="s">
        <v>1209</v>
      </c>
      <c r="Y564" s="1659" t="str">
        <f t="shared" si="138"/>
        <v>Other 8 Describe</v>
      </c>
      <c r="Z564" s="1659" t="str">
        <f>IF(OR(D564="",D564="Describe"),"",D564)</f>
        <v/>
      </c>
    </row>
    <row r="565" spans="1:26" x14ac:dyDescent="0.25">
      <c r="A565" s="1655" t="s">
        <v>1178</v>
      </c>
      <c r="B565" s="1655" t="s">
        <v>1647</v>
      </c>
      <c r="C565" s="1657" t="s">
        <v>1685</v>
      </c>
      <c r="D565" s="1684" t="str">
        <f>IF(USE_Other28Describe="","",USE_Other28Describe)</f>
        <v>Describe</v>
      </c>
      <c r="E565" s="1668"/>
      <c r="F565" s="1677"/>
      <c r="H565" s="1658"/>
      <c r="I565" s="1658" t="s">
        <v>1682</v>
      </c>
      <c r="J565" s="1677"/>
      <c r="L565" s="1659" t="s">
        <v>1623</v>
      </c>
      <c r="M565" s="1659" t="str">
        <f>C565</f>
        <v>Other 9 Describe</v>
      </c>
      <c r="N565" s="1659" t="str">
        <f>IF(OR(D565="",D565="Describe"),"",D565)</f>
        <v/>
      </c>
      <c r="P565" s="1668"/>
      <c r="Q565" s="1668" t="s">
        <v>1683</v>
      </c>
      <c r="R565" s="672"/>
      <c r="S565" s="672"/>
      <c r="T565" s="672"/>
      <c r="U565" s="672"/>
      <c r="V565" s="1668"/>
      <c r="X565" s="1659" t="s">
        <v>1209</v>
      </c>
      <c r="Y565" s="1659" t="str">
        <f t="shared" si="138"/>
        <v>Other 9 Describe</v>
      </c>
      <c r="Z565" s="1659" t="str">
        <f>IF(OR(D565="",D565="Describe"),"",D565)</f>
        <v/>
      </c>
    </row>
    <row r="566" spans="1:26" x14ac:dyDescent="0.25">
      <c r="A566" s="1655" t="s">
        <v>1178</v>
      </c>
      <c r="B566" s="1655" t="s">
        <v>1647</v>
      </c>
      <c r="C566" s="1657" t="s">
        <v>1686</v>
      </c>
      <c r="D566" s="1684" t="str">
        <f>IF(USE_Other29Describe="","",USE_Other29Describe)</f>
        <v>Describe</v>
      </c>
      <c r="E566" s="1668"/>
      <c r="F566" s="1677"/>
      <c r="H566" s="1658"/>
      <c r="I566" s="1658" t="s">
        <v>1682</v>
      </c>
      <c r="J566" s="1677"/>
      <c r="L566" s="1659" t="s">
        <v>1623</v>
      </c>
      <c r="M566" s="1659" t="str">
        <f>C566</f>
        <v>Other 10 Describe</v>
      </c>
      <c r="N566" s="1659" t="str">
        <f>IF(OR(D566="",D566="Describe"),"",D566)</f>
        <v/>
      </c>
      <c r="P566" s="1668"/>
      <c r="Q566" s="1668" t="s">
        <v>1683</v>
      </c>
      <c r="R566" s="672"/>
      <c r="S566" s="672"/>
      <c r="T566" s="672"/>
      <c r="U566" s="672"/>
      <c r="V566" s="1668"/>
      <c r="X566" s="1659" t="s">
        <v>1209</v>
      </c>
      <c r="Y566" s="1659" t="str">
        <f t="shared" si="138"/>
        <v>Other 10 Describe</v>
      </c>
      <c r="Z566" s="1659" t="str">
        <f>IF(OR(D566="",D566="Describe"),"",D566)</f>
        <v/>
      </c>
    </row>
    <row r="567" spans="1:26" x14ac:dyDescent="0.25">
      <c r="A567" s="1655" t="s">
        <v>1178</v>
      </c>
      <c r="B567" s="1655" t="s">
        <v>1647</v>
      </c>
      <c r="C567" s="1657" t="s">
        <v>1687</v>
      </c>
      <c r="D567" s="1684" t="str">
        <f>IF(USE_Other30Describe="","",USE_Other30Describe)</f>
        <v>Describe</v>
      </c>
      <c r="E567" s="1668"/>
      <c r="F567" s="1677"/>
      <c r="H567" s="1658"/>
      <c r="I567" s="1658" t="s">
        <v>1682</v>
      </c>
      <c r="J567" s="1677"/>
      <c r="L567" s="1659" t="s">
        <v>1623</v>
      </c>
      <c r="M567" s="1659" t="str">
        <f>C567</f>
        <v>Other 11 Describe</v>
      </c>
      <c r="N567" s="1659" t="str">
        <f>IF(OR(D567="",D567="Describe"),"",D567)</f>
        <v/>
      </c>
      <c r="P567" s="1668"/>
      <c r="Q567" s="1668" t="s">
        <v>1683</v>
      </c>
      <c r="R567" s="672"/>
      <c r="S567" s="672"/>
      <c r="T567" s="672"/>
      <c r="U567" s="672"/>
      <c r="V567" s="1668"/>
      <c r="X567" s="1659" t="s">
        <v>1209</v>
      </c>
      <c r="Y567" s="1659" t="str">
        <f t="shared" si="138"/>
        <v>Other 11 Describe</v>
      </c>
      <c r="Z567" s="1659" t="str">
        <f>IF(OR(D567="",D567="Describe"),"",D567)</f>
        <v/>
      </c>
    </row>
    <row r="568" spans="1:26" x14ac:dyDescent="0.25">
      <c r="A568" s="1655" t="s">
        <v>1178</v>
      </c>
      <c r="B568" s="1655" t="s">
        <v>1688</v>
      </c>
      <c r="C568" s="1657" t="s">
        <v>2398</v>
      </c>
      <c r="D568" s="1684" t="str">
        <f>IF(USES!J65="","",USES!J65)</f>
        <v/>
      </c>
      <c r="E568" s="1659" t="str">
        <f>IF(USES!M65="","",USES!M65)</f>
        <v/>
      </c>
      <c r="F568" s="1659" t="str">
        <f>IF(USES!N65="","",USES!N65)</f>
        <v/>
      </c>
      <c r="H568" s="1655" t="s">
        <v>1623</v>
      </c>
      <c r="I568" s="1664" t="s">
        <v>1689</v>
      </c>
      <c r="J568" s="1674" t="str">
        <f>IF(IF(D568="",0,D568)+IF(D569="",0,D569)+IF(D570="",0,D570)=0,"",IF(D568="",0,D568)+IF(D569="",0,D569)+IF(D570="",0,D570))</f>
        <v/>
      </c>
      <c r="L568" s="1659" t="s">
        <v>1623</v>
      </c>
      <c r="M568" s="1659" t="str">
        <f t="shared" si="129"/>
        <v>Construction Loan Interest</v>
      </c>
      <c r="N568" s="1659" t="str">
        <f>IF(D568="","",D568)</f>
        <v/>
      </c>
      <c r="P568" s="1655" t="s">
        <v>1620</v>
      </c>
      <c r="Q568" s="1659" t="s">
        <v>1690</v>
      </c>
      <c r="R568" s="671">
        <f>IF(D568="",0,D568)+IF(D570="",0,D570)+IF(D569="",0,D569)</f>
        <v>0</v>
      </c>
      <c r="S568" s="671">
        <f>IF(E568="",0,E568)+IF(E570="",0,E570)+IF(E569="",0,E569)</f>
        <v>0</v>
      </c>
      <c r="T568" s="671" t="str">
        <f>IF($T$500&lt;&gt;"4%","",IF(F568="",0,F568)+IF(F570="",0,F570)+IF(F569="",0,F569))</f>
        <v/>
      </c>
      <c r="U568" s="671" t="str">
        <f>IF($T$500&lt;&gt;"9%","",IF(F568="",0,F568)+IF(F570="",0,F570)+IF(F569="",0,F569))</f>
        <v/>
      </c>
      <c r="V568" s="1668"/>
      <c r="X568" s="1659" t="s">
        <v>1209</v>
      </c>
      <c r="Y568" s="1659" t="str">
        <f t="shared" si="138"/>
        <v>Construction Loan Interest</v>
      </c>
      <c r="Z568" s="1659" t="str">
        <f>IF(D568="","",D568)</f>
        <v/>
      </c>
    </row>
    <row r="569" spans="1:26" x14ac:dyDescent="0.25">
      <c r="A569" s="1655" t="s">
        <v>1178</v>
      </c>
      <c r="B569" s="1655" t="s">
        <v>1688</v>
      </c>
      <c r="C569" s="1657" t="s">
        <v>2397</v>
      </c>
      <c r="D569" s="1684" t="str">
        <f>IF(USES!J66="","",USES!J66)</f>
        <v/>
      </c>
      <c r="E569" s="1659" t="str">
        <f>IF(USES!M66="","",USES!M66)</f>
        <v/>
      </c>
      <c r="F569" s="1659" t="str">
        <f>IF(USES!N66="","",USES!N66)</f>
        <v/>
      </c>
      <c r="H569" s="1658"/>
      <c r="I569" s="1658" t="s">
        <v>1689</v>
      </c>
      <c r="J569" s="1677"/>
      <c r="K569" s="3"/>
      <c r="L569" s="1659" t="s">
        <v>1623</v>
      </c>
      <c r="M569" s="1659" t="str">
        <f>C569</f>
        <v>Bond Interest</v>
      </c>
      <c r="N569" s="1686"/>
      <c r="P569" s="1658"/>
      <c r="Q569" s="1668" t="s">
        <v>1690</v>
      </c>
      <c r="R569" s="672"/>
      <c r="S569" s="672"/>
      <c r="T569" s="672"/>
      <c r="U569" s="672"/>
      <c r="V569" s="1688"/>
      <c r="X569" s="1659" t="s">
        <v>1209</v>
      </c>
      <c r="Y569" s="1689" t="str">
        <f t="shared" si="138"/>
        <v>Bond Interest</v>
      </c>
      <c r="Z569" s="1687" t="str">
        <f>IF(D569="","",D569)</f>
        <v/>
      </c>
    </row>
    <row r="570" spans="1:26" x14ac:dyDescent="0.25">
      <c r="A570" s="1655" t="s">
        <v>1178</v>
      </c>
      <c r="B570" s="1655" t="s">
        <v>1688</v>
      </c>
      <c r="C570" s="1657" t="s">
        <v>764</v>
      </c>
      <c r="D570" s="1684" t="str">
        <f>IF(USES!J67="","",USES!J67)</f>
        <v/>
      </c>
      <c r="E570" s="1659" t="str">
        <f>IF(USES!M67="","",USES!M67)</f>
        <v/>
      </c>
      <c r="F570" s="1659" t="str">
        <f>IF(USES!N67="","",USES!N67)</f>
        <v/>
      </c>
      <c r="H570" s="1658"/>
      <c r="I570" s="1658" t="s">
        <v>1689</v>
      </c>
      <c r="J570" s="1677"/>
      <c r="L570" s="1659" t="s">
        <v>1623</v>
      </c>
      <c r="M570" s="1659" t="str">
        <f t="shared" si="129"/>
        <v>Negative Arbitrage</v>
      </c>
      <c r="N570" s="1659" t="str">
        <f>IF(D570="","",D570)</f>
        <v/>
      </c>
      <c r="P570" s="1658"/>
      <c r="Q570" s="1668" t="s">
        <v>1690</v>
      </c>
      <c r="R570" s="672"/>
      <c r="S570" s="672"/>
      <c r="T570" s="672"/>
      <c r="U570" s="672"/>
      <c r="V570" s="1668"/>
      <c r="X570" s="1659" t="s">
        <v>1209</v>
      </c>
      <c r="Y570" s="1659" t="str">
        <f t="shared" si="138"/>
        <v>Negative Arbitrage</v>
      </c>
      <c r="Z570" s="1659" t="str">
        <f>IF(D570="","",D570)</f>
        <v/>
      </c>
    </row>
    <row r="571" spans="1:26" x14ac:dyDescent="0.25">
      <c r="A571" s="1655" t="s">
        <v>1178</v>
      </c>
      <c r="B571" s="1655" t="s">
        <v>1688</v>
      </c>
      <c r="C571" s="1657" t="s">
        <v>669</v>
      </c>
      <c r="D571" s="1684" t="str">
        <f>IF(USES!J68="","",USES!J68)</f>
        <v/>
      </c>
      <c r="E571" s="1659" t="str">
        <f>IF(USES!M68="","",USES!M68)</f>
        <v/>
      </c>
      <c r="F571" s="1659" t="str">
        <f>IF(USES!N68="","",USES!N68)</f>
        <v/>
      </c>
      <c r="H571" s="1655" t="s">
        <v>1623</v>
      </c>
      <c r="I571" s="1664" t="s">
        <v>1691</v>
      </c>
      <c r="J571" s="1674" t="str">
        <f>IF(D571="","",D571)</f>
        <v/>
      </c>
      <c r="L571" s="1668"/>
      <c r="M571" s="1668"/>
      <c r="N571" s="1668"/>
      <c r="P571" s="1655" t="s">
        <v>1620</v>
      </c>
      <c r="Q571" s="1659" t="s">
        <v>1692</v>
      </c>
      <c r="R571" s="671" t="str">
        <f>IF(D571="","",D571)</f>
        <v/>
      </c>
      <c r="S571" s="671" t="str">
        <f>IF(E571="","",E571)</f>
        <v/>
      </c>
      <c r="T571" s="671" t="str">
        <f>IF($T$500&lt;&gt;"4%","",IF(F571="","",F571))</f>
        <v/>
      </c>
      <c r="U571" s="671" t="str">
        <f>IF($T$500&lt;&gt;"9%","",IF(F571="","",F571))</f>
        <v/>
      </c>
      <c r="V571" s="1668"/>
      <c r="X571" s="1668"/>
      <c r="Y571" s="1668"/>
      <c r="Z571" s="1668"/>
    </row>
    <row r="572" spans="1:26" x14ac:dyDescent="0.25">
      <c r="A572" s="1655" t="s">
        <v>1178</v>
      </c>
      <c r="B572" s="1655" t="s">
        <v>1688</v>
      </c>
      <c r="C572" s="1657" t="s">
        <v>765</v>
      </c>
      <c r="D572" s="1684" t="str">
        <f>IF(USES!J69="","",USES!J69)</f>
        <v/>
      </c>
      <c r="E572" s="1659" t="str">
        <f>IF(USES!M69="","",USES!M69)</f>
        <v/>
      </c>
      <c r="F572" s="1659" t="str">
        <f>IF(USES!N69="","",USES!N69)</f>
        <v/>
      </c>
      <c r="H572" s="1655" t="s">
        <v>1623</v>
      </c>
      <c r="I572" s="1664" t="s">
        <v>1693</v>
      </c>
      <c r="J572" s="1674" t="str">
        <f>IF(D572="","",D572)</f>
        <v/>
      </c>
      <c r="L572" s="1668"/>
      <c r="M572" s="1668"/>
      <c r="N572" s="1668"/>
      <c r="P572" s="1655" t="s">
        <v>1620</v>
      </c>
      <c r="Q572" s="1659" t="s">
        <v>1694</v>
      </c>
      <c r="R572" s="671" t="str">
        <f>IF(D572="","",D572)</f>
        <v/>
      </c>
      <c r="S572" s="671" t="str">
        <f>IF(E572="","",E572)</f>
        <v/>
      </c>
      <c r="T572" s="671" t="str">
        <f>IF($T$500&lt;&gt;"4%","",IF(F572="","",F572))</f>
        <v/>
      </c>
      <c r="U572" s="671" t="str">
        <f>IF($T$500&lt;&gt;"9%","",IF(F572="","",F572))</f>
        <v/>
      </c>
      <c r="V572" s="1668"/>
      <c r="X572" s="1668"/>
      <c r="Y572" s="1668"/>
      <c r="Z572" s="1668"/>
    </row>
    <row r="573" spans="1:26" x14ac:dyDescent="0.25">
      <c r="A573" s="1655" t="s">
        <v>1178</v>
      </c>
      <c r="B573" s="1655" t="s">
        <v>1688</v>
      </c>
      <c r="C573" s="1657" t="s">
        <v>766</v>
      </c>
      <c r="D573" s="1684" t="str">
        <f>IF(USES!J70="","",USES!J70)</f>
        <v/>
      </c>
      <c r="E573" s="1659" t="str">
        <f>IF(USES!M70="","",USES!M70)</f>
        <v/>
      </c>
      <c r="F573" s="1659" t="str">
        <f>IF(USES!N70="","",USES!N70)</f>
        <v/>
      </c>
      <c r="H573" s="1664" t="s">
        <v>1623</v>
      </c>
      <c r="I573" s="1664" t="s">
        <v>2735</v>
      </c>
      <c r="J573" s="1684" t="str">
        <f>IF(IF(D573="",0,D573)+IF(D575="",0,D575)=0,"",IF(D573="",0,D573)+IF(D575="",0,D575))</f>
        <v/>
      </c>
      <c r="L573" s="1659" t="s">
        <v>1623</v>
      </c>
      <c r="M573" s="1659" t="str">
        <f>C573</f>
        <v>Mortgage Insurance Premium</v>
      </c>
      <c r="N573" s="1659" t="str">
        <f>IF(D573="","",D573)</f>
        <v/>
      </c>
      <c r="P573" s="1658"/>
      <c r="Q573" s="1668" t="s">
        <v>1696</v>
      </c>
      <c r="R573" s="672"/>
      <c r="S573" s="672"/>
      <c r="T573" s="672"/>
      <c r="U573" s="672"/>
      <c r="V573" s="1668"/>
      <c r="X573" s="1659" t="s">
        <v>1209</v>
      </c>
      <c r="Y573" s="1659" t="str">
        <f>C573</f>
        <v>Mortgage Insurance Premium</v>
      </c>
      <c r="Z573" s="1687" t="str">
        <f>IF(D573="","",D573)</f>
        <v/>
      </c>
    </row>
    <row r="574" spans="1:26" x14ac:dyDescent="0.25">
      <c r="A574" s="1655" t="s">
        <v>1178</v>
      </c>
      <c r="B574" s="1655" t="s">
        <v>1688</v>
      </c>
      <c r="C574" s="1657" t="s">
        <v>767</v>
      </c>
      <c r="D574" s="1684" t="str">
        <f>IF(USES!J71="","",USES!J71)</f>
        <v/>
      </c>
      <c r="E574" s="1659" t="str">
        <f>IF(USES!M71="","",USES!M71)</f>
        <v/>
      </c>
      <c r="F574" s="1659" t="str">
        <f>IF(USES!N71="","",USES!N71)</f>
        <v/>
      </c>
      <c r="H574" s="1655" t="s">
        <v>1623</v>
      </c>
      <c r="I574" s="1664" t="s">
        <v>1697</v>
      </c>
      <c r="J574" s="1674" t="str">
        <f>IF(D574="","",D574)</f>
        <v/>
      </c>
      <c r="L574" s="1668"/>
      <c r="M574" s="1668"/>
      <c r="N574" s="1668"/>
      <c r="P574" s="1655" t="s">
        <v>1620</v>
      </c>
      <c r="Q574" s="1659" t="s">
        <v>1698</v>
      </c>
      <c r="R574" s="671" t="str">
        <f>IF(D574="","",D574)</f>
        <v/>
      </c>
      <c r="S574" s="671" t="str">
        <f>IF(E574="","",E574)</f>
        <v/>
      </c>
      <c r="T574" s="671" t="str">
        <f>IF($T$500&lt;&gt;"4%","",IF(F574="","",F574))</f>
        <v/>
      </c>
      <c r="U574" s="671" t="str">
        <f>IF($T$500&lt;&gt;"9%","",IF(F574="","",F574))</f>
        <v/>
      </c>
      <c r="V574" s="1668"/>
      <c r="X574" s="1668"/>
      <c r="Y574" s="1668"/>
      <c r="Z574" s="1668"/>
    </row>
    <row r="575" spans="1:26" x14ac:dyDescent="0.25">
      <c r="A575" s="1655" t="s">
        <v>1178</v>
      </c>
      <c r="B575" s="1655" t="s">
        <v>1688</v>
      </c>
      <c r="C575" s="1657" t="s">
        <v>2476</v>
      </c>
      <c r="D575" s="1684" t="str">
        <f>IF(USES!J72="","",USES!J72)</f>
        <v/>
      </c>
      <c r="E575" s="1659" t="str">
        <f>IF(USES!M72="","",USES!M72)</f>
        <v/>
      </c>
      <c r="F575" s="1659" t="str">
        <f>IF(USES!N72="","",USES!N72)</f>
        <v/>
      </c>
      <c r="H575" s="1658"/>
      <c r="I575" s="1658" t="s">
        <v>2735</v>
      </c>
      <c r="J575" s="1677"/>
      <c r="L575" s="1659" t="s">
        <v>1623</v>
      </c>
      <c r="M575" s="1659" t="str">
        <f>C575</f>
        <v>Credit Report</v>
      </c>
      <c r="N575" s="1687"/>
      <c r="P575" s="1658" t="s">
        <v>1620</v>
      </c>
      <c r="Q575" s="1668" t="s">
        <v>1701</v>
      </c>
      <c r="R575" s="672"/>
      <c r="S575" s="672"/>
      <c r="T575" s="672"/>
      <c r="U575" s="672"/>
      <c r="V575" s="1668"/>
      <c r="X575" s="1659" t="s">
        <v>1209</v>
      </c>
      <c r="Y575" s="1657" t="s">
        <v>2476</v>
      </c>
      <c r="Z575" s="1689" t="str">
        <f>IF(D575="","",D575)</f>
        <v/>
      </c>
    </row>
    <row r="576" spans="1:26" x14ac:dyDescent="0.25">
      <c r="A576" s="1655" t="s">
        <v>1178</v>
      </c>
      <c r="B576" s="1655" t="s">
        <v>1688</v>
      </c>
      <c r="C576" s="1657" t="s">
        <v>2474</v>
      </c>
      <c r="D576" s="1684" t="str">
        <f>IF(USES!J73="","",USES!J73)</f>
        <v/>
      </c>
      <c r="E576" s="1686" t="str">
        <f>IF(USES!M73="","",USES!M73)</f>
        <v/>
      </c>
      <c r="F576" s="1686" t="str">
        <f>IF(USES!N73="","",USES!N73)</f>
        <v/>
      </c>
      <c r="G576" s="1446"/>
      <c r="H576" s="1690" t="s">
        <v>1623</v>
      </c>
      <c r="I576" s="1690" t="s">
        <v>2734</v>
      </c>
      <c r="J576" s="1691" t="str">
        <f>IF(D576="","",D576)</f>
        <v/>
      </c>
      <c r="L576" s="1688"/>
      <c r="M576" s="1688"/>
      <c r="N576" s="1668"/>
      <c r="P576" s="1658" t="s">
        <v>1620</v>
      </c>
      <c r="Q576" s="1668" t="s">
        <v>1701</v>
      </c>
      <c r="R576" s="672"/>
      <c r="S576" s="672"/>
      <c r="T576" s="672"/>
      <c r="U576" s="672"/>
      <c r="V576" s="1668"/>
      <c r="X576" s="1659" t="s">
        <v>1209</v>
      </c>
      <c r="Y576" s="1700" t="s">
        <v>2474</v>
      </c>
      <c r="Z576" s="1689" t="str">
        <f>IF(D576="","",D576)</f>
        <v/>
      </c>
    </row>
    <row r="577" spans="1:26" x14ac:dyDescent="0.25">
      <c r="A577" s="1655" t="s">
        <v>1178</v>
      </c>
      <c r="B577" s="1655" t="s">
        <v>1688</v>
      </c>
      <c r="C577" s="1657" t="s">
        <v>2363</v>
      </c>
      <c r="D577" s="1684" t="str">
        <f>IF(USES!J74="","",USES!J74)</f>
        <v/>
      </c>
      <c r="E577" s="1686" t="str">
        <f>IF(USES!M74="","",USES!M74)</f>
        <v/>
      </c>
      <c r="F577" s="1686" t="str">
        <f>IF(USES!N74="","",USES!N74)</f>
        <v/>
      </c>
      <c r="G577" s="1446"/>
      <c r="H577" s="1664" t="s">
        <v>1623</v>
      </c>
      <c r="I577" s="1664" t="s">
        <v>1699</v>
      </c>
      <c r="J577" s="1684" t="str">
        <f>IF(D577="","",D577)</f>
        <v/>
      </c>
      <c r="L577" s="1668"/>
      <c r="M577" s="1668"/>
      <c r="N577" s="1668"/>
      <c r="P577" s="1655" t="s">
        <v>1620</v>
      </c>
      <c r="Q577" s="1659" t="s">
        <v>1700</v>
      </c>
      <c r="R577" s="671" t="str">
        <f>IF(D577="","",D577)</f>
        <v/>
      </c>
      <c r="S577" s="671" t="str">
        <f>IF(E577="","",E577)</f>
        <v/>
      </c>
      <c r="T577" s="671" t="str">
        <f>IF($T$500&lt;&gt;"4%","",IF(F577="","",F577))</f>
        <v/>
      </c>
      <c r="U577" s="671" t="str">
        <f>IF($T$500&lt;&gt;"9%","",IF(F577="","",F577))</f>
        <v/>
      </c>
      <c r="V577" s="1668"/>
      <c r="X577" s="1668"/>
      <c r="Y577" s="1668"/>
      <c r="Z577" s="1668"/>
    </row>
    <row r="578" spans="1:26" x14ac:dyDescent="0.25">
      <c r="A578" s="1655" t="s">
        <v>1178</v>
      </c>
      <c r="B578" s="1655" t="s">
        <v>1688</v>
      </c>
      <c r="C578" s="1657" t="s">
        <v>769</v>
      </c>
      <c r="D578" s="1684" t="str">
        <f>IF(USES!J75="","",USES!J75)</f>
        <v/>
      </c>
      <c r="E578" s="1659" t="str">
        <f>IF(USES!M75="","",USES!M75)</f>
        <v/>
      </c>
      <c r="F578" s="1659" t="str">
        <f>IF(USES!N75="","",USES!N75)</f>
        <v/>
      </c>
      <c r="H578" s="1655" t="s">
        <v>1623</v>
      </c>
      <c r="I578" s="1655" t="s">
        <v>2736</v>
      </c>
      <c r="J578" s="1684" t="str">
        <f>IF(IF(D578="",0,D578)+IF(D579="",0,D579)+IF(D580="",0,D580)+IF(D581="",0,D581)+IF(D582="",0,D582)+IF(D583="",0,D583)+IF(D584="",0,D584)+IF(D585="",0,D585)+IF(D587="",0,D587)+IF(D588="",0,D588)+IF(D589="",0,D589)+IF(D595="",0,D595)+IF(D596="",0,D596)+IF(D597="",0,D597)+IF(D598="",0,D598)=0,"",IF(D578="",0,D578)+IF(D579="",0,D579)+IF(D580="",0,D580)+IF(D581="",0,D581)+IF(D582="",0,D582)+IF(D583="",0,D583)+IF(D584="",0,D584)+IF(D585="",0,D585)+IF(D587="",0,D587)+IF(D588="",0,D588)+IF(D589="",0,D589)+IF(D595="",0,D595)+IF(D596="",0,D596)+IF(D597="",0,D597)+IF(D598="",0,D598))</f>
        <v/>
      </c>
      <c r="K578" s="1446"/>
      <c r="L578" s="1659" t="s">
        <v>1623</v>
      </c>
      <c r="M578" s="1659" t="str">
        <f t="shared" ref="M578:M619" si="139">C578</f>
        <v>CDA Subordinate Loan Commitment Fees (RHP)</v>
      </c>
      <c r="N578" s="1659" t="str">
        <f t="shared" ref="N578:N615" si="140">IF(D578="","",D578)</f>
        <v/>
      </c>
      <c r="P578" s="1655" t="s">
        <v>1620</v>
      </c>
      <c r="Q578" s="1659" t="s">
        <v>1701</v>
      </c>
      <c r="R578" s="671">
        <f>IF(D578="",0,D578)+IF(D579="",0,D579)+IF(D580="",0,D580)+IF(D590="",0,D590)+IF(D591="",0,D591)+IF(D592="",0,D592)+IF(D601="",0,D601)+IF(D575="",0,D575)+IF(D576="",0,D576)</f>
        <v>0</v>
      </c>
      <c r="S578" s="671">
        <f>IF(E578="",0,E578)+IF(E579="",0,E579)+IF(E580="",0,E580)+IF(E590="",0,E590)+IF(E591="",0,E591)+IF(E592="",0,E592)+IF(E601="",0,E601)+IF(E575="",0,E575)+IF(E576="",0,E576)</f>
        <v>0</v>
      </c>
      <c r="T578" s="671" t="str">
        <f>IF($T$500&lt;&gt;"4%","",IF(F578="",0,F578)+IF(F579="",0,F579)+IF(F580="",0,F580)+IF(F590="",0,F590)+IF(F591="",0,F591)+IF(F592="",0,F592)+IF(F601="",0,F601)+IF(F575="",0,F575)+IF(F576="",0,F576))</f>
        <v/>
      </c>
      <c r="U578" s="671" t="str">
        <f>IF($T$500&lt;&gt;"9%","",IF(F578="",0,F578)+IF(F579="",0,F579)+IF(F580="",0,F580)+IF(F590="",0,F590)+IF(F591="",0,F591)+IF(F592="",0,F592)+IF(F601="",0,F601)+IF(F575="",0,F575)+IF(F576="",0,F576))</f>
        <v/>
      </c>
      <c r="V578" s="1659" t="s">
        <v>1688</v>
      </c>
      <c r="X578" s="1659" t="s">
        <v>1209</v>
      </c>
      <c r="Y578" s="1686" t="str">
        <f t="shared" ref="Y578:Y615" si="141">C578</f>
        <v>CDA Subordinate Loan Commitment Fees (RHP)</v>
      </c>
      <c r="Z578" s="1686" t="str">
        <f t="shared" ref="Z578:Z615" si="142">IF(D578="","",D578)</f>
        <v/>
      </c>
    </row>
    <row r="579" spans="1:26" x14ac:dyDescent="0.25">
      <c r="A579" s="1655" t="s">
        <v>1178</v>
      </c>
      <c r="B579" s="1655" t="s">
        <v>1688</v>
      </c>
      <c r="C579" s="1657" t="s">
        <v>770</v>
      </c>
      <c r="D579" s="1684" t="str">
        <f>IF(USES!J76="","",USES!J76)</f>
        <v/>
      </c>
      <c r="E579" s="1659" t="str">
        <f>IF(USES!M76="","",USES!M76)</f>
        <v/>
      </c>
      <c r="F579" s="1659" t="str">
        <f>IF(USES!N76="","",USES!N76)</f>
        <v/>
      </c>
      <c r="H579" s="1658"/>
      <c r="I579" s="1658" t="s">
        <v>2736</v>
      </c>
      <c r="J579" s="1677"/>
      <c r="L579" s="1659" t="s">
        <v>1623</v>
      </c>
      <c r="M579" s="1659" t="str">
        <f t="shared" si="139"/>
        <v>CDA Subordinate Loan Commitment Fees (RHW)</v>
      </c>
      <c r="N579" s="1659" t="str">
        <f t="shared" si="140"/>
        <v/>
      </c>
      <c r="P579" s="1658"/>
      <c r="Q579" s="1668" t="s">
        <v>1701</v>
      </c>
      <c r="R579" s="672"/>
      <c r="S579" s="672"/>
      <c r="T579" s="672"/>
      <c r="U579" s="672"/>
      <c r="V579" s="1668"/>
      <c r="X579" s="1659" t="s">
        <v>1209</v>
      </c>
      <c r="Y579" s="1686" t="str">
        <f t="shared" si="141"/>
        <v>CDA Subordinate Loan Commitment Fees (RHW)</v>
      </c>
      <c r="Z579" s="1686" t="str">
        <f t="shared" si="142"/>
        <v/>
      </c>
    </row>
    <row r="580" spans="1:26" x14ac:dyDescent="0.25">
      <c r="A580" s="1655" t="s">
        <v>1178</v>
      </c>
      <c r="B580" s="1655" t="s">
        <v>1688</v>
      </c>
      <c r="C580" s="1657" t="s">
        <v>771</v>
      </c>
      <c r="D580" s="1684" t="str">
        <f>IF(USES!J77="","",USES!J77)</f>
        <v/>
      </c>
      <c r="E580" s="1659" t="str">
        <f>IF(USES!M77="","",USES!M77)</f>
        <v/>
      </c>
      <c r="F580" s="1659" t="str">
        <f>IF(USES!N77="","",USES!N77)</f>
        <v/>
      </c>
      <c r="H580" s="1658"/>
      <c r="I580" s="1658" t="s">
        <v>2736</v>
      </c>
      <c r="J580" s="1677"/>
      <c r="L580" s="1659" t="s">
        <v>1623</v>
      </c>
      <c r="M580" s="1659" t="str">
        <f t="shared" si="139"/>
        <v>CDA Subordinate Loan Commitment Fees (PRHP)</v>
      </c>
      <c r="N580" s="1659" t="str">
        <f t="shared" si="140"/>
        <v/>
      </c>
      <c r="P580" s="1658"/>
      <c r="Q580" s="1668" t="s">
        <v>1701</v>
      </c>
      <c r="R580" s="672"/>
      <c r="S580" s="672"/>
      <c r="T580" s="672"/>
      <c r="U580" s="672"/>
      <c r="V580" s="1668"/>
      <c r="X580" s="1659" t="s">
        <v>1209</v>
      </c>
      <c r="Y580" s="1686" t="str">
        <f t="shared" si="141"/>
        <v>CDA Subordinate Loan Commitment Fees (PRHP)</v>
      </c>
      <c r="Z580" s="1686" t="str">
        <f t="shared" si="142"/>
        <v/>
      </c>
    </row>
    <row r="581" spans="1:26" x14ac:dyDescent="0.25">
      <c r="A581" s="1655" t="s">
        <v>1178</v>
      </c>
      <c r="B581" s="1655" t="s">
        <v>1688</v>
      </c>
      <c r="C581" s="1657" t="s">
        <v>2197</v>
      </c>
      <c r="D581" s="1684" t="str">
        <f>IF(USES!J78="","",USES!J78)</f>
        <v/>
      </c>
      <c r="E581" s="1659" t="str">
        <f>IF(USES!M78="","",USES!M78)</f>
        <v/>
      </c>
      <c r="F581" s="1659" t="str">
        <f>IF(USES!N78="","",USES!N78)</f>
        <v/>
      </c>
      <c r="H581" s="1658"/>
      <c r="I581" s="1658" t="s">
        <v>2736</v>
      </c>
      <c r="J581" s="1677"/>
      <c r="L581" s="1659" t="s">
        <v>1623</v>
      </c>
      <c r="M581" s="1659" t="str">
        <f t="shared" si="139"/>
        <v>State Loan and LIHTC Assumption Fee</v>
      </c>
      <c r="N581" s="1687"/>
      <c r="P581" s="1658"/>
      <c r="Q581" s="1668" t="s">
        <v>1702</v>
      </c>
      <c r="R581" s="672"/>
      <c r="S581" s="672"/>
      <c r="T581" s="672"/>
      <c r="U581" s="672"/>
      <c r="V581" s="1668"/>
      <c r="X581" s="1659" t="s">
        <v>1209</v>
      </c>
      <c r="Y581" s="1686" t="str">
        <f t="shared" si="141"/>
        <v>State Loan and LIHTC Assumption Fee</v>
      </c>
      <c r="Z581" s="1687"/>
    </row>
    <row r="582" spans="1:26" x14ac:dyDescent="0.25">
      <c r="A582" s="1655" t="s">
        <v>1178</v>
      </c>
      <c r="B582" s="1655" t="s">
        <v>1688</v>
      </c>
      <c r="C582" s="1657" t="s">
        <v>2198</v>
      </c>
      <c r="D582" s="1684" t="str">
        <f>IF(USES!J79="","",USES!J79)</f>
        <v/>
      </c>
      <c r="E582" s="1659" t="str">
        <f>IF(USES!M79="","",USES!M79)</f>
        <v/>
      </c>
      <c r="F582" s="1659" t="str">
        <f>IF(USES!N79="","",USES!N79)</f>
        <v/>
      </c>
      <c r="H582" s="1658"/>
      <c r="I582" s="1658" t="s">
        <v>2736</v>
      </c>
      <c r="J582" s="1677"/>
      <c r="L582" s="1659" t="s">
        <v>1623</v>
      </c>
      <c r="M582" s="1659" t="str">
        <f t="shared" si="139"/>
        <v>MBP Loan Assumption Fee</v>
      </c>
      <c r="N582" s="1687"/>
      <c r="P582" s="1658"/>
      <c r="Q582" s="1668" t="s">
        <v>1702</v>
      </c>
      <c r="R582" s="672"/>
      <c r="S582" s="672"/>
      <c r="T582" s="672"/>
      <c r="U582" s="672"/>
      <c r="V582" s="1668"/>
      <c r="X582" s="1659" t="s">
        <v>1209</v>
      </c>
      <c r="Y582" s="1686" t="str">
        <f t="shared" si="141"/>
        <v>MBP Loan Assumption Fee</v>
      </c>
      <c r="Z582" s="1687"/>
    </row>
    <row r="583" spans="1:26" x14ac:dyDescent="0.25">
      <c r="A583" s="1655" t="s">
        <v>1178</v>
      </c>
      <c r="B583" s="1655" t="s">
        <v>1688</v>
      </c>
      <c r="C583" s="1657" t="s">
        <v>772</v>
      </c>
      <c r="D583" s="1684" t="str">
        <f>IF(USES!J80="","",USES!J80)</f>
        <v/>
      </c>
      <c r="E583" s="1659" t="str">
        <f>IF(USES!M80="","",USES!M80)</f>
        <v/>
      </c>
      <c r="F583" s="1659" t="str">
        <f>IF(USES!N80="","",USES!N80)</f>
        <v/>
      </c>
      <c r="H583" s="1658"/>
      <c r="I583" s="1658" t="s">
        <v>2736</v>
      </c>
      <c r="J583" s="1677"/>
      <c r="L583" s="1659" t="s">
        <v>1623</v>
      </c>
      <c r="M583" s="1659" t="str">
        <f t="shared" si="139"/>
        <v>CDA Loan Servicing Fee</v>
      </c>
      <c r="N583" s="1687"/>
      <c r="P583" s="1658"/>
      <c r="Q583" s="1668" t="s">
        <v>1702</v>
      </c>
      <c r="R583" s="672"/>
      <c r="S583" s="672"/>
      <c r="T583" s="672"/>
      <c r="U583" s="672"/>
      <c r="V583" s="1668"/>
      <c r="X583" s="1659" t="s">
        <v>1209</v>
      </c>
      <c r="Y583" s="1686" t="str">
        <f t="shared" si="141"/>
        <v>CDA Loan Servicing Fee</v>
      </c>
      <c r="Z583" s="1687"/>
    </row>
    <row r="584" spans="1:26" x14ac:dyDescent="0.25">
      <c r="A584" s="1655" t="s">
        <v>1178</v>
      </c>
      <c r="B584" s="1655" t="s">
        <v>1688</v>
      </c>
      <c r="C584" s="1657" t="s">
        <v>2553</v>
      </c>
      <c r="D584" s="1684" t="str">
        <f>IF(USES!J81="","",USES!J81)</f>
        <v/>
      </c>
      <c r="E584" s="1659" t="str">
        <f>IF(USES!M81="","",USES!M81)</f>
        <v/>
      </c>
      <c r="F584" s="1659" t="str">
        <f>IF(USES!N81="","",USES!N81)</f>
        <v/>
      </c>
      <c r="H584" s="1658"/>
      <c r="I584" s="1658" t="s">
        <v>2736</v>
      </c>
      <c r="J584" s="1677"/>
      <c r="L584" s="1659" t="s">
        <v>1623</v>
      </c>
      <c r="M584" s="1659" t="str">
        <f t="shared" si="139"/>
        <v>CDA Subsidy Layering Review Fee</v>
      </c>
      <c r="N584" s="1687"/>
      <c r="P584" s="1658"/>
      <c r="Q584" s="1668" t="s">
        <v>1702</v>
      </c>
      <c r="R584" s="672"/>
      <c r="S584" s="672"/>
      <c r="T584" s="672"/>
      <c r="U584" s="672"/>
      <c r="V584" s="1668"/>
      <c r="X584" s="1659" t="s">
        <v>1209</v>
      </c>
      <c r="Y584" s="1686" t="str">
        <f t="shared" si="141"/>
        <v>CDA Subsidy Layering Review Fee</v>
      </c>
      <c r="Z584" s="1687"/>
    </row>
    <row r="585" spans="1:26" x14ac:dyDescent="0.25">
      <c r="A585" s="1655" t="s">
        <v>1178</v>
      </c>
      <c r="B585" s="1655" t="s">
        <v>1688</v>
      </c>
      <c r="C585" s="1657" t="s">
        <v>2184</v>
      </c>
      <c r="D585" s="1684" t="str">
        <f>IF(USES!J82="","",USES!J82)</f>
        <v/>
      </c>
      <c r="E585" s="1659" t="str">
        <f>IF(USES!M82="","",USES!M82)</f>
        <v/>
      </c>
      <c r="F585" s="1659" t="str">
        <f>IF(USES!N82="","",USES!N82)</f>
        <v/>
      </c>
      <c r="H585" s="1658"/>
      <c r="I585" s="1658" t="s">
        <v>2736</v>
      </c>
      <c r="J585" s="1677"/>
      <c r="L585" s="1659" t="s">
        <v>1623</v>
      </c>
      <c r="M585" s="1659" t="str">
        <f t="shared" si="139"/>
        <v>CDA Construction Monitoring Fee</v>
      </c>
      <c r="N585" s="1687"/>
      <c r="P585" s="1658"/>
      <c r="Q585" s="1668" t="s">
        <v>1702</v>
      </c>
      <c r="R585" s="672"/>
      <c r="S585" s="672"/>
      <c r="T585" s="672"/>
      <c r="U585" s="672"/>
      <c r="V585" s="1668"/>
      <c r="X585" s="1659" t="s">
        <v>1209</v>
      </c>
      <c r="Y585" s="1686" t="str">
        <f t="shared" si="141"/>
        <v>CDA Construction Monitoring Fee</v>
      </c>
      <c r="Z585" s="1687"/>
    </row>
    <row r="586" spans="1:26" x14ac:dyDescent="0.25">
      <c r="A586" s="1655" t="s">
        <v>1178</v>
      </c>
      <c r="B586" s="1655" t="s">
        <v>1688</v>
      </c>
      <c r="C586" s="1657" t="s">
        <v>2347</v>
      </c>
      <c r="D586" s="1684" t="str">
        <f>IF(USES!J83="","",USES!J83)</f>
        <v/>
      </c>
      <c r="E586" s="1659" t="str">
        <f>IF(USES!M83="","",USES!M83)</f>
        <v/>
      </c>
      <c r="F586" s="1659" t="str">
        <f>IF(USES!N83="","",USES!N83)</f>
        <v/>
      </c>
      <c r="H586" s="1664"/>
      <c r="I586" s="1664" t="s">
        <v>2737</v>
      </c>
      <c r="J586" s="1684" t="str">
        <f>IF(IF(D586="",0,D586)+IF(D590="",0,D590)+IF(D591="",0,D591)+IF(D592="",0,D592)+IF(D593="",0,D593)+IF(D594="",0,D594)+IF(D599="",0,D599)+IF(D600="",0,D600)+IF(D601="",0,D601)+IF(D602="",0,D602)+IF(D603="",0,D603)+IF(D604="",0,D604)+IF(D605="",0,D605)=0,"",IF(D586="",0,D586)+IF(D590="",0,D590)+IF(D591="",0,D591)+IF(D592="",0,D592)+IF(D593="",0,D593)+IF(D594="",0,D594)+IF(D599="",0,D599)+IF(D600="",0,D600)+IF(D601="",0,D601)+IF(D602="",0,D602)+IF(D603="",0,D603)+IF(D604="",0,D604)+IF(D605="",0,D605))</f>
        <v/>
      </c>
      <c r="L586" s="1659" t="s">
        <v>1623</v>
      </c>
      <c r="M586" s="1689" t="str">
        <f>C586</f>
        <v>Cost of Issuance (Private Placement Underwriter's Fees)</v>
      </c>
      <c r="N586" s="1687"/>
      <c r="P586" s="1658"/>
      <c r="Q586" s="1668" t="s">
        <v>1702</v>
      </c>
      <c r="R586" s="672"/>
      <c r="S586" s="672"/>
      <c r="T586" s="672"/>
      <c r="U586" s="672"/>
      <c r="V586" s="1668"/>
      <c r="X586" s="1659" t="s">
        <v>1209</v>
      </c>
      <c r="Y586" s="1686" t="str">
        <f>C586</f>
        <v>Cost of Issuance (Private Placement Underwriter's Fees)</v>
      </c>
      <c r="Z586" s="1687"/>
    </row>
    <row r="587" spans="1:26" x14ac:dyDescent="0.25">
      <c r="A587" s="1655" t="s">
        <v>1178</v>
      </c>
      <c r="B587" s="1655" t="s">
        <v>1688</v>
      </c>
      <c r="C587" s="1657" t="s">
        <v>2456</v>
      </c>
      <c r="D587" s="1684" t="str">
        <f>IF(USES!J84="","",USES!J84)</f>
        <v/>
      </c>
      <c r="E587" s="1659" t="str">
        <f>IF(USES!M84="","",USES!M84)</f>
        <v/>
      </c>
      <c r="F587" s="1659" t="str">
        <f>IF(USES!N84="","",USES!N84)</f>
        <v/>
      </c>
      <c r="H587" s="1658"/>
      <c r="I587" s="1658" t="s">
        <v>2736</v>
      </c>
      <c r="J587" s="1677"/>
      <c r="L587" s="1659" t="s">
        <v>1623</v>
      </c>
      <c r="M587" s="1689" t="str">
        <f>C587</f>
        <v xml:space="preserve">Cost of Issuance (CDA) </v>
      </c>
      <c r="N587" s="1687"/>
      <c r="P587" s="1658"/>
      <c r="Q587" s="1668" t="s">
        <v>1702</v>
      </c>
      <c r="R587" s="672"/>
      <c r="S587" s="672"/>
      <c r="T587" s="672"/>
      <c r="U587" s="672"/>
      <c r="V587" s="1668"/>
      <c r="X587" s="1659" t="s">
        <v>1209</v>
      </c>
      <c r="Y587" s="1686" t="str">
        <f t="shared" si="141"/>
        <v xml:space="preserve">Cost of Issuance (CDA) </v>
      </c>
      <c r="Z587" s="1687"/>
    </row>
    <row r="588" spans="1:26" x14ac:dyDescent="0.25">
      <c r="A588" s="1655" t="s">
        <v>1178</v>
      </c>
      <c r="B588" s="1655" t="s">
        <v>1688</v>
      </c>
      <c r="C588" s="1657" t="s">
        <v>2352</v>
      </c>
      <c r="D588" s="1684" t="str">
        <f>IF(USES!J85="","",USES!J85)</f>
        <v/>
      </c>
      <c r="E588" s="1659" t="str">
        <f>IF(USES!M85="","",USES!M85)</f>
        <v/>
      </c>
      <c r="F588" s="1659" t="str">
        <f>IF(USES!N85="","",USES!N85)</f>
        <v/>
      </c>
      <c r="H588" s="1658"/>
      <c r="I588" s="1658" t="s">
        <v>2736</v>
      </c>
      <c r="J588" s="1677"/>
      <c r="L588" s="1659" t="s">
        <v>1623</v>
      </c>
      <c r="M588" s="1689" t="str">
        <f>C588</f>
        <v>CDA Issuer Fee (FNMA MTEB)</v>
      </c>
      <c r="N588" s="1687"/>
      <c r="P588" s="1658"/>
      <c r="Q588" s="1668" t="s">
        <v>1702</v>
      </c>
      <c r="R588" s="672"/>
      <c r="S588" s="672"/>
      <c r="T588" s="672"/>
      <c r="U588" s="672"/>
      <c r="V588" s="1668"/>
      <c r="X588" s="1659" t="s">
        <v>1209</v>
      </c>
      <c r="Y588" s="1686" t="str">
        <f t="shared" si="141"/>
        <v>CDA Issuer Fee (FNMA MTEB)</v>
      </c>
      <c r="Z588" s="1687"/>
    </row>
    <row r="589" spans="1:26" x14ac:dyDescent="0.25">
      <c r="A589" s="1655" t="s">
        <v>1178</v>
      </c>
      <c r="B589" s="1655" t="s">
        <v>1688</v>
      </c>
      <c r="C589" s="1657" t="s">
        <v>2353</v>
      </c>
      <c r="D589" s="1684" t="str">
        <f>IF(USES!J86="","",USES!J86)</f>
        <v/>
      </c>
      <c r="E589" s="1659" t="str">
        <f>IF(USES!M86="","",USES!M86)</f>
        <v/>
      </c>
      <c r="F589" s="1659" t="str">
        <f>IF(USES!N86="","",USES!N86)</f>
        <v/>
      </c>
      <c r="H589" s="1658"/>
      <c r="I589" s="1658" t="s">
        <v>2736</v>
      </c>
      <c r="J589" s="1677"/>
      <c r="L589" s="1659" t="s">
        <v>1623</v>
      </c>
      <c r="M589" s="1689" t="str">
        <f>C589</f>
        <v>CDA Issuer Fee (FTEL)</v>
      </c>
      <c r="N589" s="1687"/>
      <c r="P589" s="1658"/>
      <c r="Q589" s="1668" t="s">
        <v>1702</v>
      </c>
      <c r="R589" s="672"/>
      <c r="S589" s="672"/>
      <c r="T589" s="672"/>
      <c r="U589" s="672"/>
      <c r="V589" s="1668"/>
      <c r="X589" s="1659" t="s">
        <v>1209</v>
      </c>
      <c r="Y589" s="1686" t="str">
        <f t="shared" si="141"/>
        <v>CDA Issuer Fee (FTEL)</v>
      </c>
      <c r="Z589" s="1687"/>
    </row>
    <row r="590" spans="1:26" x14ac:dyDescent="0.25">
      <c r="A590" s="1655" t="s">
        <v>1178</v>
      </c>
      <c r="B590" s="1655" t="s">
        <v>1688</v>
      </c>
      <c r="C590" s="1657" t="s">
        <v>2358</v>
      </c>
      <c r="D590" s="1684" t="str">
        <f>IF(USES!J87="","",USES!J87)</f>
        <v/>
      </c>
      <c r="E590" s="1659" t="str">
        <f>IF(USES!M87="","",USES!M87)</f>
        <v/>
      </c>
      <c r="F590" s="1659" t="str">
        <f>IF(USES!N87="","",USES!N87)</f>
        <v/>
      </c>
      <c r="H590" s="1658"/>
      <c r="I590" s="1658" t="s">
        <v>2737</v>
      </c>
      <c r="J590" s="1677"/>
      <c r="L590" s="1659" t="s">
        <v>1623</v>
      </c>
      <c r="M590" s="1659" t="str">
        <f t="shared" si="139"/>
        <v>Capitalized Interest on Initial Funding Loan (FTEL)</v>
      </c>
      <c r="N590" s="1659" t="str">
        <f t="shared" si="140"/>
        <v/>
      </c>
      <c r="P590" s="1658"/>
      <c r="Q590" s="1668" t="s">
        <v>1701</v>
      </c>
      <c r="R590" s="672"/>
      <c r="S590" s="672"/>
      <c r="T590" s="672"/>
      <c r="U590" s="672"/>
      <c r="V590" s="1668"/>
      <c r="X590" s="1659" t="s">
        <v>1209</v>
      </c>
      <c r="Y590" s="1686" t="str">
        <f t="shared" si="141"/>
        <v>Capitalized Interest on Initial Funding Loan (FTEL)</v>
      </c>
      <c r="Z590" s="1686" t="str">
        <f t="shared" si="142"/>
        <v/>
      </c>
    </row>
    <row r="591" spans="1:26" x14ac:dyDescent="0.25">
      <c r="A591" s="1655" t="s">
        <v>1178</v>
      </c>
      <c r="B591" s="1655" t="s">
        <v>1688</v>
      </c>
      <c r="C591" s="1657" t="s">
        <v>2369</v>
      </c>
      <c r="D591" s="1684" t="str">
        <f>IF(USES!J88="","",USES!J88)</f>
        <v/>
      </c>
      <c r="E591" s="1659" t="str">
        <f>IF(USES!M88="","",USES!M88)</f>
        <v/>
      </c>
      <c r="F591" s="1659" t="str">
        <f>IF(USES!N88="","",USES!N88)</f>
        <v/>
      </c>
      <c r="H591" s="1658"/>
      <c r="I591" s="1658" t="s">
        <v>2737</v>
      </c>
      <c r="J591" s="1677"/>
      <c r="L591" s="1659" t="s">
        <v>1623</v>
      </c>
      <c r="M591" s="1659" t="str">
        <f t="shared" si="139"/>
        <v>MHF Application Fee (CDA/FHA Risk Sharing)</v>
      </c>
      <c r="N591" s="1687" t="str">
        <f t="shared" si="140"/>
        <v/>
      </c>
      <c r="P591" s="1658"/>
      <c r="Q591" s="1668" t="s">
        <v>1701</v>
      </c>
      <c r="R591" s="672"/>
      <c r="S591" s="672"/>
      <c r="T591" s="672"/>
      <c r="U591" s="672"/>
      <c r="V591" s="1668"/>
      <c r="X591" s="1659" t="s">
        <v>1209</v>
      </c>
      <c r="Y591" s="1686" t="str">
        <f t="shared" si="141"/>
        <v>MHF Application Fee (CDA/FHA Risk Sharing)</v>
      </c>
      <c r="Z591" s="1686" t="str">
        <f t="shared" si="142"/>
        <v/>
      </c>
    </row>
    <row r="592" spans="1:26" x14ac:dyDescent="0.25">
      <c r="A592" s="1655" t="s">
        <v>1178</v>
      </c>
      <c r="B592" s="1655" t="s">
        <v>1688</v>
      </c>
      <c r="C592" s="1657" t="s">
        <v>2370</v>
      </c>
      <c r="D592" s="1684" t="str">
        <f>IF(USES!J89="","",USES!J89)</f>
        <v/>
      </c>
      <c r="E592" s="1659" t="str">
        <f>IF(USES!M89="","",USES!M89)</f>
        <v/>
      </c>
      <c r="F592" s="1659" t="str">
        <f>IF(USES!N89="","",USES!N89)</f>
        <v/>
      </c>
      <c r="H592" s="1658"/>
      <c r="I592" s="1658" t="s">
        <v>2737</v>
      </c>
      <c r="J592" s="1677"/>
      <c r="L592" s="1659" t="s">
        <v>1623</v>
      </c>
      <c r="M592" s="1659" t="str">
        <f t="shared" si="139"/>
        <v>MHF Administrative and Legal Fee (CDA/FHA Risk Sharing)</v>
      </c>
      <c r="N592" s="1687" t="str">
        <f t="shared" si="140"/>
        <v/>
      </c>
      <c r="P592" s="1658"/>
      <c r="Q592" s="1668" t="s">
        <v>1701</v>
      </c>
      <c r="R592" s="672"/>
      <c r="S592" s="672"/>
      <c r="T592" s="672"/>
      <c r="U592" s="672"/>
      <c r="V592" s="1668"/>
      <c r="X592" s="1659" t="s">
        <v>1209</v>
      </c>
      <c r="Y592" s="1686" t="str">
        <f t="shared" si="141"/>
        <v>MHF Administrative and Legal Fee (CDA/FHA Risk Sharing)</v>
      </c>
      <c r="Z592" s="1686" t="str">
        <f t="shared" si="142"/>
        <v/>
      </c>
    </row>
    <row r="593" spans="1:26" x14ac:dyDescent="0.25">
      <c r="A593" s="1655" t="s">
        <v>1178</v>
      </c>
      <c r="B593" s="1655" t="s">
        <v>1688</v>
      </c>
      <c r="C593" s="1657" t="s">
        <v>2359</v>
      </c>
      <c r="D593" s="1684" t="str">
        <f>IF(USES!J90="","",USES!J90)</f>
        <v/>
      </c>
      <c r="E593" s="1659" t="str">
        <f>IF(USES!M90="","",USES!M90)</f>
        <v/>
      </c>
      <c r="F593" s="1659" t="str">
        <f>IF(USES!N90="","",USES!N90)</f>
        <v/>
      </c>
      <c r="H593" s="1658"/>
      <c r="I593" s="1658" t="s">
        <v>2737</v>
      </c>
      <c r="J593" s="1677"/>
      <c r="L593" s="1659" t="s">
        <v>1623</v>
      </c>
      <c r="M593" s="1659" t="str">
        <f t="shared" si="139"/>
        <v>Construction Loan Period MIP (CDA/FHA Risk Sharing)</v>
      </c>
      <c r="N593" s="1686" t="str">
        <f t="shared" si="140"/>
        <v/>
      </c>
      <c r="P593" s="1655" t="s">
        <v>1620</v>
      </c>
      <c r="Q593" s="1659" t="s">
        <v>1702</v>
      </c>
      <c r="R593" s="671">
        <f>IF(D593="",0,D593)+IF(D594="",0,D594)+IF(D595="",0,D595)+IF(D596="",0,D596)+IF(D602="",0,D602)+IF(D581="",0,D581)+IF(D582="",0,D582)+IF(D583="",0,D583)+IF(D584="",0,D584)+IF(D585="",0,D585)+IF(D586="",0,D586)+IF(D587="",0,D587)+IF(D588="",0,D588)+IF(D589="",0,D589)</f>
        <v>0</v>
      </c>
      <c r="S593" s="671">
        <f>IF(E593="",0,E593)+IF(E594="",0,E594)+IF(E595="",0,E595)+IF(E596="",0,E596)+IF(E602="",0,E602)+IF(E581="",0,E581)+IF(E582="",0,E582)+IF(E583="",0,E583)+IF(E584="",0,E584)+IF(E585="",0,E585)+IF(E586="",0,E586)+IF(E587="",0,E587)+IF(E588="",0,E588)+IF(E589="",0,E589)</f>
        <v>0</v>
      </c>
      <c r="T593" s="671" t="str">
        <f>IF($T$500&lt;&gt;"4%","",IF(F593="",0,F593)+IF(F594="",0,F594)+IF(F595="",0,F595)+IF(F596="",0,F596)+IF(F602="",0,F602)+IF(F581="",0,F581)+IF(F582="",0,F582)+IF(F583="",0,F583)+IF(F584="",0,F584)+IF(F585="",0,F585)+IF(F586="",0,F586)+IF(F587="",0,F587)+IF(F588="",0,F588)+IF(F589="",0,F589))</f>
        <v/>
      </c>
      <c r="U593" s="671" t="str">
        <f>IF($T$500&lt;&gt;"9%","",IF(F593="",0,F593)+IF(F594="",0,F594)+IF(F595="",0,F595)+IF(F596="",0,F596)+IF(F602="",0,F602)+IF(F581="",0,F581)+IF(F582="",0,F582)+IF(F583="",0,F583)+IF(F584="",0,F584)+IF(F585="",0,F585)+IF(F586="",0,F586)+IF(F587="",0,F587)+IF(F588="",0,F588)+IF(F589="",0,F589))</f>
        <v/>
      </c>
      <c r="V593" s="1659" t="s">
        <v>1688</v>
      </c>
      <c r="X593" s="1659" t="s">
        <v>1209</v>
      </c>
      <c r="Y593" s="1686" t="str">
        <f>C593</f>
        <v>Construction Loan Period MIP (CDA/FHA Risk Sharing)</v>
      </c>
      <c r="Z593" s="1686" t="str">
        <f t="shared" si="142"/>
        <v/>
      </c>
    </row>
    <row r="594" spans="1:26" x14ac:dyDescent="0.25">
      <c r="A594" s="1655" t="s">
        <v>1178</v>
      </c>
      <c r="B594" s="1655" t="s">
        <v>1688</v>
      </c>
      <c r="C594" s="1657" t="s">
        <v>2360</v>
      </c>
      <c r="D594" s="1684" t="str">
        <f>IF(USES!J91="","",USES!J91)</f>
        <v/>
      </c>
      <c r="E594" s="1659" t="str">
        <f>IF(USES!M91="","",USES!M91)</f>
        <v/>
      </c>
      <c r="F594" s="1659" t="str">
        <f>IF(USES!N91="","",USES!N91)</f>
        <v/>
      </c>
      <c r="H594" s="1658"/>
      <c r="I594" s="1658" t="s">
        <v>2737</v>
      </c>
      <c r="J594" s="1677"/>
      <c r="L594" s="1659" t="s">
        <v>1623</v>
      </c>
      <c r="M594" s="1659" t="str">
        <f t="shared" si="139"/>
        <v>First Year's Permanent MIP (CDA/FHA Risk Sharing)</v>
      </c>
      <c r="N594" s="1686" t="str">
        <f t="shared" si="140"/>
        <v/>
      </c>
      <c r="P594" s="1658"/>
      <c r="Q594" s="1668" t="s">
        <v>1702</v>
      </c>
      <c r="R594" s="672"/>
      <c r="S594" s="672"/>
      <c r="T594" s="672"/>
      <c r="U594" s="672"/>
      <c r="V594" s="1668"/>
      <c r="X594" s="1659" t="s">
        <v>1209</v>
      </c>
      <c r="Y594" s="1686" t="str">
        <f t="shared" si="141"/>
        <v>First Year's Permanent MIP (CDA/FHA Risk Sharing)</v>
      </c>
      <c r="Z594" s="1686" t="str">
        <f t="shared" si="142"/>
        <v/>
      </c>
    </row>
    <row r="595" spans="1:26" x14ac:dyDescent="0.25">
      <c r="A595" s="1655" t="s">
        <v>1178</v>
      </c>
      <c r="B595" s="1655" t="s">
        <v>1688</v>
      </c>
      <c r="C595" s="1657" t="s">
        <v>2554</v>
      </c>
      <c r="D595" s="1684" t="str">
        <f>IF(USES!J92="","",USES!J92)</f>
        <v/>
      </c>
      <c r="E595" s="1659" t="str">
        <f>IF(USES!M92="","",USES!M92)</f>
        <v/>
      </c>
      <c r="F595" s="1659" t="str">
        <f>IF(USES!N92="","",USES!N92)</f>
        <v/>
      </c>
      <c r="H595" s="1658"/>
      <c r="I595" s="1658" t="s">
        <v>2736</v>
      </c>
      <c r="J595" s="1677"/>
      <c r="L595" s="1659" t="s">
        <v>1623</v>
      </c>
      <c r="M595" s="1659" t="str">
        <f t="shared" si="139"/>
        <v>CDA Closing Attorney's Fees</v>
      </c>
      <c r="N595" s="1686" t="str">
        <f t="shared" si="140"/>
        <v/>
      </c>
      <c r="O595" s="1446"/>
      <c r="P595" s="1658"/>
      <c r="Q595" s="1668" t="s">
        <v>1702</v>
      </c>
      <c r="R595" s="672"/>
      <c r="S595" s="672"/>
      <c r="T595" s="672"/>
      <c r="U595" s="672"/>
      <c r="V595" s="1668"/>
      <c r="X595" s="1659" t="s">
        <v>1209</v>
      </c>
      <c r="Y595" s="1686" t="str">
        <f>C595</f>
        <v>CDA Closing Attorney's Fees</v>
      </c>
      <c r="Z595" s="1686" t="str">
        <f t="shared" si="142"/>
        <v/>
      </c>
    </row>
    <row r="596" spans="1:26" x14ac:dyDescent="0.25">
      <c r="A596" s="1655" t="s">
        <v>1178</v>
      </c>
      <c r="B596" s="1655" t="s">
        <v>1688</v>
      </c>
      <c r="C596" s="1657" t="s">
        <v>2738</v>
      </c>
      <c r="D596" s="1684" t="str">
        <f>IF(USES!J93="","",USES!J93)</f>
        <v/>
      </c>
      <c r="E596" s="1659" t="str">
        <f>IF(USES!M93="","",USES!M93)</f>
        <v/>
      </c>
      <c r="F596" s="1659" t="str">
        <f>IF(USES!N93="","",USES!N93)</f>
        <v/>
      </c>
      <c r="H596" s="1658"/>
      <c r="I596" s="1658" t="s">
        <v>2736</v>
      </c>
      <c r="J596" s="1677"/>
      <c r="L596" s="1659" t="s">
        <v>1623</v>
      </c>
      <c r="M596" s="1659" t="str">
        <f t="shared" si="139"/>
        <v>CDA Tax Escrow Fee (All Bond Executions)</v>
      </c>
      <c r="N596" s="1659" t="str">
        <f t="shared" si="140"/>
        <v/>
      </c>
      <c r="O596" s="1446"/>
      <c r="P596" s="1658"/>
      <c r="Q596" s="1668" t="s">
        <v>1702</v>
      </c>
      <c r="R596" s="672"/>
      <c r="S596" s="672"/>
      <c r="T596" s="672"/>
      <c r="U596" s="672"/>
      <c r="V596" s="1668"/>
      <c r="X596" s="1659" t="s">
        <v>1209</v>
      </c>
      <c r="Y596" s="1686" t="str">
        <f t="shared" si="141"/>
        <v>CDA Tax Escrow Fee (All Bond Executions)</v>
      </c>
      <c r="Z596" s="1686" t="str">
        <f t="shared" si="142"/>
        <v/>
      </c>
    </row>
    <row r="597" spans="1:26" x14ac:dyDescent="0.25">
      <c r="A597" s="1655" t="s">
        <v>1178</v>
      </c>
      <c r="B597" s="1655" t="s">
        <v>1688</v>
      </c>
      <c r="C597" s="1657" t="s">
        <v>2357</v>
      </c>
      <c r="D597" s="1684" t="str">
        <f>IF(USES!J94="","",USES!J94)</f>
        <v/>
      </c>
      <c r="E597" s="1659" t="str">
        <f>IF(USES!M94="","",USES!M94)</f>
        <v/>
      </c>
      <c r="F597" s="1659" t="str">
        <f>IF(USES!N94="","",USES!N94)</f>
        <v/>
      </c>
      <c r="H597" s="1658"/>
      <c r="I597" s="1658" t="s">
        <v>2736</v>
      </c>
      <c r="J597" s="1677"/>
      <c r="L597" s="1659" t="s">
        <v>1623</v>
      </c>
      <c r="M597" s="1659" t="str">
        <f t="shared" si="139"/>
        <v>CDA Bond Financing Fee (Risk Sharing, LT GNMA, FTEL, FNMA MTEB)</v>
      </c>
      <c r="N597" s="1659" t="str">
        <f t="shared" si="140"/>
        <v/>
      </c>
      <c r="O597" s="1446"/>
      <c r="P597" s="1655" t="s">
        <v>1620</v>
      </c>
      <c r="Q597" s="1659" t="s">
        <v>1704</v>
      </c>
      <c r="R597" s="671">
        <f>IF(D597="",0,D597)+IF(D598="",0,D598)+IF(D599="",0,D599)+IF(D600="",0,D600)</f>
        <v>0</v>
      </c>
      <c r="S597" s="671">
        <f>IF(E597="",0,E597)+IF(E598="",0,E598)+IF(E599="",0,E599)+IF(E600="",0,E600)</f>
        <v>0</v>
      </c>
      <c r="T597" s="671" t="str">
        <f>IF($T$500&lt;&gt;"4%","",IF(F597="",0,F597)+IF(F598="",0,F598)+IF(F599="",0,F599)+IF(F600="",0,F600))</f>
        <v/>
      </c>
      <c r="U597" s="671" t="str">
        <f>IF($T$500&lt;&gt;"9%","",IF(F597="",0,F597)+IF(F598="",0,F598)+IF(F599="",0,F599)+IF(F600="",0,F600))</f>
        <v/>
      </c>
      <c r="V597" s="1659" t="s">
        <v>1688</v>
      </c>
      <c r="X597" s="1659" t="s">
        <v>1209</v>
      </c>
      <c r="Y597" s="1686" t="str">
        <f t="shared" si="141"/>
        <v>CDA Bond Financing Fee (Risk Sharing, LT GNMA, FTEL, FNMA MTEB)</v>
      </c>
      <c r="Z597" s="1686" t="str">
        <f t="shared" si="142"/>
        <v/>
      </c>
    </row>
    <row r="598" spans="1:26" x14ac:dyDescent="0.25">
      <c r="A598" s="1655" t="s">
        <v>1178</v>
      </c>
      <c r="B598" s="1655" t="s">
        <v>1688</v>
      </c>
      <c r="C598" s="1657" t="s">
        <v>2350</v>
      </c>
      <c r="D598" s="1684" t="str">
        <f>IF(USES!J95="","",USES!J95)</f>
        <v/>
      </c>
      <c r="E598" s="1659" t="str">
        <f>IF(USES!M95="","",USES!M95)</f>
        <v/>
      </c>
      <c r="F598" s="1659" t="str">
        <f>IF(USES!N95="","",USES!N95)</f>
        <v/>
      </c>
      <c r="H598" s="1658"/>
      <c r="I598" s="1658" t="s">
        <v>2736</v>
      </c>
      <c r="J598" s="1677"/>
      <c r="L598" s="1659" t="s">
        <v>1623</v>
      </c>
      <c r="M598" s="1659" t="str">
        <f t="shared" si="139"/>
        <v>CDA Bond Financing Fee (TX-TE GNMA)</v>
      </c>
      <c r="N598" s="1659" t="str">
        <f t="shared" si="140"/>
        <v/>
      </c>
      <c r="O598" s="1446"/>
      <c r="P598" s="1658"/>
      <c r="Q598" s="1668" t="s">
        <v>1704</v>
      </c>
      <c r="R598" s="672"/>
      <c r="S598" s="672"/>
      <c r="T598" s="672"/>
      <c r="U598" s="672"/>
      <c r="V598" s="1668"/>
      <c r="X598" s="1659" t="s">
        <v>1209</v>
      </c>
      <c r="Y598" s="1686" t="str">
        <f t="shared" si="141"/>
        <v>CDA Bond Financing Fee (TX-TE GNMA)</v>
      </c>
      <c r="Z598" s="1686" t="str">
        <f t="shared" si="142"/>
        <v/>
      </c>
    </row>
    <row r="599" spans="1:26" x14ac:dyDescent="0.25">
      <c r="A599" s="1655" t="s">
        <v>1178</v>
      </c>
      <c r="B599" s="1655" t="s">
        <v>1688</v>
      </c>
      <c r="C599" s="1657" t="s">
        <v>2362</v>
      </c>
      <c r="D599" s="1684" t="str">
        <f>IF(USES!J96="","",USES!J96)</f>
        <v/>
      </c>
      <c r="E599" s="1659" t="str">
        <f>IF(USES!M96="","",USES!M96)</f>
        <v/>
      </c>
      <c r="F599" s="1659" t="str">
        <f>IF(USES!N96="","",USES!N96)</f>
        <v/>
      </c>
      <c r="H599" s="1658"/>
      <c r="I599" s="1658" t="s">
        <v>1703</v>
      </c>
      <c r="J599" s="1677"/>
      <c r="L599" s="1659" t="s">
        <v>1623</v>
      </c>
      <c r="M599" s="1659" t="str">
        <f t="shared" si="139"/>
        <v>Trustee Fee (TX-TE GNMA, FTEL, FNMA MTEB)</v>
      </c>
      <c r="N599" s="1659" t="str">
        <f t="shared" si="140"/>
        <v/>
      </c>
      <c r="O599" s="1446"/>
      <c r="P599" s="1658"/>
      <c r="Q599" s="1668" t="s">
        <v>1704</v>
      </c>
      <c r="R599" s="672"/>
      <c r="S599" s="672"/>
      <c r="T599" s="672"/>
      <c r="U599" s="672"/>
      <c r="V599" s="1668"/>
      <c r="X599" s="1659" t="s">
        <v>1209</v>
      </c>
      <c r="Y599" s="1686" t="str">
        <f t="shared" si="141"/>
        <v>Trustee Fee (TX-TE GNMA, FTEL, FNMA MTEB)</v>
      </c>
      <c r="Z599" s="1686" t="str">
        <f t="shared" si="142"/>
        <v/>
      </c>
    </row>
    <row r="600" spans="1:26" x14ac:dyDescent="0.25">
      <c r="A600" s="1655" t="s">
        <v>1178</v>
      </c>
      <c r="B600" s="1655" t="s">
        <v>1688</v>
      </c>
      <c r="C600" s="1657" t="s">
        <v>2739</v>
      </c>
      <c r="D600" s="1684" t="str">
        <f>IF(USES!J97="","",USES!J97)</f>
        <v/>
      </c>
      <c r="E600" s="1659" t="str">
        <f>IF(USES!M97="","",USES!M97)</f>
        <v/>
      </c>
      <c r="F600" s="1659" t="str">
        <f>IF(USES!N97="","",USES!N97)</f>
        <v/>
      </c>
      <c r="H600" s="1658"/>
      <c r="I600" s="1658" t="s">
        <v>1703</v>
      </c>
      <c r="J600" s="1677"/>
      <c r="L600" s="1659" t="s">
        <v>1623</v>
      </c>
      <c r="M600" s="1659" t="str">
        <f t="shared" si="139"/>
        <v>Rebate Analyst Fee (All Bond Executions)</v>
      </c>
      <c r="N600" s="1659" t="str">
        <f t="shared" si="140"/>
        <v/>
      </c>
      <c r="O600" s="1446"/>
      <c r="P600" s="1658"/>
      <c r="Q600" s="1668" t="s">
        <v>1704</v>
      </c>
      <c r="R600" s="672"/>
      <c r="S600" s="672"/>
      <c r="T600" s="672"/>
      <c r="U600" s="672"/>
      <c r="V600" s="1668"/>
      <c r="X600" s="1659" t="s">
        <v>1209</v>
      </c>
      <c r="Y600" s="1686" t="str">
        <f t="shared" si="141"/>
        <v>Rebate Analyst Fee (All Bond Executions)</v>
      </c>
      <c r="Z600" s="1686" t="str">
        <f t="shared" si="142"/>
        <v/>
      </c>
    </row>
    <row r="601" spans="1:26" x14ac:dyDescent="0.25">
      <c r="A601" s="1655" t="s">
        <v>1178</v>
      </c>
      <c r="B601" s="1655" t="s">
        <v>1688</v>
      </c>
      <c r="C601" s="1657" t="s">
        <v>2195</v>
      </c>
      <c r="D601" s="1684" t="str">
        <f>IF(USES!J98="","",USES!J98)</f>
        <v/>
      </c>
      <c r="E601" s="1659" t="str">
        <f>IF(USES!M98="","",USES!M98)</f>
        <v/>
      </c>
      <c r="F601" s="1659" t="str">
        <f>IF(USES!N98="","",USES!N98)</f>
        <v/>
      </c>
      <c r="H601" s="1658"/>
      <c r="I601" s="1658" t="s">
        <v>1703</v>
      </c>
      <c r="J601" s="1677"/>
      <c r="L601" s="1659" t="s">
        <v>1623</v>
      </c>
      <c r="M601" s="1659" t="str">
        <f t="shared" si="139"/>
        <v>MHF Short Term Bond Loan Insurance</v>
      </c>
      <c r="N601" s="1659" t="str">
        <f t="shared" si="140"/>
        <v/>
      </c>
      <c r="O601" s="1446"/>
      <c r="P601" s="1658"/>
      <c r="Q601" s="1668" t="s">
        <v>1701</v>
      </c>
      <c r="R601" s="672"/>
      <c r="S601" s="672"/>
      <c r="T601" s="672"/>
      <c r="U601" s="672"/>
      <c r="V601" s="1668"/>
      <c r="X601" s="1659" t="s">
        <v>1209</v>
      </c>
      <c r="Y601" s="1686" t="str">
        <f t="shared" si="141"/>
        <v>MHF Short Term Bond Loan Insurance</v>
      </c>
      <c r="Z601" s="1686" t="str">
        <f t="shared" si="142"/>
        <v/>
      </c>
    </row>
    <row r="602" spans="1:26" x14ac:dyDescent="0.25">
      <c r="A602" s="1655" t="s">
        <v>1178</v>
      </c>
      <c r="B602" s="1655" t="s">
        <v>1688</v>
      </c>
      <c r="C602" s="1657" t="s">
        <v>2555</v>
      </c>
      <c r="D602" s="1684" t="str">
        <f>IF(USES!J99="","",USES!J99)</f>
        <v/>
      </c>
      <c r="E602" s="1659" t="str">
        <f>IF(USES!M99="","",USES!M99)</f>
        <v/>
      </c>
      <c r="F602" s="1659" t="str">
        <f>IF(USES!N99="","",USES!N99)</f>
        <v/>
      </c>
      <c r="H602" s="1658"/>
      <c r="I602" s="1658" t="s">
        <v>1703</v>
      </c>
      <c r="J602" s="1677"/>
      <c r="L602" s="1659" t="s">
        <v>1623</v>
      </c>
      <c r="M602" s="1659" t="str">
        <f t="shared" si="139"/>
        <v>Conversion to Perm Fee (FTEL, FNMA MTEB)</v>
      </c>
      <c r="N602" s="1659" t="str">
        <f t="shared" si="140"/>
        <v/>
      </c>
      <c r="O602" s="1446"/>
      <c r="P602" s="1658"/>
      <c r="Q602" s="1668" t="s">
        <v>1702</v>
      </c>
      <c r="R602" s="672"/>
      <c r="S602" s="672"/>
      <c r="T602" s="672"/>
      <c r="U602" s="672"/>
      <c r="V602" s="1668"/>
      <c r="X602" s="1659" t="s">
        <v>1209</v>
      </c>
      <c r="Y602" s="1686" t="str">
        <f t="shared" si="141"/>
        <v>Conversion to Perm Fee (FTEL, FNMA MTEB)</v>
      </c>
      <c r="Z602" s="1686" t="str">
        <f t="shared" si="142"/>
        <v/>
      </c>
    </row>
    <row r="603" spans="1:26" x14ac:dyDescent="0.25">
      <c r="A603" s="1655" t="s">
        <v>1178</v>
      </c>
      <c r="B603" s="1655" t="s">
        <v>1688</v>
      </c>
      <c r="C603" s="1657" t="s">
        <v>773</v>
      </c>
      <c r="D603" s="1684" t="str">
        <f>IF(USES!J100="","",USES!J100)</f>
        <v/>
      </c>
      <c r="E603" s="1659" t="str">
        <f>IF(USES!M100="","",USES!M100)</f>
        <v/>
      </c>
      <c r="F603" s="1659" t="str">
        <f>IF(USES!N100="","",USES!N100)</f>
        <v/>
      </c>
      <c r="H603" s="1658"/>
      <c r="I603" s="1658" t="s">
        <v>1703</v>
      </c>
      <c r="J603" s="1677"/>
      <c r="L603" s="1659" t="s">
        <v>1623</v>
      </c>
      <c r="M603" s="1659" t="str">
        <f t="shared" si="139"/>
        <v>Other Lenders' Origination Fees (non-syndication only)</v>
      </c>
      <c r="N603" s="1687" t="str">
        <f t="shared" si="140"/>
        <v/>
      </c>
      <c r="O603" s="1446"/>
      <c r="P603" s="1655" t="s">
        <v>1620</v>
      </c>
      <c r="Q603" s="1659" t="s">
        <v>1696</v>
      </c>
      <c r="R603" s="671">
        <f>IF(D573="",0,D573)+IF(D603="",0,D603)+IF(D604="",0,D604)+IF(D605="",0,D605)+IF(D606="",0,D606)+IF(D607="",0,D607)+IF(D608="",0,D608)+IF(D609="",0,D609)+IF(D610="",0,D610)+IF(D611="",0,D611)+IF(D615="",0,D615)+IF(D612="",0,D612)+IF(D613="",0,D613)+IF(D614="",0,D614)</f>
        <v>0</v>
      </c>
      <c r="S603" s="671">
        <f>IF(E573="",0,E573)+IF(E603="",0,E603)+IF(E604="",0,E604)+IF(E605="",0,E605)+IF(E606="",0,E606)+IF(E607="",0,E607)+IF(E608="",0,E608)+IF(E609="",0,E609)+IF(E610="",0,E610)+IF(E611="",0,E611)+IF(E615="",0,E615)+IF(E612="",0,E612)+IF(E613="",0,E613)+IF(E614="",0,E614)</f>
        <v>0</v>
      </c>
      <c r="T603" s="671" t="str">
        <f>IF($T$500&lt;&gt;"4%","",IF(F573="",0,F573)+IF(F603="",0,F603)+IF(F604="",0,F604)+IF(F605="",0,F605)+IF(F606="",0,F606)+IF(F607="",0,F607)+IF(F608="",0,F608)+IF(F609="",0,F609)+IF(F610="",0,F610)+IF(F611="",0,F611)+IF(F615="",0,F615)+IF(F612="",0,F612)+IF(F613="",0,F613)+IF(F614="",0,F614))</f>
        <v/>
      </c>
      <c r="U603" s="671" t="str">
        <f>IF($T$500&lt;&gt;"9%","",IF(F573="",0,F573)+IF(F603="",0,F603)+IF(F604="",0,F604)+IF(F605="",0,F605)+IF(F606="",0,F606)+IF(F607="",0,F607)+IF(F608="",0,F608)+IF(F609="",0,F609)+IF(F610="",0,F610)+IF(F611="",0,F611)+IF(F615="",0,F615)+IF(F612="",0,F612)+IF(F613="",0,F613)+IF(F614="",0,F614))</f>
        <v/>
      </c>
      <c r="V603" s="1659" t="s">
        <v>1688</v>
      </c>
      <c r="X603" s="1659" t="s">
        <v>1209</v>
      </c>
      <c r="Y603" s="1686" t="str">
        <f t="shared" si="141"/>
        <v>Other Lenders' Origination Fees (non-syndication only)</v>
      </c>
      <c r="Z603" s="1686" t="str">
        <f t="shared" si="142"/>
        <v/>
      </c>
    </row>
    <row r="604" spans="1:26" x14ac:dyDescent="0.25">
      <c r="A604" s="1655" t="s">
        <v>1178</v>
      </c>
      <c r="B604" s="1655" t="s">
        <v>1688</v>
      </c>
      <c r="C604" s="1657" t="s">
        <v>774</v>
      </c>
      <c r="D604" s="1684" t="str">
        <f>IF(USES!J101="","",USES!J101)</f>
        <v/>
      </c>
      <c r="E604" s="1659" t="str">
        <f>IF(USES!M101="","",USES!M101)</f>
        <v/>
      </c>
      <c r="F604" s="1659" t="str">
        <f>IF(USES!N101="","",USES!N101)</f>
        <v/>
      </c>
      <c r="H604" s="1658"/>
      <c r="I604" s="1658" t="s">
        <v>1703</v>
      </c>
      <c r="J604" s="1677"/>
      <c r="L604" s="1659" t="s">
        <v>1623</v>
      </c>
      <c r="M604" s="1659" t="str">
        <f t="shared" si="139"/>
        <v>Other Lenders' Legal Fees (non-syndication only)</v>
      </c>
      <c r="N604" s="1687" t="str">
        <f t="shared" si="140"/>
        <v/>
      </c>
      <c r="O604" s="1446"/>
      <c r="P604" s="1658"/>
      <c r="Q604" s="1668" t="s">
        <v>1696</v>
      </c>
      <c r="R604" s="672"/>
      <c r="S604" s="672"/>
      <c r="T604" s="672"/>
      <c r="U604" s="672"/>
      <c r="V604" s="1668"/>
      <c r="X604" s="1659" t="s">
        <v>1209</v>
      </c>
      <c r="Y604" s="1686" t="str">
        <f t="shared" si="141"/>
        <v>Other Lenders' Legal Fees (non-syndication only)</v>
      </c>
      <c r="Z604" s="1686" t="str">
        <f t="shared" si="142"/>
        <v/>
      </c>
    </row>
    <row r="605" spans="1:26" x14ac:dyDescent="0.25">
      <c r="A605" s="1655" t="s">
        <v>1178</v>
      </c>
      <c r="B605" s="1655" t="s">
        <v>1688</v>
      </c>
      <c r="C605" s="1657" t="s">
        <v>2348</v>
      </c>
      <c r="D605" s="1684" t="str">
        <f>IF(USES!J102="","",USES!J102)</f>
        <v/>
      </c>
      <c r="E605" s="1659" t="str">
        <f>IF(USES!M102="","",USES!M102)</f>
        <v/>
      </c>
      <c r="F605" s="1659" t="str">
        <f>IF(USES!N102="","",USES!N102)</f>
        <v/>
      </c>
      <c r="H605" s="1658"/>
      <c r="I605" s="1658" t="s">
        <v>1703</v>
      </c>
      <c r="J605" s="1677"/>
      <c r="L605" s="1659" t="s">
        <v>1623</v>
      </c>
      <c r="M605" s="1659" t="str">
        <f t="shared" si="139"/>
        <v>Other Lenders' Due Diligence Fees (non-syndication only)</v>
      </c>
      <c r="N605" s="1659" t="str">
        <f t="shared" si="140"/>
        <v/>
      </c>
      <c r="O605" s="1446"/>
      <c r="P605" s="1658"/>
      <c r="Q605" s="1668" t="s">
        <v>1696</v>
      </c>
      <c r="R605" s="672"/>
      <c r="S605" s="672"/>
      <c r="T605" s="672"/>
      <c r="U605" s="672"/>
      <c r="V605" s="1668"/>
      <c r="X605" s="1659" t="s">
        <v>1209</v>
      </c>
      <c r="Y605" s="1686" t="str">
        <f t="shared" si="141"/>
        <v>Other Lenders' Due Diligence Fees (non-syndication only)</v>
      </c>
      <c r="Z605" s="1686" t="str">
        <f t="shared" si="142"/>
        <v/>
      </c>
    </row>
    <row r="606" spans="1:26" x14ac:dyDescent="0.25">
      <c r="A606" s="1655" t="s">
        <v>1178</v>
      </c>
      <c r="B606" s="1655" t="s">
        <v>1688</v>
      </c>
      <c r="C606" s="1657" t="s">
        <v>775</v>
      </c>
      <c r="D606" s="1684" t="str">
        <f>IF(USES!J103="","",USES!J103)</f>
        <v/>
      </c>
      <c r="E606" s="1659" t="str">
        <f>IF(USES!M103="","",USES!M103)</f>
        <v/>
      </c>
      <c r="F606" s="1659" t="str">
        <f>IF(USES!N103="","",USES!N103)</f>
        <v/>
      </c>
      <c r="H606" s="1664" t="s">
        <v>1623</v>
      </c>
      <c r="I606" s="1664" t="s">
        <v>1695</v>
      </c>
      <c r="J606" s="1684" t="str">
        <f>IF(IF(D606="",0,D606)+IF(D607="",0,D607)+IF(D608="",0,D608)+IF(D609="",0,D609)+IF(D610="",0,D610)+IF(D611="",0,D611)+IF(D612="",0,D612)+IF(D613="",0,D613)+IF(D614="",0,D614)+IF(D615="",0,D615)=0,"",IF(D606="",0,D606)+IF(D607="",0,D607)+IF(D608="",0,D608)+IF(D609="",0,D609)+IF(D610="",0,D610)+IF(D611="",0,D611)+IF(D612="",0,D612)+IF(D613="",0,D613)+IF(D614="",0,D614)+IF(D615="",0,D615))</f>
        <v/>
      </c>
      <c r="L606" s="1659" t="s">
        <v>1623</v>
      </c>
      <c r="M606" s="1659" t="str">
        <f t="shared" si="139"/>
        <v>FHA Lender Legal</v>
      </c>
      <c r="N606" s="1686" t="str">
        <f t="shared" si="140"/>
        <v/>
      </c>
      <c r="O606" s="1446"/>
      <c r="P606" s="1658"/>
      <c r="Q606" s="1668" t="s">
        <v>1696</v>
      </c>
      <c r="R606" s="672"/>
      <c r="S606" s="672"/>
      <c r="T606" s="672"/>
      <c r="U606" s="672"/>
      <c r="V606" s="1668"/>
      <c r="X606" s="1659" t="s">
        <v>1209</v>
      </c>
      <c r="Y606" s="1686" t="str">
        <f t="shared" si="141"/>
        <v>FHA Lender Legal</v>
      </c>
      <c r="Z606" s="1686" t="str">
        <f t="shared" si="142"/>
        <v/>
      </c>
    </row>
    <row r="607" spans="1:26" x14ac:dyDescent="0.25">
      <c r="A607" s="1655" t="s">
        <v>1178</v>
      </c>
      <c r="B607" s="1655" t="s">
        <v>1688</v>
      </c>
      <c r="C607" s="1657" t="s">
        <v>2461</v>
      </c>
      <c r="D607" s="1684" t="str">
        <f>IF(USES!J104="","",USES!J104)</f>
        <v/>
      </c>
      <c r="E607" s="1659" t="str">
        <f>IF(USES!M104="","",USES!M104)</f>
        <v/>
      </c>
      <c r="F607" s="1659" t="str">
        <f>IF(USES!N104="","",USES!N104)</f>
        <v/>
      </c>
      <c r="H607" s="1658"/>
      <c r="I607" s="1658" t="s">
        <v>1695</v>
      </c>
      <c r="J607" s="1677"/>
      <c r="L607" s="1659" t="s">
        <v>1623</v>
      </c>
      <c r="M607" s="1659" t="str">
        <f t="shared" si="139"/>
        <v>FHA Lender Commitment Fee</v>
      </c>
      <c r="N607" s="1686" t="str">
        <f t="shared" si="140"/>
        <v/>
      </c>
      <c r="O607" s="1446"/>
      <c r="P607" s="1658"/>
      <c r="Q607" s="1668" t="s">
        <v>1696</v>
      </c>
      <c r="R607" s="672"/>
      <c r="S607" s="672"/>
      <c r="T607" s="672"/>
      <c r="U607" s="672"/>
      <c r="V607" s="1668"/>
      <c r="X607" s="1659" t="s">
        <v>1209</v>
      </c>
      <c r="Y607" s="1686" t="str">
        <f t="shared" si="141"/>
        <v>FHA Lender Commitment Fee</v>
      </c>
      <c r="Z607" s="1686" t="str">
        <f t="shared" si="142"/>
        <v/>
      </c>
    </row>
    <row r="608" spans="1:26" x14ac:dyDescent="0.25">
      <c r="A608" s="1655" t="s">
        <v>1178</v>
      </c>
      <c r="B608" s="1655" t="s">
        <v>1688</v>
      </c>
      <c r="C608" s="1657" t="s">
        <v>2462</v>
      </c>
      <c r="D608" s="1684" t="str">
        <f>IF(USES!J105="","",USES!J105)</f>
        <v/>
      </c>
      <c r="E608" s="1659" t="str">
        <f>IF(USES!M105="","",USES!M105)</f>
        <v/>
      </c>
      <c r="F608" s="1659" t="str">
        <f>IF(USES!N105="","",USES!N105)</f>
        <v/>
      </c>
      <c r="H608" s="1658"/>
      <c r="I608" s="1658" t="s">
        <v>1695</v>
      </c>
      <c r="J608" s="1677"/>
      <c r="L608" s="1659" t="s">
        <v>1623</v>
      </c>
      <c r="M608" s="1659" t="str">
        <f t="shared" si="139"/>
        <v>FHA Lender Inspection Fee</v>
      </c>
      <c r="N608" s="1686" t="str">
        <f t="shared" si="140"/>
        <v/>
      </c>
      <c r="O608" s="1446"/>
      <c r="P608" s="1658"/>
      <c r="Q608" s="1668" t="s">
        <v>1696</v>
      </c>
      <c r="R608" s="672"/>
      <c r="S608" s="672"/>
      <c r="T608" s="672"/>
      <c r="U608" s="672"/>
      <c r="V608" s="1668"/>
      <c r="X608" s="1659" t="s">
        <v>1209</v>
      </c>
      <c r="Y608" s="1686" t="str">
        <f t="shared" si="141"/>
        <v>FHA Lender Inspection Fee</v>
      </c>
      <c r="Z608" s="1686" t="str">
        <f t="shared" si="142"/>
        <v/>
      </c>
    </row>
    <row r="609" spans="1:26" x14ac:dyDescent="0.25">
      <c r="A609" s="1655" t="s">
        <v>1178</v>
      </c>
      <c r="B609" s="1655" t="s">
        <v>1688</v>
      </c>
      <c r="C609" s="1657" t="s">
        <v>776</v>
      </c>
      <c r="D609" s="1684" t="str">
        <f>IF(USES!J106="","",USES!J106)</f>
        <v/>
      </c>
      <c r="E609" s="1659" t="str">
        <f>IF(USES!M106="","",USES!M106)</f>
        <v/>
      </c>
      <c r="F609" s="1659" t="str">
        <f>IF(USES!N106="","",USES!N106)</f>
        <v/>
      </c>
      <c r="H609" s="1658"/>
      <c r="I609" s="1658" t="s">
        <v>1695</v>
      </c>
      <c r="J609" s="1677"/>
      <c r="L609" s="1659" t="s">
        <v>1623</v>
      </c>
      <c r="M609" s="1659" t="str">
        <f t="shared" si="139"/>
        <v>FHA Lender Fee</v>
      </c>
      <c r="N609" s="1686" t="str">
        <f t="shared" si="140"/>
        <v/>
      </c>
      <c r="O609" s="1446"/>
      <c r="P609" s="1658"/>
      <c r="Q609" s="1668" t="s">
        <v>1696</v>
      </c>
      <c r="R609" s="672"/>
      <c r="S609" s="672"/>
      <c r="T609" s="672"/>
      <c r="U609" s="672"/>
      <c r="V609" s="1668"/>
      <c r="X609" s="1659" t="s">
        <v>1209</v>
      </c>
      <c r="Y609" s="1686" t="str">
        <f t="shared" si="141"/>
        <v>FHA Lender Fee</v>
      </c>
      <c r="Z609" s="1686" t="str">
        <f t="shared" si="142"/>
        <v/>
      </c>
    </row>
    <row r="610" spans="1:26" x14ac:dyDescent="0.25">
      <c r="A610" s="1655" t="s">
        <v>1178</v>
      </c>
      <c r="B610" s="1655" t="s">
        <v>1688</v>
      </c>
      <c r="C610" s="1657" t="s">
        <v>777</v>
      </c>
      <c r="D610" s="1684" t="str">
        <f>IF(USES!J107="","",USES!J107)</f>
        <v/>
      </c>
      <c r="E610" s="1659" t="str">
        <f>IF(USES!M107="","",USES!M107)</f>
        <v/>
      </c>
      <c r="F610" s="1659" t="str">
        <f>IF(USES!N107="","",USES!N107)</f>
        <v/>
      </c>
      <c r="H610" s="1658"/>
      <c r="I610" s="1658" t="s">
        <v>1695</v>
      </c>
      <c r="J610" s="1677"/>
      <c r="L610" s="1659" t="s">
        <v>1623</v>
      </c>
      <c r="M610" s="1659" t="str">
        <f t="shared" si="139"/>
        <v>FHA Lender Due Diligence</v>
      </c>
      <c r="N610" s="1686" t="str">
        <f t="shared" si="140"/>
        <v/>
      </c>
      <c r="O610" s="1446"/>
      <c r="P610" s="1658"/>
      <c r="Q610" s="1668" t="s">
        <v>1696</v>
      </c>
      <c r="R610" s="672"/>
      <c r="S610" s="672"/>
      <c r="T610" s="672"/>
      <c r="U610" s="672"/>
      <c r="V610" s="1668"/>
      <c r="X610" s="1659" t="s">
        <v>1209</v>
      </c>
      <c r="Y610" s="1686" t="str">
        <f t="shared" si="141"/>
        <v>FHA Lender Due Diligence</v>
      </c>
      <c r="Z610" s="1686" t="str">
        <f t="shared" si="142"/>
        <v/>
      </c>
    </row>
    <row r="611" spans="1:26" x14ac:dyDescent="0.25">
      <c r="A611" s="1655" t="s">
        <v>1178</v>
      </c>
      <c r="B611" s="1655" t="s">
        <v>1688</v>
      </c>
      <c r="C611" s="1657" t="s">
        <v>2463</v>
      </c>
      <c r="D611" s="1684" t="str">
        <f>IF(USES!J108="","",USES!J108)</f>
        <v/>
      </c>
      <c r="E611" s="1659" t="str">
        <f>IF(USES!M108="","",USES!M108)</f>
        <v/>
      </c>
      <c r="F611" s="1659" t="str">
        <f>IF(USES!N108="","",USES!N108)</f>
        <v/>
      </c>
      <c r="H611" s="1658"/>
      <c r="I611" s="1658" t="s">
        <v>1695</v>
      </c>
      <c r="J611" s="1677"/>
      <c r="L611" s="1659" t="s">
        <v>1623</v>
      </c>
      <c r="M611" s="1659" t="str">
        <f t="shared" si="139"/>
        <v>FHA Lender Processing Fee</v>
      </c>
      <c r="N611" s="1686" t="str">
        <f t="shared" si="140"/>
        <v/>
      </c>
      <c r="O611" s="1446"/>
      <c r="P611" s="1658"/>
      <c r="Q611" s="1668" t="s">
        <v>1696</v>
      </c>
      <c r="R611" s="672"/>
      <c r="S611" s="672"/>
      <c r="T611" s="672"/>
      <c r="U611" s="672"/>
      <c r="V611" s="1668"/>
      <c r="X611" s="1659" t="s">
        <v>1209</v>
      </c>
      <c r="Y611" s="1686" t="str">
        <f t="shared" si="141"/>
        <v>FHA Lender Processing Fee</v>
      </c>
      <c r="Z611" s="1686" t="str">
        <f t="shared" si="142"/>
        <v/>
      </c>
    </row>
    <row r="612" spans="1:26" x14ac:dyDescent="0.25">
      <c r="A612" s="1655" t="s">
        <v>1178</v>
      </c>
      <c r="B612" s="1655" t="s">
        <v>1688</v>
      </c>
      <c r="C612" s="1657" t="s">
        <v>1329</v>
      </c>
      <c r="D612" s="1684" t="str">
        <f>IF(USES!J109="","",USES!J109)</f>
        <v/>
      </c>
      <c r="E612" s="1659" t="str">
        <f>IF(USES!M109="","",USES!M109)</f>
        <v/>
      </c>
      <c r="F612" s="1659" t="str">
        <f>IF(USES!N109="","",USES!N109)</f>
        <v/>
      </c>
      <c r="H612" s="1692"/>
      <c r="I612" s="1658" t="s">
        <v>1695</v>
      </c>
      <c r="J612" s="1693"/>
      <c r="L612" s="1659" t="s">
        <v>1623</v>
      </c>
      <c r="M612" s="1689" t="str">
        <f t="shared" si="139"/>
        <v>Other 1</v>
      </c>
      <c r="N612" s="1687"/>
      <c r="O612" s="1446"/>
      <c r="P612" s="1692"/>
      <c r="Q612" s="1668" t="s">
        <v>1696</v>
      </c>
      <c r="R612" s="1420"/>
      <c r="S612" s="1420"/>
      <c r="T612" s="1420"/>
      <c r="U612" s="1420"/>
      <c r="V612" s="1688"/>
      <c r="X612" s="1659" t="s">
        <v>1209</v>
      </c>
      <c r="Y612" s="1686" t="str">
        <f>C612</f>
        <v>Other 1</v>
      </c>
      <c r="Z612" s="1687"/>
    </row>
    <row r="613" spans="1:26" x14ac:dyDescent="0.25">
      <c r="A613" s="1655" t="s">
        <v>1178</v>
      </c>
      <c r="B613" s="1655" t="s">
        <v>1688</v>
      </c>
      <c r="C613" s="1657" t="s">
        <v>1331</v>
      </c>
      <c r="D613" s="1684" t="str">
        <f>IF(USES!J110="","",USES!J110)</f>
        <v/>
      </c>
      <c r="E613" s="1659" t="str">
        <f>IF(USES!M110="","",USES!M110)</f>
        <v/>
      </c>
      <c r="F613" s="1659" t="str">
        <f>IF(USES!N110="","",USES!N110)</f>
        <v/>
      </c>
      <c r="H613" s="1692"/>
      <c r="I613" s="1658" t="s">
        <v>1695</v>
      </c>
      <c r="J613" s="1693"/>
      <c r="L613" s="1659" t="s">
        <v>1623</v>
      </c>
      <c r="M613" s="1689" t="str">
        <f t="shared" si="139"/>
        <v>Other 2</v>
      </c>
      <c r="N613" s="1687"/>
      <c r="O613" s="1446"/>
      <c r="P613" s="1692"/>
      <c r="Q613" s="1668" t="s">
        <v>1696</v>
      </c>
      <c r="R613" s="1420"/>
      <c r="S613" s="1420"/>
      <c r="T613" s="1420"/>
      <c r="U613" s="1420"/>
      <c r="V613" s="1688"/>
      <c r="X613" s="1659" t="s">
        <v>1209</v>
      </c>
      <c r="Y613" s="1686" t="str">
        <f t="shared" si="141"/>
        <v>Other 2</v>
      </c>
      <c r="Z613" s="1687"/>
    </row>
    <row r="614" spans="1:26" x14ac:dyDescent="0.25">
      <c r="A614" s="1655" t="s">
        <v>1178</v>
      </c>
      <c r="B614" s="1655" t="s">
        <v>1688</v>
      </c>
      <c r="C614" s="1657" t="s">
        <v>1333</v>
      </c>
      <c r="D614" s="1684" t="str">
        <f>IF(USES!J111="","",USES!J111)</f>
        <v/>
      </c>
      <c r="E614" s="1659" t="str">
        <f>IF(USES!M111="","",USES!M111)</f>
        <v/>
      </c>
      <c r="F614" s="1659" t="str">
        <f>IF(USES!N111="","",USES!N111)</f>
        <v/>
      </c>
      <c r="H614" s="1692"/>
      <c r="I614" s="1658" t="s">
        <v>1695</v>
      </c>
      <c r="J614" s="1693"/>
      <c r="L614" s="1659" t="s">
        <v>1623</v>
      </c>
      <c r="M614" s="1689" t="str">
        <f t="shared" si="139"/>
        <v>Other 3</v>
      </c>
      <c r="N614" s="1687"/>
      <c r="P614" s="1692"/>
      <c r="Q614" s="1668" t="s">
        <v>1696</v>
      </c>
      <c r="R614" s="1420"/>
      <c r="S614" s="1420"/>
      <c r="T614" s="1420"/>
      <c r="U614" s="1420"/>
      <c r="V614" s="1688"/>
      <c r="X614" s="1659" t="s">
        <v>1209</v>
      </c>
      <c r="Y614" s="1686" t="str">
        <f t="shared" si="141"/>
        <v>Other 3</v>
      </c>
      <c r="Z614" s="1687"/>
    </row>
    <row r="615" spans="1:26" x14ac:dyDescent="0.25">
      <c r="A615" s="1655" t="s">
        <v>1178</v>
      </c>
      <c r="B615" s="1655" t="s">
        <v>1688</v>
      </c>
      <c r="C615" s="1657" t="s">
        <v>1335</v>
      </c>
      <c r="D615" s="1684" t="str">
        <f>IF(USES!J112="","",USES!J112)</f>
        <v/>
      </c>
      <c r="E615" s="1659" t="str">
        <f>IF(USES!M112="","",USES!M112)</f>
        <v/>
      </c>
      <c r="F615" s="1659" t="str">
        <f>IF(USES!N112="","",USES!N112)</f>
        <v/>
      </c>
      <c r="H615" s="1658"/>
      <c r="I615" s="1658" t="s">
        <v>1695</v>
      </c>
      <c r="J615" s="1677"/>
      <c r="L615" s="1659" t="s">
        <v>1623</v>
      </c>
      <c r="M615" s="1659" t="str">
        <f t="shared" si="139"/>
        <v>Other 4</v>
      </c>
      <c r="N615" s="1686" t="str">
        <f t="shared" si="140"/>
        <v/>
      </c>
      <c r="P615" s="1658"/>
      <c r="Q615" s="1668" t="s">
        <v>1696</v>
      </c>
      <c r="R615" s="672"/>
      <c r="S615" s="672"/>
      <c r="T615" s="672"/>
      <c r="U615" s="672"/>
      <c r="V615" s="1668"/>
      <c r="X615" s="1659" t="s">
        <v>1209</v>
      </c>
      <c r="Y615" s="1659" t="str">
        <f t="shared" si="141"/>
        <v>Other 4</v>
      </c>
      <c r="Z615" s="1659" t="str">
        <f t="shared" si="142"/>
        <v/>
      </c>
    </row>
    <row r="616" spans="1:26" x14ac:dyDescent="0.25">
      <c r="A616" s="1655" t="s">
        <v>1178</v>
      </c>
      <c r="B616" s="1655" t="s">
        <v>1688</v>
      </c>
      <c r="C616" s="1657" t="s">
        <v>1505</v>
      </c>
      <c r="D616" s="1684" t="str">
        <f>IF(USES!E109="","",USES!E109)</f>
        <v>Describe</v>
      </c>
      <c r="E616" s="1668"/>
      <c r="F616" s="1677"/>
      <c r="H616" s="1655" t="s">
        <v>1623</v>
      </c>
      <c r="I616" s="1655" t="s">
        <v>1705</v>
      </c>
      <c r="J616" s="1674" t="str">
        <f>_xlfn.CONCAT(C573,", ",C575)</f>
        <v>Mortgage Insurance Premium, Credit Report</v>
      </c>
      <c r="L616" s="1659" t="s">
        <v>1623</v>
      </c>
      <c r="M616" s="1659" t="str">
        <f t="shared" si="139"/>
        <v>Other 1 Describe</v>
      </c>
      <c r="N616" s="1659" t="str">
        <f>IF(OR(D616="",D616="Describe"),"",D616)</f>
        <v/>
      </c>
      <c r="P616" s="1668"/>
      <c r="Q616" s="1668" t="s">
        <v>1706</v>
      </c>
      <c r="R616" s="672"/>
      <c r="S616" s="672"/>
      <c r="T616" s="672"/>
      <c r="U616" s="672"/>
      <c r="V616" s="1668"/>
      <c r="X616" s="1659" t="s">
        <v>1209</v>
      </c>
      <c r="Y616" s="1659" t="str">
        <f>C616</f>
        <v>Other 1 Describe</v>
      </c>
      <c r="Z616" s="1659" t="str">
        <f>IF(OR(D616="",D616="Describe"),"",D616)</f>
        <v/>
      </c>
    </row>
    <row r="617" spans="1:26" x14ac:dyDescent="0.25">
      <c r="A617" s="1655" t="s">
        <v>1178</v>
      </c>
      <c r="B617" s="1655" t="s">
        <v>1688</v>
      </c>
      <c r="C617" s="1657" t="s">
        <v>1506</v>
      </c>
      <c r="D617" s="1684" t="str">
        <f>IF(USES!E110="","",USES!E110)</f>
        <v>Describe</v>
      </c>
      <c r="E617" s="1668"/>
      <c r="F617" s="1677"/>
      <c r="H617" s="1655" t="s">
        <v>1623</v>
      </c>
      <c r="I617" s="1655" t="s">
        <v>1707</v>
      </c>
      <c r="J617" s="1674" t="str">
        <f>_xlfn.CONCAT(C578,", ",C579,", ",C580,", ",C581,", ",C582,", ",C583,", ",C584,", ",C585,", ",C587,", ",C588,", ",C589,", ",C595,", ",C596,", ",C597,", ",C598)</f>
        <v>CDA Subordinate Loan Commitment Fees (RHP), CDA Subordinate Loan Commitment Fees (RHW), CDA Subordinate Loan Commitment Fees (PRHP), State Loan and LIHTC Assumption Fee, MBP Loan Assumption Fee, CDA Loan Servicing Fee, CDA Subsidy Layering Review Fee, CDA Construction Monitoring Fee, Cost of Issuance (CDA) , CDA Issuer Fee (FNMA MTEB), CDA Issuer Fee (FTEL), CDA Closing Attorney's Fees, CDA Tax Escrow Fee (All Bond Executions), CDA Bond Financing Fee (Risk Sharing, LT GNMA, FTEL, FNMA MTEB), CDA Bond Financing Fee (TX-TE GNMA)</v>
      </c>
      <c r="L617" s="1659" t="s">
        <v>1623</v>
      </c>
      <c r="M617" s="1659" t="str">
        <f t="shared" si="139"/>
        <v>Other 2 Describe</v>
      </c>
      <c r="N617" s="1659" t="str">
        <f>IF(OR(D617="",D617="Describe"),"",D617)</f>
        <v/>
      </c>
      <c r="P617" s="1668"/>
      <c r="Q617" s="1668" t="s">
        <v>1708</v>
      </c>
      <c r="R617" s="672"/>
      <c r="S617" s="672"/>
      <c r="T617" s="672"/>
      <c r="U617" s="672"/>
      <c r="V617" s="1668"/>
      <c r="X617" s="1659" t="s">
        <v>1209</v>
      </c>
      <c r="Y617" s="1659" t="str">
        <f>C617</f>
        <v>Other 2 Describe</v>
      </c>
      <c r="Z617" s="1659" t="str">
        <f>IF(OR(D617="",D617="Describe"),"",D617)</f>
        <v/>
      </c>
    </row>
    <row r="618" spans="1:26" x14ac:dyDescent="0.25">
      <c r="A618" s="1655" t="s">
        <v>1178</v>
      </c>
      <c r="B618" s="1655" t="s">
        <v>1688</v>
      </c>
      <c r="C618" s="1657" t="s">
        <v>1642</v>
      </c>
      <c r="D618" s="1684" t="str">
        <f>IF(USES!E111="","",USES!E111)</f>
        <v>Describe</v>
      </c>
      <c r="E618" s="1668"/>
      <c r="F618" s="1677"/>
      <c r="H618" s="1655" t="s">
        <v>1623</v>
      </c>
      <c r="I618" s="1655" t="s">
        <v>1709</v>
      </c>
      <c r="J618" s="1674" t="str">
        <f>_xlfn.CONCAT(C586,", ",C590,", ",C591,", ",C592,", ",C593,", ",C594,", ",C599,", ",C600,", ",C601,", ",C602,", ",C603,", ",C604,", ",C605)</f>
        <v>Cost of Issuance (Private Placement Underwriter's Fees), Capitalized Interest on Initial Funding Loan (FTEL), MHF Application Fee (CDA/FHA Risk Sharing), MHF Administrative and Legal Fee (CDA/FHA Risk Sharing), Construction Loan Period MIP (CDA/FHA Risk Sharing), First Year's Permanent MIP (CDA/FHA Risk Sharing), Trustee Fee (TX-TE GNMA, FTEL, FNMA MTEB), Rebate Analyst Fee (All Bond Executions), MHF Short Term Bond Loan Insurance, Conversion to Perm Fee (FTEL, FNMA MTEB), Other Lenders' Origination Fees (non-syndication only), Other Lenders' Legal Fees (non-syndication only), Other Lenders' Due Diligence Fees (non-syndication only)</v>
      </c>
      <c r="L618" s="1659" t="s">
        <v>1623</v>
      </c>
      <c r="M618" s="1659" t="str">
        <f t="shared" si="139"/>
        <v>Other 3 Describe</v>
      </c>
      <c r="N618" s="1659" t="str">
        <f>IF(OR(D618="",D618="Describe"),"",D618)</f>
        <v/>
      </c>
      <c r="P618" s="1668"/>
      <c r="Q618" s="1668" t="s">
        <v>1710</v>
      </c>
      <c r="R618" s="672"/>
      <c r="S618" s="672"/>
      <c r="T618" s="672"/>
      <c r="U618" s="672"/>
      <c r="V618" s="1668"/>
      <c r="X618" s="1659" t="s">
        <v>1209</v>
      </c>
      <c r="Y618" s="1659" t="str">
        <f>C618</f>
        <v>Other 3 Describe</v>
      </c>
      <c r="Z618" s="1659" t="str">
        <f>IF(OR(D618="",D618="Describe"),"",D618)</f>
        <v/>
      </c>
    </row>
    <row r="619" spans="1:26" x14ac:dyDescent="0.25">
      <c r="A619" s="1655" t="s">
        <v>1178</v>
      </c>
      <c r="B619" s="1655" t="s">
        <v>1688</v>
      </c>
      <c r="C619" s="1657" t="s">
        <v>1643</v>
      </c>
      <c r="D619" s="1684" t="str">
        <f>IF(USES!E112="","",USES!E112)</f>
        <v>Describe</v>
      </c>
      <c r="E619" s="1668"/>
      <c r="F619" s="1677"/>
      <c r="H619" s="1655" t="s">
        <v>1623</v>
      </c>
      <c r="I619" s="1655" t="s">
        <v>1711</v>
      </c>
      <c r="J619" s="1674" t="str">
        <f>_xlfn.CONCAT(C606,", ",C607,", ",C608,", ",C609,", ",C610,", ",C611,", ",D616,", ",D617,", ",D618,", ",D619)</f>
        <v>FHA Lender Legal, FHA Lender Commitment Fee, FHA Lender Inspection Fee, FHA Lender Fee, FHA Lender Due Diligence, FHA Lender Processing Fee, Describe, Describe, Describe, Describe</v>
      </c>
      <c r="L619" s="1659" t="s">
        <v>1623</v>
      </c>
      <c r="M619" s="1659" t="str">
        <f t="shared" si="139"/>
        <v>Other 4 Describe</v>
      </c>
      <c r="N619" s="1659" t="str">
        <f>IF(OR(D619="",D619="Describe"),"",D619)</f>
        <v/>
      </c>
      <c r="P619" s="1668"/>
      <c r="Q619" s="1668" t="s">
        <v>1710</v>
      </c>
      <c r="R619" s="672"/>
      <c r="S619" s="672"/>
      <c r="T619" s="672"/>
      <c r="U619" s="672"/>
      <c r="V619" s="1668"/>
      <c r="X619" s="1659" t="s">
        <v>1209</v>
      </c>
      <c r="Y619" s="1659" t="str">
        <f>C619</f>
        <v>Other 4 Describe</v>
      </c>
      <c r="Z619" s="1659" t="str">
        <f>IF(OR(D619="",D619="Describe"),"",D619)</f>
        <v/>
      </c>
    </row>
    <row r="620" spans="1:26" x14ac:dyDescent="0.25">
      <c r="A620" s="1655" t="s">
        <v>1178</v>
      </c>
      <c r="B620" s="1655" t="s">
        <v>1285</v>
      </c>
      <c r="C620" s="1657" t="s">
        <v>781</v>
      </c>
      <c r="D620" s="1684" t="str">
        <f>IF(USE_BuildingAcquisition="","",USE_BuildingAcquisition)</f>
        <v/>
      </c>
      <c r="E620" s="1659" t="str">
        <f>IF(USE_AcqBBuildingAcquisition="","",USE_AcqBBuildingAcquisition)</f>
        <v/>
      </c>
      <c r="F620" s="1677"/>
      <c r="H620" s="1655" t="s">
        <v>1623</v>
      </c>
      <c r="I620" s="1655" t="s">
        <v>1712</v>
      </c>
      <c r="J620" s="1674" t="str">
        <f>IF(D620="","",D620)</f>
        <v/>
      </c>
      <c r="L620" s="1668"/>
      <c r="M620" s="1668"/>
      <c r="N620" s="1668"/>
      <c r="P620" s="1655" t="s">
        <v>1620</v>
      </c>
      <c r="Q620" s="1659" t="s">
        <v>1713</v>
      </c>
      <c r="R620" s="671" t="str">
        <f>IF(D620="","",D620)</f>
        <v/>
      </c>
      <c r="S620" s="671" t="str">
        <f>IF(E620="","",E620)</f>
        <v/>
      </c>
      <c r="T620" s="672"/>
      <c r="U620" s="672"/>
      <c r="V620" s="1668"/>
      <c r="X620" s="1668"/>
      <c r="Y620" s="1668"/>
      <c r="Z620" s="1668"/>
    </row>
    <row r="621" spans="1:26" x14ac:dyDescent="0.25">
      <c r="A621" s="1655" t="s">
        <v>1178</v>
      </c>
      <c r="B621" s="1655" t="s">
        <v>1285</v>
      </c>
      <c r="C621" s="1657" t="s">
        <v>782</v>
      </c>
      <c r="D621" s="1684" t="str">
        <f>IF(USE_LandAcquisition="","",USE_LandAcquisition)</f>
        <v/>
      </c>
      <c r="E621" s="1668"/>
      <c r="F621" s="1677"/>
      <c r="H621" s="1655" t="s">
        <v>1623</v>
      </c>
      <c r="I621" s="1655" t="s">
        <v>1714</v>
      </c>
      <c r="J621" s="1674" t="str">
        <f>IF(D621="","",D621)</f>
        <v/>
      </c>
      <c r="L621" s="1668"/>
      <c r="M621" s="1668"/>
      <c r="N621" s="1668"/>
      <c r="P621" s="1655" t="s">
        <v>1620</v>
      </c>
      <c r="Q621" s="1659" t="s">
        <v>1715</v>
      </c>
      <c r="R621" s="671" t="str">
        <f>IF(D621="","",D621)</f>
        <v/>
      </c>
      <c r="S621" s="672"/>
      <c r="T621" s="672"/>
      <c r="U621" s="672"/>
      <c r="V621" s="1668"/>
      <c r="X621" s="1668"/>
      <c r="Y621" s="1668"/>
      <c r="Z621" s="1668"/>
    </row>
    <row r="622" spans="1:26" x14ac:dyDescent="0.25">
      <c r="A622" s="1655" t="s">
        <v>1178</v>
      </c>
      <c r="B622" s="1655" t="s">
        <v>1285</v>
      </c>
      <c r="C622" s="1657" t="s">
        <v>784</v>
      </c>
      <c r="D622" s="1684" t="str">
        <f>IF(USE_SpecialAssessment="","",USE_SpecialAssessment)</f>
        <v/>
      </c>
      <c r="E622" s="1659" t="str">
        <f>IF(USE_AcqBSpecialAssessment="","",USE_AcqBSpecialAssessment)</f>
        <v/>
      </c>
      <c r="F622" s="1677"/>
      <c r="H622" s="1655" t="s">
        <v>1623</v>
      </c>
      <c r="I622" s="1655" t="s">
        <v>1716</v>
      </c>
      <c r="J622" s="1674" t="str">
        <f>IF(IF(D622="",0,D622)+IF(D623="",0,D623)+IF(D626="",0,D626)+IF(D627="",0,D627)=0,"",IF(D622="",0,D622)+IF(D623="",0,D623)+IF(D626="",0,D626)+IF(D627="",0,D627))</f>
        <v/>
      </c>
      <c r="L622" s="1659" t="s">
        <v>1623</v>
      </c>
      <c r="M622" s="1659" t="str">
        <f>C622</f>
        <v>Special Assessment</v>
      </c>
      <c r="N622" s="1659" t="str">
        <f>IF(D622="","",D622)</f>
        <v/>
      </c>
      <c r="P622" s="1655" t="s">
        <v>1620</v>
      </c>
      <c r="Q622" s="1659" t="s">
        <v>1717</v>
      </c>
      <c r="R622" s="671">
        <f>IF(D622="",0,D622)+IF(D623="",0,D623)+IF(D626="",0,D626)+IF(D627="",0,D627)</f>
        <v>0</v>
      </c>
      <c r="S622" s="671">
        <f>IF(E622="",0,E622)+IF(E623="",0,E623)+IF(E626="",0,E626)+IF(E627="",0,E627)</f>
        <v>0</v>
      </c>
      <c r="T622" s="672"/>
      <c r="U622" s="672"/>
      <c r="V622" s="1659" t="s">
        <v>1718</v>
      </c>
      <c r="X622" s="1659" t="s">
        <v>1209</v>
      </c>
      <c r="Y622" s="1659" t="str">
        <f>C622</f>
        <v>Special Assessment</v>
      </c>
      <c r="Z622" s="1659" t="str">
        <f>IF(D622="","",D622)</f>
        <v/>
      </c>
    </row>
    <row r="623" spans="1:26" x14ac:dyDescent="0.25">
      <c r="A623" s="1655" t="s">
        <v>1178</v>
      </c>
      <c r="B623" s="1655" t="s">
        <v>1285</v>
      </c>
      <c r="C623" s="1657" t="s">
        <v>785</v>
      </c>
      <c r="D623" s="1684" t="str">
        <f>IF(USE_CarryingCharges="","",USE_CarryingCharges)</f>
        <v/>
      </c>
      <c r="E623" s="1659" t="str">
        <f>IF(USE_AcqBCarryingCharges="","",USE_AcqBCarryingCharges)</f>
        <v/>
      </c>
      <c r="F623" s="1677"/>
      <c r="H623" s="1658"/>
      <c r="I623" s="1658" t="s">
        <v>1716</v>
      </c>
      <c r="J623" s="1677"/>
      <c r="L623" s="1659" t="s">
        <v>1623</v>
      </c>
      <c r="M623" s="1659" t="str">
        <f>C623</f>
        <v>Carrying Charges</v>
      </c>
      <c r="N623" s="1659" t="str">
        <f>IF(D623="","",D623)</f>
        <v/>
      </c>
      <c r="P623" s="1658"/>
      <c r="Q623" s="1668" t="s">
        <v>1717</v>
      </c>
      <c r="R623" s="672"/>
      <c r="S623" s="672"/>
      <c r="T623" s="672"/>
      <c r="U623" s="672"/>
      <c r="V623" s="1668"/>
      <c r="X623" s="1659" t="s">
        <v>1209</v>
      </c>
      <c r="Y623" s="1659" t="str">
        <f>C623</f>
        <v>Carrying Charges</v>
      </c>
      <c r="Z623" s="1659" t="str">
        <f>IF(D623="","",D623)</f>
        <v/>
      </c>
    </row>
    <row r="624" spans="1:26" x14ac:dyDescent="0.25">
      <c r="A624" s="1655" t="s">
        <v>1178</v>
      </c>
      <c r="B624" s="1655" t="s">
        <v>1285</v>
      </c>
      <c r="C624" s="1657" t="s">
        <v>786</v>
      </c>
      <c r="D624" s="1684" t="str">
        <f>IF(USE_RelocationCosts="","",USE_RelocationCosts)</f>
        <v/>
      </c>
      <c r="E624" s="1659" t="str">
        <f>IF(USE_AcqBRelocationCosts="","",USE_AcqBRelocationCosts)</f>
        <v/>
      </c>
      <c r="F624" s="1677"/>
      <c r="H624" s="1655" t="s">
        <v>1623</v>
      </c>
      <c r="I624" s="1655" t="s">
        <v>1719</v>
      </c>
      <c r="J624" s="1674" t="str">
        <f>IF(D624="","",D624)</f>
        <v/>
      </c>
      <c r="L624" s="1668"/>
      <c r="M624" s="1668"/>
      <c r="N624" s="1668"/>
      <c r="P624" s="1655" t="s">
        <v>1620</v>
      </c>
      <c r="Q624" s="1659" t="s">
        <v>1720</v>
      </c>
      <c r="R624" s="671" t="str">
        <f>IF(D624="","",D624)</f>
        <v/>
      </c>
      <c r="S624" s="671" t="str">
        <f>IF(E624="","",E624)</f>
        <v/>
      </c>
      <c r="T624" s="672"/>
      <c r="U624" s="672"/>
      <c r="V624" s="1659" t="str">
        <f>IF(C624="","",C624)</f>
        <v>Relocation Costs</v>
      </c>
      <c r="X624" s="1668"/>
      <c r="Y624" s="1668"/>
      <c r="Z624" s="1668"/>
    </row>
    <row r="625" spans="1:26" x14ac:dyDescent="0.25">
      <c r="A625" s="1655" t="s">
        <v>1178</v>
      </c>
      <c r="B625" s="1655" t="s">
        <v>1285</v>
      </c>
      <c r="C625" s="1657" t="s">
        <v>787</v>
      </c>
      <c r="D625" s="1684" t="str">
        <f>IF(USE_OffSiteImprovements="","",USE_OffSiteImprovements)</f>
        <v/>
      </c>
      <c r="E625" s="1659" t="str">
        <f>IF(USE_AcqBOffSiteImprovements="","",USE_AcqBOffSiteImprovements)</f>
        <v/>
      </c>
      <c r="F625" s="1677"/>
      <c r="H625" s="1655" t="s">
        <v>1623</v>
      </c>
      <c r="I625" s="1655" t="s">
        <v>1721</v>
      </c>
      <c r="J625" s="1674" t="str">
        <f>IF(D625="","",D625)</f>
        <v/>
      </c>
      <c r="L625" s="1668"/>
      <c r="M625" s="1668"/>
      <c r="N625" s="1668"/>
      <c r="P625" s="1655" t="s">
        <v>1620</v>
      </c>
      <c r="Q625" s="1659" t="s">
        <v>1722</v>
      </c>
      <c r="R625" s="671" t="str">
        <f>IF(D625="","",D625)</f>
        <v/>
      </c>
      <c r="S625" s="671" t="str">
        <f>IF(E625="","",E625)</f>
        <v/>
      </c>
      <c r="T625" s="672"/>
      <c r="U625" s="672"/>
      <c r="V625" s="1668"/>
      <c r="X625" s="1668"/>
      <c r="Y625" s="1668"/>
      <c r="Z625" s="1668"/>
    </row>
    <row r="626" spans="1:26" x14ac:dyDescent="0.25">
      <c r="A626" s="1655" t="s">
        <v>1178</v>
      </c>
      <c r="B626" s="1655" t="s">
        <v>1285</v>
      </c>
      <c r="C626" s="1657" t="s">
        <v>1329</v>
      </c>
      <c r="D626" s="1684" t="str">
        <f>IF(USE_Other16="","",USE_Other16)</f>
        <v/>
      </c>
      <c r="E626" s="1659" t="str">
        <f>IF(USE_AcqBOther16="","",USE_AcqBOther16)</f>
        <v/>
      </c>
      <c r="F626" s="1677"/>
      <c r="H626" s="1658"/>
      <c r="I626" s="1658" t="s">
        <v>1716</v>
      </c>
      <c r="J626" s="1677"/>
      <c r="L626" s="1659" t="s">
        <v>1623</v>
      </c>
      <c r="M626" s="1659" t="str">
        <f t="shared" ref="M626:M635" si="143">C626</f>
        <v>Other 1</v>
      </c>
      <c r="N626" s="1659" t="str">
        <f>IF(D626="","",D626)</f>
        <v/>
      </c>
      <c r="P626" s="1658"/>
      <c r="Q626" s="1668" t="s">
        <v>1717</v>
      </c>
      <c r="R626" s="672"/>
      <c r="S626" s="672"/>
      <c r="T626" s="672"/>
      <c r="U626" s="672"/>
      <c r="V626" s="1668"/>
      <c r="X626" s="1659" t="s">
        <v>1209</v>
      </c>
      <c r="Y626" s="1659" t="str">
        <f t="shared" ref="Y626:Y635" si="144">C626</f>
        <v>Other 1</v>
      </c>
      <c r="Z626" s="1659" t="str">
        <f>IF(D626="","",D626)</f>
        <v/>
      </c>
    </row>
    <row r="627" spans="1:26" x14ac:dyDescent="0.25">
      <c r="A627" s="1655" t="s">
        <v>1178</v>
      </c>
      <c r="B627" s="1655" t="s">
        <v>1285</v>
      </c>
      <c r="C627" s="1657" t="s">
        <v>1331</v>
      </c>
      <c r="D627" s="1684" t="str">
        <f>IF(USE_Other17="","",USE_Other17)</f>
        <v/>
      </c>
      <c r="E627" s="1659" t="str">
        <f>IF(USE_AcqBOther17="","",USE_AcqBOther17)</f>
        <v/>
      </c>
      <c r="F627" s="1677"/>
      <c r="H627" s="1658"/>
      <c r="I627" s="1658" t="s">
        <v>1716</v>
      </c>
      <c r="J627" s="1677"/>
      <c r="L627" s="1659" t="s">
        <v>1623</v>
      </c>
      <c r="M627" s="1659" t="str">
        <f t="shared" si="143"/>
        <v>Other 2</v>
      </c>
      <c r="N627" s="1659" t="str">
        <f>IF(D627="","",D627)</f>
        <v/>
      </c>
      <c r="P627" s="1658"/>
      <c r="Q627" s="1668" t="s">
        <v>1717</v>
      </c>
      <c r="R627" s="672"/>
      <c r="S627" s="672"/>
      <c r="T627" s="672"/>
      <c r="U627" s="672"/>
      <c r="V627" s="1668"/>
      <c r="X627" s="1659" t="s">
        <v>1209</v>
      </c>
      <c r="Y627" s="1659" t="str">
        <f t="shared" si="144"/>
        <v>Other 2</v>
      </c>
      <c r="Z627" s="1659" t="str">
        <f>IF(D627="","",D627)</f>
        <v/>
      </c>
    </row>
    <row r="628" spans="1:26" x14ac:dyDescent="0.25">
      <c r="A628" s="1655" t="s">
        <v>1178</v>
      </c>
      <c r="B628" s="1655" t="s">
        <v>1285</v>
      </c>
      <c r="C628" s="1657" t="s">
        <v>1505</v>
      </c>
      <c r="D628" s="1684" t="str">
        <f>IF(USE_Other16Describe="","",USE_Other16Describe)</f>
        <v>Describe</v>
      </c>
      <c r="E628" s="1668"/>
      <c r="F628" s="1677"/>
      <c r="H628" s="1655" t="s">
        <v>1623</v>
      </c>
      <c r="I628" s="1655" t="s">
        <v>1723</v>
      </c>
      <c r="J628" s="1674" t="str">
        <f>_xlfn.CONCAT(C622,", ",C623,", ",D628,", ",D629)</f>
        <v>Special Assessment, Carrying Charges, Describe, Describe</v>
      </c>
      <c r="L628" s="1659" t="s">
        <v>1623</v>
      </c>
      <c r="M628" s="1659" t="str">
        <f t="shared" si="143"/>
        <v>Other 1 Describe</v>
      </c>
      <c r="N628" s="1659" t="str">
        <f>IF(OR(D628="",D628="Describe"),"",D628)</f>
        <v/>
      </c>
      <c r="P628" s="1668"/>
      <c r="Q628" s="1668" t="s">
        <v>1724</v>
      </c>
      <c r="R628" s="672"/>
      <c r="S628" s="672"/>
      <c r="T628" s="672"/>
      <c r="U628" s="672"/>
      <c r="V628" s="1668"/>
      <c r="X628" s="1659" t="s">
        <v>1209</v>
      </c>
      <c r="Y628" s="1659" t="str">
        <f t="shared" si="144"/>
        <v>Other 1 Describe</v>
      </c>
      <c r="Z628" s="1659" t="str">
        <f>IF(OR(D628="",D628="Describe"),"",D628)</f>
        <v/>
      </c>
    </row>
    <row r="629" spans="1:26" x14ac:dyDescent="0.25">
      <c r="A629" s="1655" t="s">
        <v>1178</v>
      </c>
      <c r="B629" s="1655" t="s">
        <v>1285</v>
      </c>
      <c r="C629" s="1657" t="s">
        <v>1506</v>
      </c>
      <c r="D629" s="1684" t="str">
        <f>IF(USE_Other17Describe="","",USE_Other17Describe)</f>
        <v>Describe</v>
      </c>
      <c r="E629" s="1668"/>
      <c r="F629" s="1677"/>
      <c r="H629" s="1658"/>
      <c r="I629" s="1658" t="s">
        <v>1723</v>
      </c>
      <c r="J629" s="1677"/>
      <c r="L629" s="1659" t="s">
        <v>1623</v>
      </c>
      <c r="M629" s="1659" t="str">
        <f t="shared" si="143"/>
        <v>Other 2 Describe</v>
      </c>
      <c r="N629" s="1659" t="str">
        <f>IF(OR(D629="",D629="Describe"),"",D629)</f>
        <v/>
      </c>
      <c r="P629" s="1668"/>
      <c r="Q629" s="1668" t="s">
        <v>1724</v>
      </c>
      <c r="R629" s="672"/>
      <c r="S629" s="672"/>
      <c r="T629" s="672"/>
      <c r="U629" s="672"/>
      <c r="V629" s="1668"/>
      <c r="X629" s="1659" t="s">
        <v>1209</v>
      </c>
      <c r="Y629" s="1659" t="str">
        <f t="shared" si="144"/>
        <v>Other 2 Describe</v>
      </c>
      <c r="Z629" s="1659" t="str">
        <f>IF(OR(D629="",D629="Describe"),"",D629)</f>
        <v/>
      </c>
    </row>
    <row r="630" spans="1:26" x14ac:dyDescent="0.25">
      <c r="A630" s="1655" t="s">
        <v>1178</v>
      </c>
      <c r="B630" s="1655" t="s">
        <v>791</v>
      </c>
      <c r="C630" s="1657" t="s">
        <v>1725</v>
      </c>
      <c r="D630" s="1684" t="str">
        <f>IF(USE_FeeonNonAcquisitionCosts="","",USE_FeeonNonAcquisitionCosts)</f>
        <v/>
      </c>
      <c r="E630" s="1668"/>
      <c r="F630" s="1674" t="str">
        <f>IF(USE_ConstBFeeonNonAcquisitionCosts="","",USE_ConstBFeeonNonAcquisitionCosts)</f>
        <v/>
      </c>
      <c r="H630" s="1655" t="s">
        <v>1623</v>
      </c>
      <c r="I630" s="1655" t="s">
        <v>1726</v>
      </c>
      <c r="J630" s="1674" t="str">
        <f>IF(IF(D630="",0,D630)+IF(D631="",0,D631)=0,"",IF(D630="",0,D630)+IF(D631="",0,D631))</f>
        <v/>
      </c>
      <c r="L630" s="1659" t="s">
        <v>1623</v>
      </c>
      <c r="M630" s="1659" t="str">
        <f t="shared" si="143"/>
        <v>Fee on Non-Acquisition Costs</v>
      </c>
      <c r="N630" s="1659" t="str">
        <f t="shared" ref="N630:N635" si="145">IF(D630="","",D630)</f>
        <v/>
      </c>
      <c r="P630" s="1655" t="s">
        <v>1620</v>
      </c>
      <c r="Q630" s="1659" t="s">
        <v>1727</v>
      </c>
      <c r="R630" s="671">
        <f>IF(D630="",0,D630)+IF(D631="",0,D631)</f>
        <v>0</v>
      </c>
      <c r="S630" s="671">
        <f>IF(E631="",0,E631)</f>
        <v>0</v>
      </c>
      <c r="T630" s="671" t="str">
        <f>IF($T$500&lt;&gt;"4%","",IF(F630="",0,F630))</f>
        <v/>
      </c>
      <c r="U630" s="671" t="str">
        <f>IF($T$500&lt;&gt;"9%","",IF(F630="",0,F630))</f>
        <v/>
      </c>
      <c r="V630" s="1668"/>
      <c r="X630" s="1659" t="s">
        <v>1209</v>
      </c>
      <c r="Y630" s="1659" t="str">
        <f t="shared" si="144"/>
        <v>Fee on Non-Acquisition Costs</v>
      </c>
      <c r="Z630" s="1659" t="str">
        <f t="shared" ref="Z630:Z635" si="146">IF(D630="","",D630)</f>
        <v/>
      </c>
    </row>
    <row r="631" spans="1:26" x14ac:dyDescent="0.25">
      <c r="A631" s="1655" t="s">
        <v>1178</v>
      </c>
      <c r="B631" s="1655" t="s">
        <v>791</v>
      </c>
      <c r="C631" s="1657" t="s">
        <v>825</v>
      </c>
      <c r="D631" s="1684" t="str">
        <f>IF(USE_FeeonAcquisitionCosts="","",USE_FeeonAcquisitionCosts)</f>
        <v/>
      </c>
      <c r="E631" s="1659" t="str">
        <f>IF(USE_AcqBFeeonAcquisitionCosts="","",USE_AcqBFeeonAcquisitionCosts)</f>
        <v/>
      </c>
      <c r="F631" s="1677"/>
      <c r="H631" s="1655" t="s">
        <v>1623</v>
      </c>
      <c r="I631" s="1655" t="s">
        <v>1728</v>
      </c>
      <c r="J631" s="1674" t="str">
        <f>_xlfn.CONCAT("Developer's Fee - ", C630,", ",C631)</f>
        <v>Developer's Fee - Fee on Non-Acquisition Costs, Fee on Acquisition Costs</v>
      </c>
      <c r="L631" s="1659" t="s">
        <v>1623</v>
      </c>
      <c r="M631" s="1659" t="str">
        <f t="shared" si="143"/>
        <v>Fee on Acquisition Costs</v>
      </c>
      <c r="N631" s="1659" t="str">
        <f t="shared" si="145"/>
        <v/>
      </c>
      <c r="P631" s="1658"/>
      <c r="Q631" s="1668" t="s">
        <v>1727</v>
      </c>
      <c r="R631" s="672"/>
      <c r="S631" s="672"/>
      <c r="T631" s="672"/>
      <c r="U631" s="672"/>
      <c r="V631" s="1668"/>
      <c r="X631" s="1659" t="s">
        <v>1209</v>
      </c>
      <c r="Y631" s="1659" t="str">
        <f t="shared" si="144"/>
        <v>Fee on Acquisition Costs</v>
      </c>
      <c r="Z631" s="1659" t="str">
        <f t="shared" si="146"/>
        <v/>
      </c>
    </row>
    <row r="632" spans="1:26" x14ac:dyDescent="0.25">
      <c r="A632" s="1655" t="s">
        <v>1178</v>
      </c>
      <c r="B632" s="1655" t="s">
        <v>795</v>
      </c>
      <c r="C632" s="1657" t="s">
        <v>796</v>
      </c>
      <c r="D632" s="1684" t="str">
        <f>IF(USE_SyndicationFee="","",USE_SyndicationFee)</f>
        <v/>
      </c>
      <c r="E632" s="1659" t="str">
        <f>IF(USE_AcqBSyndicationFee="","",USE_AcqBSyndicationFee)</f>
        <v/>
      </c>
      <c r="F632" s="1674" t="str">
        <f>IF(USE_ConstBSyndicationFee="","",USE_ConstBSyndicationFee)</f>
        <v/>
      </c>
      <c r="H632" s="1655" t="s">
        <v>1623</v>
      </c>
      <c r="I632" s="1655" t="s">
        <v>1729</v>
      </c>
      <c r="J632" s="1674" t="str">
        <f>IF(IF(D632="",0,D632)+IF(D633="",0,D633)+IF(D641="",0,D641)+IF(D642="",0,D642)=0,"",IF(D632="",0,D632)+IF(D633="",0,D633)+IF(D641="",0,D641)+IF(D642="",0,D642))</f>
        <v/>
      </c>
      <c r="L632" s="1659" t="s">
        <v>1623</v>
      </c>
      <c r="M632" s="1659" t="str">
        <f t="shared" si="143"/>
        <v>Syndication Fee</v>
      </c>
      <c r="N632" s="1659" t="str">
        <f t="shared" si="145"/>
        <v/>
      </c>
      <c r="P632" s="1655" t="s">
        <v>1620</v>
      </c>
      <c r="Q632" s="1659" t="s">
        <v>1730</v>
      </c>
      <c r="R632" s="671">
        <f>IF(D632="",0,D632)+IF(D633="",0,D633)+IF(D641="",0,D641)+IF(D642="",0,D642)</f>
        <v>0</v>
      </c>
      <c r="S632" s="671">
        <f>IF(E632="",0,E632)+IF(E633="",0,E633)+IF(E641="",0,E641)+IF(E642="",0,E642)</f>
        <v>0</v>
      </c>
      <c r="T632" s="671" t="str">
        <f>IF($T$500&lt;&gt;"4%","",IF(F632="",0,F632)+IF(F633="",0,F633)+IF(F641="",0,F641)+IF(F642="",0,F642))</f>
        <v/>
      </c>
      <c r="U632" s="671" t="str">
        <f>IF($T$500&lt;&gt;"9%","",IF(F632="",0,F632)+IF(F633="",0,F633)+IF(F641="",0,F641)+IF(F642="",0,F642))</f>
        <v/>
      </c>
      <c r="V632" s="1659" t="s">
        <v>1731</v>
      </c>
      <c r="X632" s="1659" t="s">
        <v>1209</v>
      </c>
      <c r="Y632" s="1659" t="str">
        <f t="shared" si="144"/>
        <v>Syndication Fee</v>
      </c>
      <c r="Z632" s="1659" t="str">
        <f t="shared" si="146"/>
        <v/>
      </c>
    </row>
    <row r="633" spans="1:26" x14ac:dyDescent="0.25">
      <c r="A633" s="1655" t="s">
        <v>1178</v>
      </c>
      <c r="B633" s="1655" t="s">
        <v>795</v>
      </c>
      <c r="C633" s="1657" t="s">
        <v>1732</v>
      </c>
      <c r="D633" s="1684" t="str">
        <f>IF(USE_Legalsyndicationonly="","",USE_Legalsyndicationonly)</f>
        <v/>
      </c>
      <c r="E633" s="1659" t="str">
        <f>IF(USE_AcqBLegalsyndicationonly="","",USE_AcqBLegalsyndicationonly)</f>
        <v/>
      </c>
      <c r="F633" s="1674" t="str">
        <f>IF(USE_ConstBLegalsyndicationonly="","",USE_ConstBLegalsyndicationonly)</f>
        <v/>
      </c>
      <c r="H633" s="1655" t="s">
        <v>1623</v>
      </c>
      <c r="I633" s="1655" t="s">
        <v>1733</v>
      </c>
      <c r="J633" s="1674" t="str">
        <f>IF(_xlfn.CONCAT(C632,", ",C633,", ",D643,", ",D644)="","",_xlfn.CONCAT(C632,", ",C633,", ",D643,", ",D644))</f>
        <v>Syndication Fee, Legal (syndication only), Describe, Describe</v>
      </c>
      <c r="L633" s="1659" t="s">
        <v>1623</v>
      </c>
      <c r="M633" s="1659" t="str">
        <f t="shared" si="143"/>
        <v>Legal (syndication only)</v>
      </c>
      <c r="N633" s="1659" t="str">
        <f t="shared" si="145"/>
        <v/>
      </c>
      <c r="P633" s="1658"/>
      <c r="Q633" s="1668" t="s">
        <v>1730</v>
      </c>
      <c r="R633" s="672"/>
      <c r="S633" s="672"/>
      <c r="T633" s="672"/>
      <c r="U633" s="672"/>
      <c r="V633" s="1668"/>
      <c r="X633" s="1659" t="s">
        <v>1209</v>
      </c>
      <c r="Y633" s="1659" t="str">
        <f t="shared" si="144"/>
        <v>Legal (syndication only)</v>
      </c>
      <c r="Z633" s="1659" t="str">
        <f t="shared" si="146"/>
        <v/>
      </c>
    </row>
    <row r="634" spans="1:26" x14ac:dyDescent="0.25">
      <c r="A634" s="1655" t="s">
        <v>1178</v>
      </c>
      <c r="B634" s="1655" t="s">
        <v>795</v>
      </c>
      <c r="C634" s="1657" t="s">
        <v>798</v>
      </c>
      <c r="D634" s="1684" t="str">
        <f>IF(USE_BridgeLoanFees="","",USE_BridgeLoanFees)</f>
        <v/>
      </c>
      <c r="E634" s="1659" t="str">
        <f>IF(USE_AcqBBridgeLoanFees="","",USE_AcqBBridgeLoanFees)</f>
        <v/>
      </c>
      <c r="F634" s="1674" t="str">
        <f>IF(USE_ConstBBridgeLoanFees="","",USE_ConstBBridgeLoanFees)</f>
        <v/>
      </c>
      <c r="H634" s="1655" t="s">
        <v>1623</v>
      </c>
      <c r="I634" s="1655" t="s">
        <v>1734</v>
      </c>
      <c r="J634" s="1674" t="str">
        <f>IF(IF(D634="",0,D634)+IF(D635="",0,D635)=0,"",IF(D634="",0,D634)+IF(D635="",0,D635))</f>
        <v/>
      </c>
      <c r="L634" s="1659" t="s">
        <v>1623</v>
      </c>
      <c r="M634" s="1659" t="str">
        <f t="shared" si="143"/>
        <v>Bridge Loan Fees</v>
      </c>
      <c r="N634" s="1659" t="str">
        <f t="shared" si="145"/>
        <v/>
      </c>
      <c r="P634" s="1655" t="s">
        <v>1620</v>
      </c>
      <c r="Q634" s="1659" t="s">
        <v>1735</v>
      </c>
      <c r="R634" s="671">
        <f>IF(D634="",0,D634)+IF(D635="",0,D635)</f>
        <v>0</v>
      </c>
      <c r="S634" s="671">
        <f>IF(E634="",0,E634)+IF(E635="",0,E635)</f>
        <v>0</v>
      </c>
      <c r="T634" s="671" t="str">
        <f>IF($T$500&lt;&gt;"4%","",IF(F634="",0,F634)+IF(F635="",0,F635))</f>
        <v/>
      </c>
      <c r="U634" s="671" t="str">
        <f>IF($T$500&lt;&gt;"9%","",IF(F634="",0,F634)+IF(F635="",0,F635))</f>
        <v/>
      </c>
      <c r="V634" s="1659" t="str">
        <f>_xlfn.CONCAT(C634,", ",C635)</f>
        <v>Bridge Loan Fees, Bridge Loan Interest</v>
      </c>
      <c r="X634" s="1659" t="s">
        <v>1209</v>
      </c>
      <c r="Y634" s="1659" t="str">
        <f t="shared" si="144"/>
        <v>Bridge Loan Fees</v>
      </c>
      <c r="Z634" s="1659" t="str">
        <f t="shared" si="146"/>
        <v/>
      </c>
    </row>
    <row r="635" spans="1:26" x14ac:dyDescent="0.25">
      <c r="A635" s="1655" t="s">
        <v>1178</v>
      </c>
      <c r="B635" s="1655" t="s">
        <v>795</v>
      </c>
      <c r="C635" s="1657" t="s">
        <v>799</v>
      </c>
      <c r="D635" s="1684" t="str">
        <f>IF(USE_BridgeLoanInterest="","",USE_BridgeLoanInterest)</f>
        <v/>
      </c>
      <c r="E635" s="1659" t="str">
        <f>IF(USE_AcqBBridgeLoanInterest="","",USE_AcqBBridgeLoanInterest)</f>
        <v/>
      </c>
      <c r="F635" s="1674" t="str">
        <f>IF(USE_ConstBBridgeLoanInterest="","",USE_ConstBBridgeLoanInterest)</f>
        <v/>
      </c>
      <c r="H635" s="1655" t="s">
        <v>1623</v>
      </c>
      <c r="I635" s="1655" t="s">
        <v>1736</v>
      </c>
      <c r="J635" s="1674" t="str">
        <f>_xlfn.CONCAT(C634,", ",C635)</f>
        <v>Bridge Loan Fees, Bridge Loan Interest</v>
      </c>
      <c r="L635" s="1659" t="s">
        <v>1623</v>
      </c>
      <c r="M635" s="1659" t="str">
        <f t="shared" si="143"/>
        <v>Bridge Loan Interest</v>
      </c>
      <c r="N635" s="1659" t="str">
        <f t="shared" si="145"/>
        <v/>
      </c>
      <c r="P635" s="1658"/>
      <c r="Q635" s="1668" t="s">
        <v>1735</v>
      </c>
      <c r="R635" s="672"/>
      <c r="S635" s="672"/>
      <c r="T635" s="672"/>
      <c r="U635" s="672"/>
      <c r="V635" s="1668"/>
      <c r="X635" s="1659" t="s">
        <v>1209</v>
      </c>
      <c r="Y635" s="1659" t="str">
        <f t="shared" si="144"/>
        <v>Bridge Loan Interest</v>
      </c>
      <c r="Z635" s="1659" t="str">
        <f t="shared" si="146"/>
        <v/>
      </c>
    </row>
    <row r="636" spans="1:26" x14ac:dyDescent="0.25">
      <c r="A636" s="1655" t="s">
        <v>1178</v>
      </c>
      <c r="B636" s="1655" t="s">
        <v>795</v>
      </c>
      <c r="C636" s="1657" t="s">
        <v>800</v>
      </c>
      <c r="D636" s="1684" t="str">
        <f>IF(USE_OrganizationalCosts="","",USE_OrganizationalCosts)</f>
        <v/>
      </c>
      <c r="E636" s="1659" t="str">
        <f>IF(USE_AcqBOrganizationalCosts="","",USE_AcqBOrganizationalCosts)</f>
        <v/>
      </c>
      <c r="F636" s="1674" t="str">
        <f>IF(USE_ConstBOrganizationalCosts="","",USE_ConstBOrganizationalCosts)</f>
        <v/>
      </c>
      <c r="H636" s="1655" t="s">
        <v>1623</v>
      </c>
      <c r="I636" s="1655" t="s">
        <v>1737</v>
      </c>
      <c r="J636" s="1674" t="str">
        <f>IF(D636="","",D636)</f>
        <v/>
      </c>
      <c r="L636" s="1668"/>
      <c r="M636" s="1668"/>
      <c r="N636" s="1668"/>
      <c r="P636" s="1655" t="s">
        <v>1620</v>
      </c>
      <c r="Q636" s="1659" t="s">
        <v>1738</v>
      </c>
      <c r="R636" s="671" t="str">
        <f>IF(D636="","",D636)</f>
        <v/>
      </c>
      <c r="S636" s="671" t="str">
        <f>IF(E636="","",E636)</f>
        <v/>
      </c>
      <c r="T636" s="671" t="str">
        <f>IF($T$500&lt;&gt;"4%","",IF(F636="","",F636))</f>
        <v/>
      </c>
      <c r="U636" s="671" t="str">
        <f>IF($T$500&lt;&gt;"9%","",IF(F636="","",F636))</f>
        <v/>
      </c>
      <c r="V636" s="1659" t="str">
        <f>C636</f>
        <v>Organizational Costs</v>
      </c>
      <c r="X636" s="1668"/>
      <c r="Y636" s="1668"/>
      <c r="Z636" s="1668"/>
    </row>
    <row r="637" spans="1:26" x14ac:dyDescent="0.25">
      <c r="A637" s="1655" t="s">
        <v>1178</v>
      </c>
      <c r="B637" s="1655" t="s">
        <v>795</v>
      </c>
      <c r="C637" s="1657" t="s">
        <v>801</v>
      </c>
      <c r="D637" s="1684" t="str">
        <f>IF(USE_TaxCreditApplicationFee="","",USE_TaxCreditApplicationFee)</f>
        <v/>
      </c>
      <c r="E637" s="1659" t="str">
        <f>IF(USE_AcqBTaxCreditApplicationFee="","",USE_AcqBTaxCreditApplicationFee)</f>
        <v/>
      </c>
      <c r="F637" s="1674" t="str">
        <f>IF(USE_ConstBTaxCreditApplicationFee="","",USE_ConstBTaxCreditApplicationFee)</f>
        <v/>
      </c>
      <c r="H637" s="1655" t="s">
        <v>1623</v>
      </c>
      <c r="I637" s="1655" t="s">
        <v>1739</v>
      </c>
      <c r="J637" s="1674">
        <f>IF(D637="",0,D637)+IF(D638="",0,D638)+IF(D639="",0,D639)</f>
        <v>0</v>
      </c>
      <c r="L637" s="1659" t="s">
        <v>1623</v>
      </c>
      <c r="M637" s="1659" t="str">
        <f>C637</f>
        <v>Tax Credit Application Fee</v>
      </c>
      <c r="N637" s="1659" t="str">
        <f>IF(D637="","",D637)</f>
        <v/>
      </c>
      <c r="P637" s="1655" t="s">
        <v>1620</v>
      </c>
      <c r="Q637" s="1659" t="s">
        <v>1740</v>
      </c>
      <c r="R637" s="671">
        <f>IF(D637="",0,D637)+IF(D638="",0,D638)+IF(D639="",0,D639)</f>
        <v>0</v>
      </c>
      <c r="S637" s="671">
        <f>IF(E637="",0,E637)+IF(E638="",0,E638)+IF(E639="",0,E639)</f>
        <v>0</v>
      </c>
      <c r="T637" s="671" t="str">
        <f>IF($T$500&lt;&gt;"4%","",IF(F637="",0,F637)+IF(F638="",0,F638)+IF(F639="",0,F639))</f>
        <v/>
      </c>
      <c r="U637" s="671" t="str">
        <f>IF($T$500&lt;&gt;"9%","",IF(F637="",0,F637)+IF(F638="",0,F638)+IF(F639="",0,F639))</f>
        <v/>
      </c>
      <c r="V637" s="1668"/>
      <c r="X637" s="1659" t="s">
        <v>1209</v>
      </c>
      <c r="Y637" s="1659" t="str">
        <f>C637</f>
        <v>Tax Credit Application Fee</v>
      </c>
      <c r="Z637" s="1659" t="str">
        <f>IF(D637="","",D637)</f>
        <v/>
      </c>
    </row>
    <row r="638" spans="1:26" x14ac:dyDescent="0.25">
      <c r="A638" s="1655" t="s">
        <v>1178</v>
      </c>
      <c r="B638" s="1655" t="s">
        <v>795</v>
      </c>
      <c r="C638" s="1657" t="s">
        <v>802</v>
      </c>
      <c r="D638" s="1684" t="str">
        <f>IF(USE_TaxCreditAllocationFee="","",USE_TaxCreditAllocationFee)</f>
        <v/>
      </c>
      <c r="E638" s="1659" t="str">
        <f>IF(USE_AcqBTaxCreditAllocationFee="","",USE_AcqBTaxCreditAllocationFee)</f>
        <v/>
      </c>
      <c r="F638" s="1674" t="str">
        <f>IF(USE_ConstBTaxCreditAllocationFee="","",USE_ConstBTaxCreditAllocationFee)</f>
        <v/>
      </c>
      <c r="H638" s="1658"/>
      <c r="I638" s="1658" t="s">
        <v>1739</v>
      </c>
      <c r="J638" s="1677"/>
      <c r="L638" s="1659" t="s">
        <v>1623</v>
      </c>
      <c r="M638" s="1659" t="str">
        <f>C638</f>
        <v>Tax Credit Allocation Fee</v>
      </c>
      <c r="N638" s="1659" t="str">
        <f>IF(D638="","",D638)</f>
        <v/>
      </c>
      <c r="P638" s="1658"/>
      <c r="Q638" s="1668" t="s">
        <v>1740</v>
      </c>
      <c r="R638" s="672"/>
      <c r="S638" s="672"/>
      <c r="T638" s="672"/>
      <c r="U638" s="672"/>
      <c r="V638" s="1668"/>
      <c r="X638" s="1659" t="s">
        <v>1209</v>
      </c>
      <c r="Y638" s="1659" t="str">
        <f>C638</f>
        <v>Tax Credit Allocation Fee</v>
      </c>
      <c r="Z638" s="1659" t="str">
        <f>IF(D638="","",D638)</f>
        <v/>
      </c>
    </row>
    <row r="639" spans="1:26" x14ac:dyDescent="0.25">
      <c r="A639" s="1655" t="s">
        <v>1178</v>
      </c>
      <c r="B639" s="1655" t="s">
        <v>795</v>
      </c>
      <c r="C639" s="1657" t="s">
        <v>803</v>
      </c>
      <c r="D639" s="1684" t="str">
        <f>IF(USE_TaxCreditReservationFee="","",USE_TaxCreditReservationFee)</f>
        <v/>
      </c>
      <c r="E639" s="1659" t="str">
        <f>IF(USE_AcqBTaxCreditReservationFee="","",USE_AcqBTaxCreditReservationFee)</f>
        <v/>
      </c>
      <c r="F639" s="1674" t="str">
        <f>IF(USE_ConstBTaxCreditReservationFee="","",USE_ConstBTaxCreditReservationFee)</f>
        <v/>
      </c>
      <c r="H639" s="1658"/>
      <c r="I639" s="1658" t="s">
        <v>1739</v>
      </c>
      <c r="J639" s="1677"/>
      <c r="L639" s="1659" t="s">
        <v>1623</v>
      </c>
      <c r="M639" s="1659" t="str">
        <f>C639</f>
        <v>Tax Credit Reservation Fee</v>
      </c>
      <c r="N639" s="1659" t="str">
        <f>IF(D639="","",D639)</f>
        <v/>
      </c>
      <c r="P639" s="1658"/>
      <c r="Q639" s="1668" t="s">
        <v>1740</v>
      </c>
      <c r="R639" s="672"/>
      <c r="S639" s="672"/>
      <c r="T639" s="672"/>
      <c r="U639" s="672"/>
      <c r="V639" s="1668"/>
      <c r="X639" s="1659" t="s">
        <v>1209</v>
      </c>
      <c r="Y639" s="1659" t="str">
        <f>C639</f>
        <v>Tax Credit Reservation Fee</v>
      </c>
      <c r="Z639" s="1659" t="str">
        <f>IF(D639="","",D639)</f>
        <v/>
      </c>
    </row>
    <row r="640" spans="1:26" x14ac:dyDescent="0.25">
      <c r="A640" s="1655" t="s">
        <v>1178</v>
      </c>
      <c r="B640" s="1655" t="s">
        <v>795</v>
      </c>
      <c r="C640" s="1657" t="s">
        <v>804</v>
      </c>
      <c r="D640" s="1684" t="str">
        <f>IF(USE_AccountingandAuditingFee="","",USE_AccountingandAuditingFee)</f>
        <v/>
      </c>
      <c r="E640" s="1659" t="str">
        <f>IF(USE_AcqBAccountingandAuditingFee="","",USE_AcqBAccountingandAuditingFee)</f>
        <v/>
      </c>
      <c r="F640" s="1674" t="str">
        <f>IF(USE_ConstBAccountingandAuditingFee="","",USE_ConstBAccountingandAuditingFee)</f>
        <v/>
      </c>
      <c r="H640" s="1655" t="s">
        <v>1623</v>
      </c>
      <c r="I640" s="1655" t="s">
        <v>1741</v>
      </c>
      <c r="J640" s="1674" t="str">
        <f>IF(D640="","",D640)</f>
        <v/>
      </c>
      <c r="L640" s="1668"/>
      <c r="M640" s="1668"/>
      <c r="N640" s="1668"/>
      <c r="P640" s="1655" t="s">
        <v>1620</v>
      </c>
      <c r="Q640" s="1659" t="s">
        <v>1742</v>
      </c>
      <c r="R640" s="671" t="str">
        <f>IF(D640="","",D640)</f>
        <v/>
      </c>
      <c r="S640" s="671" t="str">
        <f>IF(E640="","",E640)</f>
        <v/>
      </c>
      <c r="T640" s="671" t="str">
        <f>IF($T$500&lt;&gt;"4%","",IF(F640="","",F640))</f>
        <v/>
      </c>
      <c r="U640" s="671" t="str">
        <f>IF($T$500&lt;&gt;"9%","",IF(F640="","",F640))</f>
        <v/>
      </c>
      <c r="V640" s="1659" t="str">
        <f>IF(C640="","",C640)</f>
        <v>Accounting and Auditing Fee</v>
      </c>
      <c r="X640" s="1668"/>
      <c r="Y640" s="1668"/>
      <c r="Z640" s="1668"/>
    </row>
    <row r="641" spans="1:26" x14ac:dyDescent="0.25">
      <c r="A641" s="1655" t="s">
        <v>1178</v>
      </c>
      <c r="B641" s="1655" t="s">
        <v>795</v>
      </c>
      <c r="C641" s="1657" t="s">
        <v>1329</v>
      </c>
      <c r="D641" s="1684" t="str">
        <f>IF(USE_Other18="","",USE_Other18)</f>
        <v/>
      </c>
      <c r="E641" s="1659" t="str">
        <f>IF(USE_AcqBOther18="","",USE_AcqBOther18)</f>
        <v/>
      </c>
      <c r="F641" s="1674" t="str">
        <f>IF(USE_ConstBOther18="","",USE_ConstBOther18)</f>
        <v/>
      </c>
      <c r="H641" s="1658"/>
      <c r="I641" s="1658" t="s">
        <v>1729</v>
      </c>
      <c r="J641" s="1677"/>
      <c r="L641" s="1659" t="s">
        <v>1623</v>
      </c>
      <c r="M641" s="1659" t="str">
        <f t="shared" ref="M641:M646" si="147">C641</f>
        <v>Other 1</v>
      </c>
      <c r="N641" s="1659" t="str">
        <f>IF(D641="","",D641)</f>
        <v/>
      </c>
      <c r="P641" s="1658"/>
      <c r="Q641" s="1668" t="s">
        <v>1730</v>
      </c>
      <c r="R641" s="672"/>
      <c r="S641" s="672"/>
      <c r="T641" s="672"/>
      <c r="U641" s="672"/>
      <c r="V641" s="1668"/>
      <c r="X641" s="1659" t="s">
        <v>1209</v>
      </c>
      <c r="Y641" s="1659" t="str">
        <f>C641</f>
        <v>Other 1</v>
      </c>
      <c r="Z641" s="1659" t="str">
        <f>IF(D641="","",D641)</f>
        <v/>
      </c>
    </row>
    <row r="642" spans="1:26" x14ac:dyDescent="0.25">
      <c r="A642" s="1655" t="s">
        <v>1178</v>
      </c>
      <c r="B642" s="1655" t="s">
        <v>795</v>
      </c>
      <c r="C642" s="1657" t="s">
        <v>1331</v>
      </c>
      <c r="D642" s="1684" t="str">
        <f>IF(USE_Other19="","",USE_Other19)</f>
        <v/>
      </c>
      <c r="E642" s="1659" t="str">
        <f>IF(USE_AcqBOther19="","",USE_AcqBOther19)</f>
        <v/>
      </c>
      <c r="F642" s="1674" t="str">
        <f>IF(USE_ConstBOther19="","",USE_ConstBOther19)</f>
        <v/>
      </c>
      <c r="H642" s="1658"/>
      <c r="I642" s="1658" t="s">
        <v>1729</v>
      </c>
      <c r="J642" s="1677"/>
      <c r="L642" s="1659" t="s">
        <v>1623</v>
      </c>
      <c r="M642" s="1659" t="str">
        <f t="shared" si="147"/>
        <v>Other 2</v>
      </c>
      <c r="N642" s="1659" t="str">
        <f>IF(D642="","",D642)</f>
        <v/>
      </c>
      <c r="P642" s="1658"/>
      <c r="Q642" s="1668" t="s">
        <v>1730</v>
      </c>
      <c r="R642" s="672"/>
      <c r="S642" s="672"/>
      <c r="T642" s="672"/>
      <c r="U642" s="672"/>
      <c r="V642" s="1668"/>
      <c r="X642" s="1659" t="s">
        <v>1209</v>
      </c>
      <c r="Y642" s="1659" t="str">
        <f>C642</f>
        <v>Other 2</v>
      </c>
      <c r="Z642" s="1659" t="str">
        <f>IF(D642="","",D642)</f>
        <v/>
      </c>
    </row>
    <row r="643" spans="1:26" x14ac:dyDescent="0.25">
      <c r="A643" s="1655" t="s">
        <v>1178</v>
      </c>
      <c r="B643" s="1655" t="s">
        <v>795</v>
      </c>
      <c r="C643" s="1657" t="s">
        <v>1505</v>
      </c>
      <c r="D643" s="1684" t="str">
        <f>IF(USE_Other18Describe="","",USE_Other18Describe)</f>
        <v>Describe</v>
      </c>
      <c r="E643" s="1668"/>
      <c r="F643" s="1677"/>
      <c r="H643" s="1658"/>
      <c r="I643" s="1658" t="s">
        <v>1733</v>
      </c>
      <c r="J643" s="1677"/>
      <c r="L643" s="1659" t="s">
        <v>1623</v>
      </c>
      <c r="M643" s="1659" t="str">
        <f t="shared" si="147"/>
        <v>Other 1 Describe</v>
      </c>
      <c r="N643" s="1659" t="str">
        <f>IF(OR(D643="",D643="Describe"),"",D643)</f>
        <v/>
      </c>
      <c r="P643" s="1668"/>
      <c r="Q643" s="1668" t="s">
        <v>1743</v>
      </c>
      <c r="R643" s="672"/>
      <c r="S643" s="672"/>
      <c r="T643" s="672"/>
      <c r="U643" s="672"/>
      <c r="V643" s="1668"/>
      <c r="X643" s="1659" t="s">
        <v>1209</v>
      </c>
      <c r="Y643" s="1659" t="str">
        <f>C643</f>
        <v>Other 1 Describe</v>
      </c>
      <c r="Z643" s="1659" t="str">
        <f>IF(OR(D643="",D643="Describe"),"",D643)</f>
        <v/>
      </c>
    </row>
    <row r="644" spans="1:26" x14ac:dyDescent="0.25">
      <c r="A644" s="1655" t="s">
        <v>1178</v>
      </c>
      <c r="B644" s="1655" t="s">
        <v>795</v>
      </c>
      <c r="C644" s="1657" t="s">
        <v>1506</v>
      </c>
      <c r="D644" s="1684" t="str">
        <f>IF(USE_Other19Describe="","",USE_Other19Describe)</f>
        <v>Describe</v>
      </c>
      <c r="E644" s="1668"/>
      <c r="F644" s="1677"/>
      <c r="H644" s="1658"/>
      <c r="I644" s="1658" t="s">
        <v>1733</v>
      </c>
      <c r="J644" s="1677"/>
      <c r="L644" s="1659" t="s">
        <v>1623</v>
      </c>
      <c r="M644" s="1659" t="str">
        <f t="shared" si="147"/>
        <v>Other 2 Describe</v>
      </c>
      <c r="N644" s="1659" t="str">
        <f>IF(OR(D644="",D644="Describe"),"",D644)</f>
        <v/>
      </c>
      <c r="P644" s="1668"/>
      <c r="Q644" s="1668" t="s">
        <v>1743</v>
      </c>
      <c r="R644" s="672"/>
      <c r="S644" s="672"/>
      <c r="T644" s="672"/>
      <c r="U644" s="672"/>
      <c r="V644" s="1668"/>
      <c r="X644" s="1659" t="s">
        <v>1209</v>
      </c>
      <c r="Y644" s="1659" t="str">
        <f>C644</f>
        <v>Other 2 Describe</v>
      </c>
      <c r="Z644" s="1659" t="str">
        <f>IF(OR(D644="",D644="Describe"),"",D644)</f>
        <v/>
      </c>
    </row>
    <row r="645" spans="1:26" x14ac:dyDescent="0.25">
      <c r="A645" s="1655" t="s">
        <v>1178</v>
      </c>
      <c r="B645" s="1655" t="s">
        <v>966</v>
      </c>
      <c r="C645" s="1657" t="s">
        <v>807</v>
      </c>
      <c r="D645" s="1684" t="str">
        <f>IF(USE_ConstructionGuarantee="","",USE_ConstructionGuarantee)</f>
        <v/>
      </c>
      <c r="E645" s="1668"/>
      <c r="F645" s="1677"/>
      <c r="H645" s="1655" t="s">
        <v>1623</v>
      </c>
      <c r="I645" s="1655" t="s">
        <v>1744</v>
      </c>
      <c r="J645" s="1674" t="str">
        <f>IF((IF(D645="",0,D645)+IF(D647="",0,D647)+IF(D648="",0,D648)+IF(D649="",0,D649)+IF(D650="",0,D650)+IF(D651="",0,D651)+IF(D652="",0,D652)+IF(D653="",0,D653))=0,"",IF(D645="",0,D645)+IF(D647="",0,D647)+IF(D648="",0,D648)+IF(D649="",0,D649)+IF(D650="",0,D650)+IF(D651="",0,D651)+IF(D652="",0,D652)+IF(D653="",0,D653))</f>
        <v/>
      </c>
      <c r="L645" s="1659" t="s">
        <v>1623</v>
      </c>
      <c r="M645" s="1659" t="str">
        <f t="shared" si="147"/>
        <v>Construction Guarantee</v>
      </c>
      <c r="N645" s="1659" t="str">
        <f>IF(D645="","",D645)</f>
        <v/>
      </c>
      <c r="P645" s="1655" t="s">
        <v>1620</v>
      </c>
      <c r="Q645" s="1659" t="s">
        <v>1745</v>
      </c>
      <c r="R645" s="671">
        <f>IF(D645="",0,D645)+IF(D647="",0,D647)+IF(D648="",0,D648)+IF(D649="",0,D649)+IF(D650="",0,D650)+IF(D651="",0,D651)+IF(D652="",0,D652)+IF(D653="",0,D653)</f>
        <v>0</v>
      </c>
      <c r="S645" s="671">
        <f>IF(E650="",0,E650)</f>
        <v>0</v>
      </c>
      <c r="T645" s="671" t="str">
        <f>IF($T$500&lt;&gt;"4%","",IF(F650="",0,F650))</f>
        <v/>
      </c>
      <c r="U645" s="671" t="str">
        <f>IF($T$500&lt;&gt;"9%","",IF(F650="",0,F650))</f>
        <v/>
      </c>
      <c r="V645" s="1659" t="s">
        <v>1746</v>
      </c>
      <c r="X645" s="1659" t="s">
        <v>1209</v>
      </c>
      <c r="Y645" s="1659" t="str">
        <f>C645</f>
        <v>Construction Guarantee</v>
      </c>
      <c r="Z645" s="1659" t="str">
        <f>IF(D645="","",D645)</f>
        <v/>
      </c>
    </row>
    <row r="646" spans="1:26" x14ac:dyDescent="0.25">
      <c r="A646" s="1655" t="s">
        <v>1178</v>
      </c>
      <c r="B646" s="1655" t="s">
        <v>966</v>
      </c>
      <c r="C646" s="1657" t="s">
        <v>808</v>
      </c>
      <c r="D646" s="1684" t="str">
        <f>IF(USE_OperatingReserve="","",USE_OperatingReserve)</f>
        <v/>
      </c>
      <c r="E646" s="1668"/>
      <c r="F646" s="1677"/>
      <c r="H646" s="1655" t="s">
        <v>1623</v>
      </c>
      <c r="I646" s="1655" t="s">
        <v>1747</v>
      </c>
      <c r="J646" s="1674" t="str">
        <f>IF(D646="","",D646)</f>
        <v/>
      </c>
      <c r="L646" s="1659" t="s">
        <v>1623</v>
      </c>
      <c r="M646" s="1659" t="str">
        <f t="shared" si="147"/>
        <v>Operating Reserve</v>
      </c>
      <c r="N646" s="1686" t="str">
        <f>IF(D646="","",D646)</f>
        <v/>
      </c>
      <c r="P646" s="1655" t="s">
        <v>1620</v>
      </c>
      <c r="Q646" s="1659" t="s">
        <v>1748</v>
      </c>
      <c r="R646" s="671" t="str">
        <f>IF(D646="","",D646)</f>
        <v/>
      </c>
      <c r="S646" s="672"/>
      <c r="T646" s="672"/>
      <c r="U646" s="672"/>
      <c r="V646" s="1668"/>
      <c r="X646" s="1668"/>
      <c r="Y646" s="1668"/>
      <c r="Z646" s="1668"/>
    </row>
    <row r="647" spans="1:26" x14ac:dyDescent="0.25">
      <c r="A647" s="1655" t="s">
        <v>1178</v>
      </c>
      <c r="B647" s="1655" t="s">
        <v>966</v>
      </c>
      <c r="C647" s="1657" t="s">
        <v>810</v>
      </c>
      <c r="D647" s="1684" t="str">
        <f>IF(USE_DebtServiceReserve="","",USE_DebtServiceReserve)</f>
        <v/>
      </c>
      <c r="E647" s="1668"/>
      <c r="F647" s="1677"/>
      <c r="H647" s="1658"/>
      <c r="I647" s="1658" t="s">
        <v>1744</v>
      </c>
      <c r="J647" s="1677"/>
      <c r="L647" s="1659" t="s">
        <v>1623</v>
      </c>
      <c r="M647" s="1659" t="str">
        <f t="shared" ref="M647:M659" si="148">C647</f>
        <v>Debt Service Reserve</v>
      </c>
      <c r="N647" s="1659" t="str">
        <f t="shared" ref="N647:N653" si="149">IF(D647="","",D647)</f>
        <v/>
      </c>
      <c r="P647" s="1658"/>
      <c r="Q647" s="1668" t="s">
        <v>1745</v>
      </c>
      <c r="R647" s="672"/>
      <c r="S647" s="672"/>
      <c r="T647" s="672"/>
      <c r="U647" s="672"/>
      <c r="V647" s="1668"/>
      <c r="X647" s="1659" t="s">
        <v>1209</v>
      </c>
      <c r="Y647" s="1659" t="str">
        <f t="shared" ref="Y647:Y655" si="150">C647</f>
        <v>Debt Service Reserve</v>
      </c>
      <c r="Z647" s="1659" t="str">
        <f t="shared" ref="Z647:Z653" si="151">IF(D647="","",D647)</f>
        <v/>
      </c>
    </row>
    <row r="648" spans="1:26" x14ac:dyDescent="0.25">
      <c r="A648" s="1655" t="s">
        <v>1178</v>
      </c>
      <c r="B648" s="1655" t="s">
        <v>966</v>
      </c>
      <c r="C648" s="1657" t="s">
        <v>811</v>
      </c>
      <c r="D648" s="1684" t="str">
        <f>IF(USE_RentupReserve="","",USE_RentupReserve)</f>
        <v/>
      </c>
      <c r="E648" s="1668"/>
      <c r="F648" s="1677"/>
      <c r="H648" s="1658"/>
      <c r="I648" s="1658" t="s">
        <v>1744</v>
      </c>
      <c r="J648" s="1677"/>
      <c r="L648" s="1659" t="s">
        <v>1623</v>
      </c>
      <c r="M648" s="1659" t="str">
        <f t="shared" si="148"/>
        <v>Rent-up Reserve</v>
      </c>
      <c r="N648" s="1659" t="str">
        <f t="shared" si="149"/>
        <v/>
      </c>
      <c r="P648" s="1658"/>
      <c r="Q648" s="1668" t="s">
        <v>1745</v>
      </c>
      <c r="R648" s="672"/>
      <c r="S648" s="672"/>
      <c r="T648" s="672"/>
      <c r="U648" s="672"/>
      <c r="V648" s="1668"/>
      <c r="X648" s="1659" t="s">
        <v>1209</v>
      </c>
      <c r="Y648" s="1659" t="str">
        <f t="shared" si="150"/>
        <v>Rent-up Reserve</v>
      </c>
      <c r="Z648" s="1659" t="str">
        <f t="shared" si="151"/>
        <v/>
      </c>
    </row>
    <row r="649" spans="1:26" x14ac:dyDescent="0.25">
      <c r="A649" s="1655" t="s">
        <v>1178</v>
      </c>
      <c r="B649" s="1655" t="s">
        <v>966</v>
      </c>
      <c r="C649" s="1657" t="s">
        <v>812</v>
      </c>
      <c r="D649" s="1684" t="str">
        <f>IF(USE_SupportiveServicesReserve="","",USE_SupportiveServicesReserve)</f>
        <v/>
      </c>
      <c r="E649" s="1668"/>
      <c r="F649" s="1677"/>
      <c r="H649" s="1658"/>
      <c r="I649" s="1658" t="s">
        <v>1744</v>
      </c>
      <c r="J649" s="1677"/>
      <c r="L649" s="1659" t="s">
        <v>1623</v>
      </c>
      <c r="M649" s="1659" t="str">
        <f t="shared" si="148"/>
        <v>Supportive Services Reserve</v>
      </c>
      <c r="N649" s="1659" t="str">
        <f t="shared" si="149"/>
        <v/>
      </c>
      <c r="P649" s="1658"/>
      <c r="Q649" s="1668" t="s">
        <v>1745</v>
      </c>
      <c r="R649" s="672"/>
      <c r="S649" s="672"/>
      <c r="T649" s="672"/>
      <c r="U649" s="672"/>
      <c r="V649" s="1668"/>
      <c r="X649" s="1659" t="s">
        <v>1209</v>
      </c>
      <c r="Y649" s="1659" t="str">
        <f t="shared" si="150"/>
        <v>Supportive Services Reserve</v>
      </c>
      <c r="Z649" s="1659" t="str">
        <f t="shared" si="151"/>
        <v/>
      </c>
    </row>
    <row r="650" spans="1:26" x14ac:dyDescent="0.25">
      <c r="A650" s="1655" t="s">
        <v>1178</v>
      </c>
      <c r="B650" s="1655" t="s">
        <v>966</v>
      </c>
      <c r="C650" s="1657" t="s">
        <v>1749</v>
      </c>
      <c r="D650" s="1684" t="str">
        <f>IF(USE_DeveloperFeeFunded="","",USE_DeveloperFeeFunded)</f>
        <v/>
      </c>
      <c r="E650" s="1659" t="str">
        <f>IF(USE_AcqBDeveloperFeeFundedReserve="","",USE_AcqBDeveloperFeeFundedReserve)</f>
        <v/>
      </c>
      <c r="F650" s="1674" t="str">
        <f>IF(USE_ConstBDeveloperFeeFundedReserve="","",USE_ConstBDeveloperFeeFundedReserve)</f>
        <v/>
      </c>
      <c r="H650" s="1658"/>
      <c r="I650" s="1658" t="s">
        <v>1744</v>
      </c>
      <c r="J650" s="1677"/>
      <c r="L650" s="1659" t="s">
        <v>1623</v>
      </c>
      <c r="M650" s="1659" t="str">
        <f t="shared" si="148"/>
        <v xml:space="preserve">Developer Fee Funded Supportive Services / Rent Subsidy / Sponsor Note Reserve </v>
      </c>
      <c r="N650" s="1659" t="str">
        <f t="shared" si="149"/>
        <v/>
      </c>
      <c r="P650" s="1658"/>
      <c r="Q650" s="1668" t="s">
        <v>1745</v>
      </c>
      <c r="R650" s="672"/>
      <c r="S650" s="672"/>
      <c r="T650" s="672"/>
      <c r="U650" s="672"/>
      <c r="V650" s="1668"/>
      <c r="X650" s="1659" t="s">
        <v>1209</v>
      </c>
      <c r="Y650" s="1659" t="str">
        <f t="shared" si="150"/>
        <v xml:space="preserve">Developer Fee Funded Supportive Services / Rent Subsidy / Sponsor Note Reserve </v>
      </c>
      <c r="Z650" s="1659" t="str">
        <f t="shared" si="151"/>
        <v/>
      </c>
    </row>
    <row r="651" spans="1:26" x14ac:dyDescent="0.25">
      <c r="A651" s="1655" t="s">
        <v>1178</v>
      </c>
      <c r="B651" s="1655" t="s">
        <v>966</v>
      </c>
      <c r="C651" s="1657" t="s">
        <v>814</v>
      </c>
      <c r="D651" s="1684" t="str">
        <f>IF(USE_TransitionReserve="","",USE_TransitionReserve)</f>
        <v/>
      </c>
      <c r="E651" s="1668"/>
      <c r="F651" s="1677"/>
      <c r="H651" s="1658"/>
      <c r="I651" s="1658" t="s">
        <v>1744</v>
      </c>
      <c r="J651" s="1677"/>
      <c r="L651" s="1659" t="s">
        <v>1623</v>
      </c>
      <c r="M651" s="1659" t="str">
        <f>C651</f>
        <v>Transition Reserve / Operating Deficit Reserve</v>
      </c>
      <c r="N651" s="1659" t="str">
        <f t="shared" si="149"/>
        <v/>
      </c>
      <c r="P651" s="1658"/>
      <c r="Q651" s="1668" t="s">
        <v>1745</v>
      </c>
      <c r="R651" s="672"/>
      <c r="S651" s="672"/>
      <c r="T651" s="672"/>
      <c r="U651" s="672"/>
      <c r="V651" s="1668"/>
      <c r="X651" s="1659" t="s">
        <v>1209</v>
      </c>
      <c r="Y651" s="1659" t="str">
        <f>C651</f>
        <v>Transition Reserve / Operating Deficit Reserve</v>
      </c>
      <c r="Z651" s="1659" t="str">
        <f t="shared" si="151"/>
        <v/>
      </c>
    </row>
    <row r="652" spans="1:26" x14ac:dyDescent="0.25">
      <c r="A652" s="1655" t="s">
        <v>1178</v>
      </c>
      <c r="B652" s="1655" t="s">
        <v>966</v>
      </c>
      <c r="C652" s="1657" t="s">
        <v>2708</v>
      </c>
      <c r="D652" s="1684" t="str">
        <f>IF(USE_OtherReserve="","",USE_OtherReserve)</f>
        <v/>
      </c>
      <c r="E652" s="1668"/>
      <c r="F652" s="1677"/>
      <c r="H652" s="1658"/>
      <c r="I652" s="1658" t="s">
        <v>1744</v>
      </c>
      <c r="J652" s="1677"/>
      <c r="L652" s="1659" t="s">
        <v>1623</v>
      </c>
      <c r="M652" s="1659" t="str">
        <f t="shared" si="148"/>
        <v>Other Reserve Total</v>
      </c>
      <c r="N652" s="1659" t="str">
        <f t="shared" si="149"/>
        <v/>
      </c>
      <c r="P652" s="1658"/>
      <c r="Q652" s="1668" t="s">
        <v>1745</v>
      </c>
      <c r="R652" s="672"/>
      <c r="S652" s="672"/>
      <c r="T652" s="672"/>
      <c r="U652" s="672"/>
      <c r="V652" s="1668"/>
      <c r="X652" s="1659" t="s">
        <v>1209</v>
      </c>
      <c r="Y652" s="1659" t="str">
        <f t="shared" si="150"/>
        <v>Other Reserve Total</v>
      </c>
      <c r="Z652" s="1659" t="str">
        <f t="shared" si="151"/>
        <v/>
      </c>
    </row>
    <row r="653" spans="1:26" x14ac:dyDescent="0.25">
      <c r="A653" s="1655" t="s">
        <v>1178</v>
      </c>
      <c r="B653" s="1655" t="s">
        <v>966</v>
      </c>
      <c r="C653" s="1657" t="s">
        <v>2709</v>
      </c>
      <c r="D653" s="1684" t="str">
        <f>IF(USE_Other20="","",USE_Other20)</f>
        <v/>
      </c>
      <c r="E653" s="1668"/>
      <c r="F653" s="1677"/>
      <c r="H653" s="1658"/>
      <c r="I653" s="1658" t="s">
        <v>1744</v>
      </c>
      <c r="J653" s="1677"/>
      <c r="L653" s="1659" t="s">
        <v>1623</v>
      </c>
      <c r="M653" s="1659" t="str">
        <f t="shared" si="148"/>
        <v>Other 1 Total</v>
      </c>
      <c r="N653" s="1659" t="str">
        <f t="shared" si="149"/>
        <v/>
      </c>
      <c r="P653" s="1658"/>
      <c r="Q653" s="1668" t="s">
        <v>1745</v>
      </c>
      <c r="R653" s="672"/>
      <c r="S653" s="672"/>
      <c r="T653" s="672"/>
      <c r="U653" s="672"/>
      <c r="V653" s="1668"/>
      <c r="X653" s="1659" t="s">
        <v>1209</v>
      </c>
      <c r="Y653" s="1659" t="str">
        <f t="shared" si="150"/>
        <v>Other 1 Total</v>
      </c>
      <c r="Z653" s="1659" t="str">
        <f t="shared" si="151"/>
        <v/>
      </c>
    </row>
    <row r="654" spans="1:26" x14ac:dyDescent="0.25">
      <c r="A654" s="1655" t="s">
        <v>1178</v>
      </c>
      <c r="B654" s="1655" t="s">
        <v>966</v>
      </c>
      <c r="C654" s="1657" t="s">
        <v>1750</v>
      </c>
      <c r="D654" s="1664" t="str">
        <f>IF(USE_OtherReserveDescribe="","",USE_OtherReserveDescribe)</f>
        <v>Describe</v>
      </c>
      <c r="E654" s="1668"/>
      <c r="F654" s="1668"/>
      <c r="H654" s="1655" t="s">
        <v>1623</v>
      </c>
      <c r="I654" s="1655" t="s">
        <v>1751</v>
      </c>
      <c r="J654" s="1674" t="str">
        <f>_xlfn.CONCAT(C645,", ",C647,", ",C648,", ",C649,", ",C650,", ",D654,", ",D655)</f>
        <v>Construction Guarantee, Debt Service Reserve, Rent-up Reserve, Supportive Services Reserve, Developer Fee Funded Supportive Services / Rent Subsidy / Sponsor Note Reserve , Describe, Describe</v>
      </c>
      <c r="L654" s="1659" t="s">
        <v>1623</v>
      </c>
      <c r="M654" s="1659" t="str">
        <f t="shared" si="148"/>
        <v>Other Reserve Describe</v>
      </c>
      <c r="N654" s="1659" t="str">
        <f>IF(OR(D654="",D654="Describe"),"",D654)</f>
        <v/>
      </c>
      <c r="P654" s="1668"/>
      <c r="Q654" s="1668" t="s">
        <v>1752</v>
      </c>
      <c r="R654" s="672"/>
      <c r="S654" s="672"/>
      <c r="T654" s="672"/>
      <c r="U654" s="672"/>
      <c r="V654" s="1668"/>
      <c r="X654" s="1659" t="s">
        <v>1209</v>
      </c>
      <c r="Y654" s="1659" t="str">
        <f t="shared" si="150"/>
        <v>Other Reserve Describe</v>
      </c>
      <c r="Z654" s="1659" t="str">
        <f>IF(OR(D654="",D654="Describe"),"",D654)</f>
        <v/>
      </c>
    </row>
    <row r="655" spans="1:26" x14ac:dyDescent="0.25">
      <c r="A655" s="1655" t="s">
        <v>1178</v>
      </c>
      <c r="B655" s="1655" t="s">
        <v>966</v>
      </c>
      <c r="C655" s="1657" t="s">
        <v>1505</v>
      </c>
      <c r="D655" s="1664" t="str">
        <f>IF(USE_Other20Describe="","",USE_Other20Describe)</f>
        <v>Describe</v>
      </c>
      <c r="E655" s="1668"/>
      <c r="F655" s="1668"/>
      <c r="H655" s="1658"/>
      <c r="I655" s="1658" t="s">
        <v>1751</v>
      </c>
      <c r="J655" s="1677"/>
      <c r="L655" s="1659" t="s">
        <v>1623</v>
      </c>
      <c r="M655" s="1659" t="str">
        <f t="shared" si="148"/>
        <v>Other 1 Describe</v>
      </c>
      <c r="N655" s="1659" t="str">
        <f>IF(OR(D655="",D655="Describe"),"",D655)</f>
        <v/>
      </c>
      <c r="P655" s="1668"/>
      <c r="Q655" s="1668" t="s">
        <v>1752</v>
      </c>
      <c r="R655" s="672"/>
      <c r="S655" s="672"/>
      <c r="T655" s="672"/>
      <c r="U655" s="672"/>
      <c r="V655" s="1668"/>
      <c r="X655" s="1659" t="s">
        <v>1209</v>
      </c>
      <c r="Y655" s="1659" t="str">
        <f t="shared" si="150"/>
        <v>Other 1 Describe</v>
      </c>
      <c r="Z655" s="1659" t="str">
        <f>IF(OR(D655="",D655="Describe"),"",D655)</f>
        <v/>
      </c>
    </row>
    <row r="656" spans="1:26" x14ac:dyDescent="0.25">
      <c r="A656" s="1655" t="s">
        <v>1178</v>
      </c>
      <c r="B656" s="1655" t="s">
        <v>1753</v>
      </c>
      <c r="C656" s="1657" t="s">
        <v>1754</v>
      </c>
      <c r="D656" s="1664" t="str">
        <f>IF(USE_FeePercCostsover10MillionNonAcq="","",USE_FeePercCostsover10MillionNonAcq)</f>
        <v/>
      </c>
      <c r="E656" s="1668"/>
      <c r="F656" s="1668"/>
      <c r="H656" s="1658"/>
      <c r="I656" s="1658"/>
      <c r="J656" s="1677"/>
      <c r="L656" s="1659" t="s">
        <v>1623</v>
      </c>
      <c r="M656" s="1659" t="str">
        <f t="shared" si="148"/>
        <v>Fee Percentage - Costs over $10 Million</v>
      </c>
      <c r="N656" s="667" t="str">
        <f>IF(D656="","",D656)</f>
        <v/>
      </c>
    </row>
    <row r="657" spans="1:14" x14ac:dyDescent="0.25">
      <c r="A657" s="1655" t="s">
        <v>1178</v>
      </c>
      <c r="B657" s="1655" t="s">
        <v>1753</v>
      </c>
      <c r="C657" s="1657" t="s">
        <v>1755</v>
      </c>
      <c r="D657" s="1664" t="str">
        <f>IF(USE_FeePercCosts10MillionorlessNonAcq="","",USE_FeePercCosts10MillionorlessNonAcq)</f>
        <v/>
      </c>
      <c r="E657" s="1668"/>
      <c r="F657" s="1668"/>
      <c r="H657" s="1658"/>
      <c r="I657" s="1658"/>
      <c r="J657" s="1677"/>
      <c r="L657" s="1659" t="s">
        <v>1623</v>
      </c>
      <c r="M657" s="1659" t="str">
        <f t="shared" si="148"/>
        <v>Fee Percentage - Costs $10 Million or less</v>
      </c>
      <c r="N657" s="667" t="str">
        <f>IF(D657="","",D657)</f>
        <v/>
      </c>
    </row>
    <row r="658" spans="1:14" x14ac:dyDescent="0.25">
      <c r="A658" s="1655" t="s">
        <v>1178</v>
      </c>
      <c r="B658" s="1655" t="s">
        <v>1756</v>
      </c>
      <c r="C658" s="1657" t="s">
        <v>1754</v>
      </c>
      <c r="D658" s="1664" t="str">
        <f>IF(USE_FeePercCostsover10MillionAcq="","",USE_FeePercCostsover10MillionAcq)</f>
        <v/>
      </c>
      <c r="E658" s="1668"/>
      <c r="F658" s="1668"/>
      <c r="H658" s="1658"/>
      <c r="I658" s="1658"/>
      <c r="J658" s="1677"/>
      <c r="L658" s="1659" t="s">
        <v>1623</v>
      </c>
      <c r="M658" s="1659" t="str">
        <f t="shared" si="148"/>
        <v>Fee Percentage - Costs over $10 Million</v>
      </c>
      <c r="N658" s="667" t="str">
        <f>IF(D658="","",D658)</f>
        <v/>
      </c>
    </row>
    <row r="659" spans="1:14" x14ac:dyDescent="0.25">
      <c r="A659" s="1655" t="s">
        <v>1178</v>
      </c>
      <c r="B659" s="1655" t="s">
        <v>1756</v>
      </c>
      <c r="C659" s="1657" t="s">
        <v>1755</v>
      </c>
      <c r="D659" s="1655" t="str">
        <f>IF(USE_FeePercCosts10MillionorlessAcq="","",USE_FeePercCosts10MillionorlessAcq)</f>
        <v/>
      </c>
      <c r="E659" s="1668"/>
      <c r="F659" s="1668"/>
      <c r="H659" s="1658"/>
      <c r="I659" s="1658"/>
      <c r="J659" s="1677"/>
      <c r="L659" s="1659" t="s">
        <v>1623</v>
      </c>
      <c r="M659" s="1659" t="str">
        <f t="shared" si="148"/>
        <v>Fee Percentage - Costs $10 Million or less</v>
      </c>
      <c r="N659" s="667" t="str">
        <f>IF(D659="","",D659)</f>
        <v/>
      </c>
    </row>
    <row r="662" spans="1:14" ht="13.8" x14ac:dyDescent="0.25">
      <c r="A662" s="1651" t="s">
        <v>1188</v>
      </c>
      <c r="B662" s="1651" t="s">
        <v>1189</v>
      </c>
      <c r="C662" s="1651"/>
      <c r="D662" s="1651"/>
      <c r="G662" s="1661" t="s">
        <v>1195</v>
      </c>
      <c r="H662" s="1661"/>
      <c r="I662" s="1661"/>
      <c r="K662" s="1653" t="s">
        <v>1196</v>
      </c>
      <c r="L662" s="1653"/>
      <c r="M662" s="1653"/>
    </row>
    <row r="663" spans="1:14" x14ac:dyDescent="0.25">
      <c r="A663" s="1654" t="s">
        <v>1198</v>
      </c>
      <c r="B663" s="1654" t="s">
        <v>1199</v>
      </c>
      <c r="C663" s="1654" t="s">
        <v>1200</v>
      </c>
      <c r="D663" s="1654" t="s">
        <v>1201</v>
      </c>
      <c r="G663" s="1662" t="s">
        <v>1202</v>
      </c>
      <c r="H663" s="1662" t="s">
        <v>1203</v>
      </c>
      <c r="I663" s="1662" t="s">
        <v>1201</v>
      </c>
      <c r="K663" s="1662" t="s">
        <v>1202</v>
      </c>
      <c r="L663" s="1662" t="s">
        <v>1203</v>
      </c>
      <c r="M663" s="1662" t="s">
        <v>1201</v>
      </c>
    </row>
    <row r="664" spans="1:14" x14ac:dyDescent="0.25">
      <c r="A664" s="1655" t="s">
        <v>1472</v>
      </c>
      <c r="B664" s="1655" t="s">
        <v>1757</v>
      </c>
      <c r="C664" s="1655" t="s">
        <v>303</v>
      </c>
      <c r="D664" s="1674" t="str">
        <f>IF(TC_NewConstruction="","",TC_NewConstruction)</f>
        <v/>
      </c>
      <c r="G664" s="1658"/>
      <c r="H664" s="1658"/>
      <c r="I664" s="1677"/>
      <c r="K664" s="1655" t="s">
        <v>1209</v>
      </c>
      <c r="L664" s="1655" t="s">
        <v>1758</v>
      </c>
      <c r="M664" s="1657" t="str">
        <f>IF(AND(D664="X",D666="X"),"New Construction/Rehab",IF(D664="X","New Construction",IF(AND(D665="X",D666="X"),"Acquisition/Rehab","Rehabilitation")))</f>
        <v>Rehabilitation</v>
      </c>
    </row>
    <row r="665" spans="1:14" x14ac:dyDescent="0.25">
      <c r="A665" s="1655" t="s">
        <v>1472</v>
      </c>
      <c r="B665" s="1655" t="s">
        <v>1757</v>
      </c>
      <c r="C665" s="1655" t="s">
        <v>1285</v>
      </c>
      <c r="D665" s="1674" t="str">
        <f>IF(TC_Acquisition="","",TC_Acquisition)</f>
        <v/>
      </c>
      <c r="G665" s="1658"/>
      <c r="H665" s="1658"/>
      <c r="I665" s="1677"/>
      <c r="K665" s="1668"/>
      <c r="L665" s="1668"/>
      <c r="M665" s="1668"/>
    </row>
    <row r="666" spans="1:14" x14ac:dyDescent="0.25">
      <c r="A666" s="1655" t="s">
        <v>1472</v>
      </c>
      <c r="B666" s="1655" t="s">
        <v>1757</v>
      </c>
      <c r="C666" s="1655" t="s">
        <v>1759</v>
      </c>
      <c r="D666" s="1674" t="str">
        <f>IF(TC_SubstantialRehab="","",TC_SubstantialRehab)</f>
        <v/>
      </c>
      <c r="G666" s="1658"/>
      <c r="H666" s="1658"/>
      <c r="I666" s="1677"/>
      <c r="K666" s="1668"/>
      <c r="L666" s="1668"/>
      <c r="M666" s="1668"/>
    </row>
    <row r="667" spans="1:14" x14ac:dyDescent="0.25">
      <c r="A667" s="1655" t="s">
        <v>1472</v>
      </c>
      <c r="B667" s="1655" t="s">
        <v>1306</v>
      </c>
      <c r="C667" s="1655" t="s">
        <v>1760</v>
      </c>
      <c r="D667" s="1674" t="str">
        <f>IF(TC_TenYearRuleExempt="","",TC_TenYearRuleExempt)</f>
        <v/>
      </c>
      <c r="G667" s="1655" t="s">
        <v>1209</v>
      </c>
      <c r="H667" s="1659" t="s">
        <v>1761</v>
      </c>
      <c r="I667" s="1657" t="str">
        <f>IF(D667="","",D667)</f>
        <v/>
      </c>
      <c r="K667" s="1668"/>
      <c r="L667" s="1668"/>
      <c r="M667" s="1668"/>
    </row>
    <row r="668" spans="1:14" x14ac:dyDescent="0.25">
      <c r="A668" s="1655" t="s">
        <v>1472</v>
      </c>
      <c r="B668" s="1655" t="s">
        <v>1306</v>
      </c>
      <c r="C668" s="1655" t="s">
        <v>1762</v>
      </c>
      <c r="D668" s="1674" t="str">
        <f>IF(TC_RehabCosts="","",TC_RehabCosts)</f>
        <v/>
      </c>
      <c r="G668" s="1655" t="s">
        <v>1209</v>
      </c>
      <c r="H668" s="1659" t="s">
        <v>1761</v>
      </c>
      <c r="I668" s="1674" t="str">
        <f>IF(D668="","",D668)</f>
        <v/>
      </c>
      <c r="K668" s="1668"/>
      <c r="L668" s="1668"/>
      <c r="M668" s="1668"/>
    </row>
    <row r="669" spans="1:14" x14ac:dyDescent="0.25">
      <c r="A669" s="1655" t="s">
        <v>1472</v>
      </c>
      <c r="B669" s="1655" t="s">
        <v>1306</v>
      </c>
      <c r="C669" s="1655" t="s">
        <v>1763</v>
      </c>
      <c r="D669" s="1674" t="str">
        <f>IF(TC_CostPerUnit="","",TC_CostPerUnit)</f>
        <v/>
      </c>
      <c r="G669" s="1658"/>
      <c r="H669" s="1668"/>
      <c r="I669" s="1677"/>
      <c r="K669" s="1655" t="s">
        <v>1209</v>
      </c>
      <c r="L669" s="1659" t="s">
        <v>1764</v>
      </c>
      <c r="M669" s="1657" t="str">
        <f>IF(D669="X","Costs are at least X amount per Unit (amount per Form 202)",IF(D670="X","Costs are at least 20% of project's adjusted basis",""))</f>
        <v/>
      </c>
    </row>
    <row r="670" spans="1:14" x14ac:dyDescent="0.25">
      <c r="A670" s="1655" t="s">
        <v>1472</v>
      </c>
      <c r="B670" s="1655" t="s">
        <v>1306</v>
      </c>
      <c r="C670" s="1655" t="s">
        <v>850</v>
      </c>
      <c r="D670" s="1674" t="str">
        <f>IF(TC_CostPerAdjustedBasis="","",TC_CostPerAdjustedBasis)</f>
        <v/>
      </c>
      <c r="G670" s="1658"/>
      <c r="H670" s="1668"/>
      <c r="I670" s="1677"/>
      <c r="K670" s="1668"/>
      <c r="L670" s="1668"/>
      <c r="M670" s="1668"/>
    </row>
    <row r="671" spans="1:14" x14ac:dyDescent="0.25">
      <c r="A671" s="1655" t="s">
        <v>1472</v>
      </c>
      <c r="B671" s="1655" t="s">
        <v>1306</v>
      </c>
      <c r="C671" s="1655" t="s">
        <v>190</v>
      </c>
      <c r="D671" s="1674" t="str">
        <f>IF(TC_TotalUnits="","",TC_TotalUnits)</f>
        <v/>
      </c>
      <c r="G671" s="1658"/>
      <c r="H671" s="1668"/>
      <c r="I671" s="1677"/>
      <c r="K671" s="1668"/>
      <c r="L671" s="1668"/>
      <c r="M671" s="1668"/>
    </row>
    <row r="672" spans="1:14" x14ac:dyDescent="0.25">
      <c r="A672" s="1655" t="s">
        <v>1472</v>
      </c>
      <c r="B672" s="1655" t="s">
        <v>1306</v>
      </c>
      <c r="C672" s="1655" t="s">
        <v>21</v>
      </c>
      <c r="D672" s="1674" t="str">
        <f>IF(TC_Basis="","",TC_Basis)</f>
        <v/>
      </c>
      <c r="G672" s="1658"/>
      <c r="H672" s="1668"/>
      <c r="I672" s="1677"/>
      <c r="K672" s="1668"/>
      <c r="L672" s="1668"/>
      <c r="M672" s="1668"/>
    </row>
    <row r="673" spans="1:13" x14ac:dyDescent="0.25">
      <c r="A673" s="1655" t="s">
        <v>1472</v>
      </c>
      <c r="B673" s="1655" t="s">
        <v>1765</v>
      </c>
      <c r="C673" s="1655" t="s">
        <v>1766</v>
      </c>
      <c r="D673" s="1674" t="str">
        <f>IF(TC_MinSetAside2050="","",TC_MinSetAside2050)</f>
        <v/>
      </c>
      <c r="G673" s="1658"/>
      <c r="H673" s="1658"/>
      <c r="I673" s="1677"/>
      <c r="K673" s="1655" t="s">
        <v>1209</v>
      </c>
      <c r="L673" s="1659" t="s">
        <v>1470</v>
      </c>
      <c r="M673" s="1659" t="str">
        <f>IF(D673="X",-1,IF(D674="X",-2,IF(D675="X",-4,"")))</f>
        <v/>
      </c>
    </row>
    <row r="674" spans="1:13" x14ac:dyDescent="0.25">
      <c r="A674" s="1655" t="s">
        <v>1472</v>
      </c>
      <c r="B674" s="1655" t="s">
        <v>1765</v>
      </c>
      <c r="C674" s="1655" t="s">
        <v>1767</v>
      </c>
      <c r="D674" s="1674" t="str">
        <f>IF(TC_MinSetAside4060="","",TC_MinSetAside4060)</f>
        <v/>
      </c>
      <c r="G674" s="1658"/>
      <c r="H674" s="1658"/>
      <c r="I674" s="1677"/>
      <c r="K674" s="1668"/>
      <c r="L674" s="1668"/>
      <c r="M674" s="1668"/>
    </row>
    <row r="675" spans="1:13" x14ac:dyDescent="0.25">
      <c r="A675" s="1655" t="s">
        <v>1472</v>
      </c>
      <c r="B675" s="1655" t="s">
        <v>1765</v>
      </c>
      <c r="C675" s="1655" t="s">
        <v>1768</v>
      </c>
      <c r="D675" s="1674" t="str">
        <f>IF(TC_MinSetAsideIA="","",TC_MinSetAsideIA)</f>
        <v/>
      </c>
      <c r="G675" s="1658"/>
      <c r="H675" s="1658"/>
      <c r="I675" s="1677"/>
      <c r="K675" s="1668"/>
      <c r="L675" s="1668"/>
      <c r="M675" s="1668"/>
    </row>
    <row r="676" spans="1:13" x14ac:dyDescent="0.25">
      <c r="A676" s="1655" t="s">
        <v>1472</v>
      </c>
      <c r="B676" s="1655" t="s">
        <v>1765</v>
      </c>
      <c r="C676" s="1655" t="s">
        <v>1769</v>
      </c>
      <c r="D676" s="1674" t="str">
        <f>IF(TC_RentFloorElectlloc="","",TC_RentFloorElectlloc)</f>
        <v/>
      </c>
      <c r="G676" s="1677"/>
      <c r="H676" s="1677"/>
      <c r="I676" s="1677"/>
      <c r="K676" s="1655" t="s">
        <v>1209</v>
      </c>
      <c r="L676" s="1659" t="s">
        <v>1770</v>
      </c>
      <c r="M676" s="1657" t="str">
        <f>IF(D676="X","Date of allocation",IF(D677="X","Date the project is placed in service",""))</f>
        <v/>
      </c>
    </row>
    <row r="677" spans="1:13" x14ac:dyDescent="0.25">
      <c r="A677" s="1655" t="s">
        <v>1472</v>
      </c>
      <c r="B677" s="1655" t="s">
        <v>1765</v>
      </c>
      <c r="C677" s="1655" t="s">
        <v>1771</v>
      </c>
      <c r="D677" s="1674" t="str">
        <f>IF(TC_RentFloorElectPIS="","",TC_RentFloorElectPIS)</f>
        <v/>
      </c>
      <c r="G677" s="1677"/>
      <c r="H677" s="1677"/>
      <c r="I677" s="1677"/>
      <c r="K677" s="1668"/>
      <c r="L677" s="1668"/>
      <c r="M677" s="1668"/>
    </row>
    <row r="678" spans="1:13" x14ac:dyDescent="0.25">
      <c r="A678" s="1655" t="s">
        <v>1472</v>
      </c>
      <c r="B678" s="1655" t="s">
        <v>1772</v>
      </c>
      <c r="C678" s="1655" t="s">
        <v>860</v>
      </c>
      <c r="D678" s="1674">
        <f>IF('TAX CREDIT'!E143="","",'TAX CREDIT'!E143)</f>
        <v>0</v>
      </c>
      <c r="G678" s="1658"/>
      <c r="H678" s="1658"/>
      <c r="I678" s="1677"/>
      <c r="K678" s="1668"/>
      <c r="L678" s="1668"/>
      <c r="M678" s="1668"/>
    </row>
    <row r="679" spans="1:13" x14ac:dyDescent="0.25">
      <c r="A679" s="1655" t="s">
        <v>1472</v>
      </c>
      <c r="B679" s="1655" t="s">
        <v>1772</v>
      </c>
      <c r="C679" s="1655" t="s">
        <v>58</v>
      </c>
      <c r="D679" s="1674">
        <f>IF('TAX CREDIT'!E144="","",'TAX CREDIT'!E144)</f>
        <v>0</v>
      </c>
      <c r="G679" s="1658"/>
      <c r="H679" s="1658"/>
      <c r="I679" s="1677"/>
      <c r="K679" s="1668"/>
      <c r="L679" s="1668"/>
      <c r="M679" s="1668"/>
    </row>
    <row r="680" spans="1:13" x14ac:dyDescent="0.25">
      <c r="A680" s="1655" t="s">
        <v>1472</v>
      </c>
      <c r="B680" s="1655" t="s">
        <v>1772</v>
      </c>
      <c r="C680" s="1655" t="s">
        <v>59</v>
      </c>
      <c r="D680" s="1674">
        <f>IF('TAX CREDIT'!K144="","",'TAX CREDIT'!K144)</f>
        <v>0</v>
      </c>
      <c r="G680" s="1658"/>
      <c r="H680" s="1658"/>
      <c r="I680" s="1677"/>
      <c r="K680" s="1668"/>
      <c r="L680" s="1668"/>
      <c r="M680" s="1668"/>
    </row>
    <row r="681" spans="1:13" x14ac:dyDescent="0.25">
      <c r="A681" s="1655" t="s">
        <v>1472</v>
      </c>
      <c r="B681" s="1655" t="s">
        <v>1772</v>
      </c>
      <c r="C681" s="1655" t="s">
        <v>1773</v>
      </c>
      <c r="D681" s="1674" t="str">
        <f>IF(TC_TypeofOfferingPublic="","",TC_TypeofOfferingPublic)</f>
        <v/>
      </c>
      <c r="G681" s="1658"/>
      <c r="H681" s="1658"/>
      <c r="I681" s="1677"/>
      <c r="K681" s="1655" t="s">
        <v>1209</v>
      </c>
      <c r="L681" s="1659" t="s">
        <v>1774</v>
      </c>
      <c r="M681" s="1657" t="str">
        <f>IF(D681="X","Public",IF(D682="X","Private",""))</f>
        <v/>
      </c>
    </row>
    <row r="682" spans="1:13" x14ac:dyDescent="0.25">
      <c r="A682" s="1655" t="s">
        <v>1472</v>
      </c>
      <c r="B682" s="1655" t="s">
        <v>1772</v>
      </c>
      <c r="C682" s="1655" t="s">
        <v>1775</v>
      </c>
      <c r="D682" s="1674" t="str">
        <f>IF(TC_TypeofOfferingPrivate="","",TC_TypeofOfferingPrivate)</f>
        <v/>
      </c>
      <c r="G682" s="1658"/>
      <c r="H682" s="1658"/>
      <c r="I682" s="1677"/>
      <c r="K682" s="1668"/>
      <c r="L682" s="1668"/>
      <c r="M682" s="1668"/>
    </row>
    <row r="683" spans="1:13" x14ac:dyDescent="0.25">
      <c r="A683" s="1655" t="s">
        <v>1472</v>
      </c>
      <c r="B683" s="1655" t="s">
        <v>1772</v>
      </c>
      <c r="C683" s="1655" t="s">
        <v>1776</v>
      </c>
      <c r="D683" s="1674" t="str">
        <f>IF(TC_TypeofInvestorsIndv="","",TC_TypeofInvestorsIndv)</f>
        <v/>
      </c>
      <c r="G683" s="1658"/>
      <c r="H683" s="1658"/>
      <c r="I683" s="1677"/>
      <c r="K683" s="1655" t="s">
        <v>1209</v>
      </c>
      <c r="L683" s="1659" t="s">
        <v>1777</v>
      </c>
      <c r="M683" s="1657" t="str">
        <f>IF(D683="X","Individuals",IF(D684="X","Fund",IF(D685="X","Corporation","")))</f>
        <v/>
      </c>
    </row>
    <row r="684" spans="1:13" x14ac:dyDescent="0.25">
      <c r="A684" s="1655" t="s">
        <v>1472</v>
      </c>
      <c r="B684" s="1655" t="s">
        <v>1772</v>
      </c>
      <c r="C684" s="1655" t="s">
        <v>1778</v>
      </c>
      <c r="D684" s="1674" t="str">
        <f>IF(TC_TypeofInvestorsFund="","",TC_TypeofInvestorsFund)</f>
        <v/>
      </c>
      <c r="G684" s="1658"/>
      <c r="H684" s="1658"/>
      <c r="I684" s="1677"/>
      <c r="K684" s="1668"/>
      <c r="L684" s="1668"/>
      <c r="M684" s="1668"/>
    </row>
    <row r="685" spans="1:13" x14ac:dyDescent="0.25">
      <c r="A685" s="1655" t="s">
        <v>1472</v>
      </c>
      <c r="B685" s="1655" t="s">
        <v>1772</v>
      </c>
      <c r="C685" s="1655" t="s">
        <v>1779</v>
      </c>
      <c r="D685" s="1674" t="str">
        <f>IF(TC_TypeofInvestorsCorp="","",TC_TypeofInvestorsCorp)</f>
        <v/>
      </c>
      <c r="G685" s="1658"/>
      <c r="H685" s="1658"/>
      <c r="I685" s="1677"/>
      <c r="K685" s="1668"/>
      <c r="L685" s="1668"/>
      <c r="M685" s="1668"/>
    </row>
    <row r="686" spans="1:13" x14ac:dyDescent="0.25">
      <c r="A686" s="1655" t="s">
        <v>1472</v>
      </c>
      <c r="B686" s="1655" t="s">
        <v>863</v>
      </c>
      <c r="C686" s="1655" t="s">
        <v>1780</v>
      </c>
      <c r="D686" s="1674" t="str">
        <f>IF(TC_PercentPaid1="","",TC_PercentPaid1)</f>
        <v/>
      </c>
      <c r="G686" s="1655" t="s">
        <v>1209</v>
      </c>
      <c r="H686" s="1655" t="s">
        <v>1772</v>
      </c>
      <c r="I686" s="667" t="str">
        <f t="shared" ref="I686:I691" si="152">IF(D686="","",D686)</f>
        <v/>
      </c>
    </row>
    <row r="687" spans="1:13" x14ac:dyDescent="0.25">
      <c r="A687" s="1655" t="s">
        <v>1472</v>
      </c>
      <c r="B687" s="1655" t="s">
        <v>863</v>
      </c>
      <c r="C687" s="1655" t="s">
        <v>1781</v>
      </c>
      <c r="D687" s="1674" t="str">
        <f>IF(TC_PercentPaid2="","",TC_PercentPaid2)</f>
        <v/>
      </c>
      <c r="G687" s="1655" t="s">
        <v>1209</v>
      </c>
      <c r="H687" s="1655" t="s">
        <v>1772</v>
      </c>
      <c r="I687" s="667" t="str">
        <f t="shared" si="152"/>
        <v/>
      </c>
    </row>
    <row r="688" spans="1:13" x14ac:dyDescent="0.25">
      <c r="A688" s="1655" t="s">
        <v>1472</v>
      </c>
      <c r="B688" s="1655" t="s">
        <v>863</v>
      </c>
      <c r="C688" s="1655" t="s">
        <v>1782</v>
      </c>
      <c r="D688" s="1674" t="str">
        <f>IF(TC_PercentPaid3="","",TC_PercentPaid3)</f>
        <v/>
      </c>
      <c r="G688" s="1655" t="s">
        <v>1209</v>
      </c>
      <c r="H688" s="1655" t="s">
        <v>1772</v>
      </c>
      <c r="I688" s="667" t="str">
        <f t="shared" si="152"/>
        <v/>
      </c>
    </row>
    <row r="689" spans="1:9" x14ac:dyDescent="0.25">
      <c r="A689" s="1655" t="s">
        <v>1472</v>
      </c>
      <c r="B689" s="1655" t="s">
        <v>863</v>
      </c>
      <c r="C689" s="1655" t="s">
        <v>1783</v>
      </c>
      <c r="D689" s="1674" t="str">
        <f>IF(TC_PercentPaid4="","",TC_PercentPaid4)</f>
        <v/>
      </c>
      <c r="G689" s="1655" t="s">
        <v>1209</v>
      </c>
      <c r="H689" s="1655" t="s">
        <v>1772</v>
      </c>
      <c r="I689" s="667" t="str">
        <f t="shared" si="152"/>
        <v/>
      </c>
    </row>
    <row r="690" spans="1:9" x14ac:dyDescent="0.25">
      <c r="A690" s="1655" t="s">
        <v>1472</v>
      </c>
      <c r="B690" s="1655" t="s">
        <v>863</v>
      </c>
      <c r="C690" s="1655" t="s">
        <v>1784</v>
      </c>
      <c r="D690" s="1674" t="str">
        <f>IF(TC_PercentPaid5="","",TC_PercentPaid5)</f>
        <v/>
      </c>
      <c r="G690" s="1655" t="s">
        <v>1209</v>
      </c>
      <c r="H690" s="1655" t="s">
        <v>1772</v>
      </c>
      <c r="I690" s="667" t="str">
        <f t="shared" si="152"/>
        <v/>
      </c>
    </row>
    <row r="691" spans="1:9" x14ac:dyDescent="0.25">
      <c r="A691" s="1655" t="s">
        <v>1472</v>
      </c>
      <c r="B691" s="1655" t="s">
        <v>863</v>
      </c>
      <c r="C691" s="1655" t="s">
        <v>1785</v>
      </c>
      <c r="D691" s="1674" t="str">
        <f>IF(TC_PercentPaid6="","",TC_PercentPaid6)</f>
        <v/>
      </c>
      <c r="G691" s="1655" t="s">
        <v>1209</v>
      </c>
      <c r="H691" s="1655" t="s">
        <v>1772</v>
      </c>
      <c r="I691" s="667" t="str">
        <f t="shared" si="152"/>
        <v/>
      </c>
    </row>
    <row r="692" spans="1:9" x14ac:dyDescent="0.25">
      <c r="A692" s="1655" t="s">
        <v>1472</v>
      </c>
      <c r="B692" s="1655" t="s">
        <v>863</v>
      </c>
      <c r="C692" s="1655" t="s">
        <v>1786</v>
      </c>
      <c r="D692" s="1674" t="str">
        <f>IF(TC_PercentPaid7="","",TC_PercentPaid7)</f>
        <v/>
      </c>
      <c r="G692" s="1659" t="s">
        <v>1209</v>
      </c>
      <c r="H692" s="1659" t="s">
        <v>1772</v>
      </c>
      <c r="I692" s="1659" t="str">
        <f>IF(D692="","",D692)</f>
        <v/>
      </c>
    </row>
    <row r="693" spans="1:9" x14ac:dyDescent="0.25">
      <c r="A693" s="1655" t="s">
        <v>1472</v>
      </c>
      <c r="B693" s="1655" t="s">
        <v>863</v>
      </c>
      <c r="C693" s="1655" t="s">
        <v>1787</v>
      </c>
      <c r="D693" s="1674" t="str">
        <f>IF(TC_PercentPaid8="","",TC_PercentPaid8)</f>
        <v/>
      </c>
      <c r="G693" s="1659" t="s">
        <v>1209</v>
      </c>
      <c r="H693" s="1659" t="s">
        <v>1772</v>
      </c>
      <c r="I693" s="1659" t="str">
        <f>IF(D693="","",D693)</f>
        <v/>
      </c>
    </row>
    <row r="694" spans="1:9" x14ac:dyDescent="0.25">
      <c r="A694" s="1655" t="s">
        <v>1472</v>
      </c>
      <c r="B694" s="1655" t="s">
        <v>863</v>
      </c>
      <c r="C694" s="1655" t="s">
        <v>1788</v>
      </c>
      <c r="D694" s="1674" t="str">
        <f>IF(TC_PercentPaid9="","",TC_PercentPaid9)</f>
        <v/>
      </c>
      <c r="G694" s="1659" t="s">
        <v>1209</v>
      </c>
      <c r="H694" s="1659" t="s">
        <v>1772</v>
      </c>
      <c r="I694" s="1659" t="str">
        <f>IF(D694="","",D694)</f>
        <v/>
      </c>
    </row>
    <row r="695" spans="1:9" x14ac:dyDescent="0.25">
      <c r="A695" s="1655" t="s">
        <v>1472</v>
      </c>
      <c r="B695" s="1655" t="s">
        <v>863</v>
      </c>
      <c r="C695" s="1655" t="s">
        <v>1789</v>
      </c>
      <c r="D695" s="1674" t="str">
        <f>IF(TC_PercentPaid10="","",TC_PercentPaid10)</f>
        <v/>
      </c>
      <c r="G695" s="1659" t="s">
        <v>1209</v>
      </c>
      <c r="H695" s="1659" t="s">
        <v>1772</v>
      </c>
      <c r="I695" s="1659" t="str">
        <f>IF(D695="","",D695)</f>
        <v/>
      </c>
    </row>
    <row r="696" spans="1:9" x14ac:dyDescent="0.25">
      <c r="A696" s="1655" t="s">
        <v>1472</v>
      </c>
      <c r="B696" s="1655" t="s">
        <v>863</v>
      </c>
      <c r="C696" s="1655" t="s">
        <v>1790</v>
      </c>
      <c r="D696" s="1674" t="str">
        <f>IF(TC_AmountPaid1="","",TC_AmountPaid1)</f>
        <v/>
      </c>
      <c r="G696" s="1655" t="s">
        <v>1209</v>
      </c>
      <c r="H696" s="1655" t="s">
        <v>1772</v>
      </c>
      <c r="I696" s="1674" t="str">
        <f t="shared" ref="I696:I701" si="153">IF(D696="","",D696)</f>
        <v/>
      </c>
    </row>
    <row r="697" spans="1:9" x14ac:dyDescent="0.25">
      <c r="A697" s="1655" t="s">
        <v>1472</v>
      </c>
      <c r="B697" s="1655" t="s">
        <v>863</v>
      </c>
      <c r="C697" s="1655" t="s">
        <v>1791</v>
      </c>
      <c r="D697" s="1674" t="str">
        <f>IF(TC_AmountPaid2="","",TC_AmountPaid2)</f>
        <v/>
      </c>
      <c r="G697" s="1655" t="s">
        <v>1209</v>
      </c>
      <c r="H697" s="1655" t="s">
        <v>1772</v>
      </c>
      <c r="I697" s="1674" t="str">
        <f t="shared" si="153"/>
        <v/>
      </c>
    </row>
    <row r="698" spans="1:9" x14ac:dyDescent="0.25">
      <c r="A698" s="1655" t="s">
        <v>1472</v>
      </c>
      <c r="B698" s="1655" t="s">
        <v>863</v>
      </c>
      <c r="C698" s="1655" t="s">
        <v>1792</v>
      </c>
      <c r="D698" s="1674" t="str">
        <f>IF(TC_AmountPaid3="","",TC_AmountPaid3)</f>
        <v/>
      </c>
      <c r="G698" s="1655" t="s">
        <v>1209</v>
      </c>
      <c r="H698" s="1655" t="s">
        <v>1772</v>
      </c>
      <c r="I698" s="1674" t="str">
        <f t="shared" si="153"/>
        <v/>
      </c>
    </row>
    <row r="699" spans="1:9" x14ac:dyDescent="0.25">
      <c r="A699" s="1655" t="s">
        <v>1472</v>
      </c>
      <c r="B699" s="1655" t="s">
        <v>863</v>
      </c>
      <c r="C699" s="1655" t="s">
        <v>1793</v>
      </c>
      <c r="D699" s="1674" t="str">
        <f>IF(TC_AmountPaid4="","",TC_AmountPaid4)</f>
        <v/>
      </c>
      <c r="G699" s="1655" t="s">
        <v>1209</v>
      </c>
      <c r="H699" s="1655" t="s">
        <v>1772</v>
      </c>
      <c r="I699" s="1674" t="str">
        <f t="shared" si="153"/>
        <v/>
      </c>
    </row>
    <row r="700" spans="1:9" x14ac:dyDescent="0.25">
      <c r="A700" s="1655" t="s">
        <v>1472</v>
      </c>
      <c r="B700" s="1655" t="s">
        <v>863</v>
      </c>
      <c r="C700" s="1655" t="s">
        <v>1794</v>
      </c>
      <c r="D700" s="1674" t="str">
        <f>IF(TC_AmountPaid5="","",TC_AmountPaid5)</f>
        <v/>
      </c>
      <c r="G700" s="1655" t="s">
        <v>1209</v>
      </c>
      <c r="H700" s="1655" t="s">
        <v>1772</v>
      </c>
      <c r="I700" s="1674" t="str">
        <f t="shared" si="153"/>
        <v/>
      </c>
    </row>
    <row r="701" spans="1:9" x14ac:dyDescent="0.25">
      <c r="A701" s="1655" t="s">
        <v>1472</v>
      </c>
      <c r="B701" s="1655" t="s">
        <v>863</v>
      </c>
      <c r="C701" s="1655" t="s">
        <v>1795</v>
      </c>
      <c r="D701" s="1674" t="str">
        <f>IF(TC_AmountPaid6="","",TC_AmountPaid6)</f>
        <v/>
      </c>
      <c r="G701" s="1655" t="s">
        <v>1209</v>
      </c>
      <c r="H701" s="1655" t="s">
        <v>1772</v>
      </c>
      <c r="I701" s="1674" t="str">
        <f t="shared" si="153"/>
        <v/>
      </c>
    </row>
    <row r="702" spans="1:9" x14ac:dyDescent="0.25">
      <c r="A702" s="1655" t="s">
        <v>1472</v>
      </c>
      <c r="B702" s="1655" t="s">
        <v>863</v>
      </c>
      <c r="C702" s="1655" t="s">
        <v>1796</v>
      </c>
      <c r="D702" s="1674" t="str">
        <f>IF(TC_AmountPaid7="","",TC_AmountPaid7)</f>
        <v/>
      </c>
      <c r="G702" s="1659" t="s">
        <v>1209</v>
      </c>
      <c r="H702" s="1659" t="s">
        <v>1772</v>
      </c>
      <c r="I702" s="1659" t="str">
        <f>IF(D702="","",D702)</f>
        <v/>
      </c>
    </row>
    <row r="703" spans="1:9" x14ac:dyDescent="0.25">
      <c r="A703" s="1655" t="s">
        <v>1472</v>
      </c>
      <c r="B703" s="1655" t="s">
        <v>863</v>
      </c>
      <c r="C703" s="1655" t="s">
        <v>1797</v>
      </c>
      <c r="D703" s="1674" t="str">
        <f>IF(TC_AmountPaid8="","",TC_AmountPaid8)</f>
        <v/>
      </c>
      <c r="G703" s="1659" t="s">
        <v>1209</v>
      </c>
      <c r="H703" s="1659" t="s">
        <v>1772</v>
      </c>
      <c r="I703" s="1659" t="str">
        <f>IF(D703="","",D703)</f>
        <v/>
      </c>
    </row>
    <row r="704" spans="1:9" x14ac:dyDescent="0.25">
      <c r="A704" s="1655" t="s">
        <v>1472</v>
      </c>
      <c r="B704" s="1655" t="s">
        <v>863</v>
      </c>
      <c r="C704" s="1655" t="s">
        <v>1798</v>
      </c>
      <c r="D704" s="1674" t="str">
        <f>IF(TC_AmountPaid9="","",TC_AmountPaid9)</f>
        <v/>
      </c>
      <c r="G704" s="1659" t="s">
        <v>1209</v>
      </c>
      <c r="H704" s="1659" t="s">
        <v>1772</v>
      </c>
      <c r="I704" s="1659" t="str">
        <f>IF(D704="","",D704)</f>
        <v/>
      </c>
    </row>
    <row r="705" spans="1:9" x14ac:dyDescent="0.25">
      <c r="A705" s="1655" t="s">
        <v>1472</v>
      </c>
      <c r="B705" s="1655" t="s">
        <v>863</v>
      </c>
      <c r="C705" s="1655" t="s">
        <v>1799</v>
      </c>
      <c r="D705" s="1674" t="str">
        <f>IF(TC_AmountPaid10="","",TC_AmountPaid10)</f>
        <v/>
      </c>
      <c r="G705" s="1659" t="s">
        <v>1209</v>
      </c>
      <c r="H705" s="1659" t="s">
        <v>1772</v>
      </c>
      <c r="I705" s="1659" t="str">
        <f>IF(D705="","",D705)</f>
        <v/>
      </c>
    </row>
    <row r="706" spans="1:9" x14ac:dyDescent="0.25">
      <c r="A706" s="1655" t="s">
        <v>1472</v>
      </c>
      <c r="B706" s="1655" t="s">
        <v>863</v>
      </c>
      <c r="C706" s="1655" t="s">
        <v>1800</v>
      </c>
      <c r="D706" s="1674" t="str">
        <f>IF(TC_DatePaid1="","",TC_DatePaid1)</f>
        <v/>
      </c>
      <c r="G706" s="1655" t="s">
        <v>1209</v>
      </c>
      <c r="H706" s="1655" t="s">
        <v>1772</v>
      </c>
      <c r="I706" s="1665" t="str">
        <f t="shared" ref="I706:I711" si="154">IF(D706="","",D706)</f>
        <v/>
      </c>
    </row>
    <row r="707" spans="1:9" x14ac:dyDescent="0.25">
      <c r="A707" s="1655" t="s">
        <v>1472</v>
      </c>
      <c r="B707" s="1655" t="s">
        <v>863</v>
      </c>
      <c r="C707" s="1655" t="s">
        <v>1801</v>
      </c>
      <c r="D707" s="1674" t="str">
        <f>IF(TC_DatePaid2="","",TC_DatePaid2)</f>
        <v/>
      </c>
      <c r="G707" s="1655" t="s">
        <v>1209</v>
      </c>
      <c r="H707" s="1655" t="s">
        <v>1772</v>
      </c>
      <c r="I707" s="1665" t="str">
        <f t="shared" si="154"/>
        <v/>
      </c>
    </row>
    <row r="708" spans="1:9" x14ac:dyDescent="0.25">
      <c r="A708" s="1655" t="s">
        <v>1472</v>
      </c>
      <c r="B708" s="1655" t="s">
        <v>863</v>
      </c>
      <c r="C708" s="1655" t="s">
        <v>1802</v>
      </c>
      <c r="D708" s="1674" t="str">
        <f>IF(TC_DatePaid3="","",TC_DatePaid3)</f>
        <v/>
      </c>
      <c r="G708" s="1655" t="s">
        <v>1209</v>
      </c>
      <c r="H708" s="1655" t="s">
        <v>1772</v>
      </c>
      <c r="I708" s="1665" t="str">
        <f t="shared" si="154"/>
        <v/>
      </c>
    </row>
    <row r="709" spans="1:9" x14ac:dyDescent="0.25">
      <c r="A709" s="1655" t="s">
        <v>1472</v>
      </c>
      <c r="B709" s="1655" t="s">
        <v>863</v>
      </c>
      <c r="C709" s="1655" t="s">
        <v>1803</v>
      </c>
      <c r="D709" s="1674" t="str">
        <f>IF(TC_DatePaid4="","",TC_DatePaid4)</f>
        <v/>
      </c>
      <c r="G709" s="1655" t="s">
        <v>1209</v>
      </c>
      <c r="H709" s="1655" t="s">
        <v>1772</v>
      </c>
      <c r="I709" s="1665" t="str">
        <f t="shared" si="154"/>
        <v/>
      </c>
    </row>
    <row r="710" spans="1:9" x14ac:dyDescent="0.25">
      <c r="A710" s="1655" t="s">
        <v>1472</v>
      </c>
      <c r="B710" s="1655" t="s">
        <v>863</v>
      </c>
      <c r="C710" s="1655" t="s">
        <v>1804</v>
      </c>
      <c r="D710" s="1674" t="str">
        <f>IF(TC_DatePaid5="","",TC_DatePaid5)</f>
        <v/>
      </c>
      <c r="G710" s="1655" t="s">
        <v>1209</v>
      </c>
      <c r="H710" s="1655" t="s">
        <v>1772</v>
      </c>
      <c r="I710" s="1665" t="str">
        <f t="shared" si="154"/>
        <v/>
      </c>
    </row>
    <row r="711" spans="1:9" x14ac:dyDescent="0.25">
      <c r="A711" s="1655" t="s">
        <v>1472</v>
      </c>
      <c r="B711" s="1655" t="s">
        <v>863</v>
      </c>
      <c r="C711" s="1655" t="s">
        <v>1805</v>
      </c>
      <c r="D711" s="1674" t="str">
        <f>IF(TC_DatePaid6="","",TC_DatePaid6)</f>
        <v/>
      </c>
      <c r="G711" s="1655" t="s">
        <v>1209</v>
      </c>
      <c r="H711" s="1655" t="s">
        <v>1772</v>
      </c>
      <c r="I711" s="1665" t="str">
        <f t="shared" si="154"/>
        <v/>
      </c>
    </row>
    <row r="712" spans="1:9" x14ac:dyDescent="0.25">
      <c r="A712" s="1655" t="s">
        <v>1472</v>
      </c>
      <c r="B712" s="1655" t="s">
        <v>863</v>
      </c>
      <c r="C712" s="1655" t="s">
        <v>1806</v>
      </c>
      <c r="D712" s="1674" t="str">
        <f>IF(TC_DatePaid7="","",TC_DatePaid7)</f>
        <v/>
      </c>
      <c r="G712" s="1659" t="s">
        <v>1209</v>
      </c>
      <c r="H712" s="1659" t="s">
        <v>1772</v>
      </c>
      <c r="I712" s="1659" t="str">
        <f>IF(D712="","",D712)</f>
        <v/>
      </c>
    </row>
    <row r="713" spans="1:9" x14ac:dyDescent="0.25">
      <c r="A713" s="1655" t="s">
        <v>1472</v>
      </c>
      <c r="B713" s="1655" t="s">
        <v>863</v>
      </c>
      <c r="C713" s="1655" t="s">
        <v>1807</v>
      </c>
      <c r="D713" s="1674" t="str">
        <f>IF(TC_DatePaid8="","",TC_DatePaid8)</f>
        <v/>
      </c>
      <c r="G713" s="1659" t="s">
        <v>1209</v>
      </c>
      <c r="H713" s="1659" t="s">
        <v>1772</v>
      </c>
      <c r="I713" s="1659" t="str">
        <f>IF(D713="","",D713)</f>
        <v/>
      </c>
    </row>
    <row r="714" spans="1:9" x14ac:dyDescent="0.25">
      <c r="A714" s="1655" t="s">
        <v>1472</v>
      </c>
      <c r="B714" s="1655" t="s">
        <v>863</v>
      </c>
      <c r="C714" s="1655" t="s">
        <v>1808</v>
      </c>
      <c r="D714" s="1674" t="str">
        <f>IF(TC_DatePaid9="","",TC_DatePaid9)</f>
        <v/>
      </c>
      <c r="G714" s="1659" t="s">
        <v>1209</v>
      </c>
      <c r="H714" s="1659" t="s">
        <v>1772</v>
      </c>
      <c r="I714" s="1659" t="str">
        <f>IF(D714="","",D714)</f>
        <v/>
      </c>
    </row>
    <row r="715" spans="1:9" x14ac:dyDescent="0.25">
      <c r="A715" s="1655" t="s">
        <v>1472</v>
      </c>
      <c r="B715" s="1655" t="s">
        <v>863</v>
      </c>
      <c r="C715" s="1655" t="s">
        <v>1809</v>
      </c>
      <c r="D715" s="1674" t="str">
        <f>IF(TC_DatePaid10="","",TC_DatePaid10)</f>
        <v/>
      </c>
      <c r="G715" s="1659" t="s">
        <v>1209</v>
      </c>
      <c r="H715" s="1659" t="s">
        <v>1772</v>
      </c>
      <c r="I715" s="1659" t="str">
        <f>IF(D715="","",D715)</f>
        <v/>
      </c>
    </row>
    <row r="716" spans="1:9" x14ac:dyDescent="0.25">
      <c r="A716" s="1655" t="s">
        <v>1472</v>
      </c>
      <c r="B716" s="1655" t="s">
        <v>1810</v>
      </c>
      <c r="C716" s="1655" t="s">
        <v>1811</v>
      </c>
      <c r="D716" s="1674" t="str">
        <f>IF(TC_CensustractDDA="","",TC_CensustractDDA)</f>
        <v>Enter Tract Number</v>
      </c>
      <c r="G716" s="1655" t="s">
        <v>1209</v>
      </c>
      <c r="H716" s="1655" t="s">
        <v>1761</v>
      </c>
      <c r="I716" s="1674" t="str">
        <f t="shared" ref="I716:I724" si="155">IF(D716="","",D716)</f>
        <v>Enter Tract Number</v>
      </c>
    </row>
    <row r="717" spans="1:9" x14ac:dyDescent="0.25">
      <c r="A717" s="1655" t="s">
        <v>1472</v>
      </c>
      <c r="B717" s="1655" t="s">
        <v>1810</v>
      </c>
      <c r="C717" s="1655" t="s">
        <v>1812</v>
      </c>
      <c r="D717" s="1674" t="str">
        <f>IF(TC_QCTDDAPerc="","",TC_QCTDDAPerc)</f>
        <v/>
      </c>
      <c r="G717" s="1655" t="s">
        <v>1209</v>
      </c>
      <c r="H717" s="1655" t="s">
        <v>1761</v>
      </c>
      <c r="I717" s="673" t="str">
        <f t="shared" si="155"/>
        <v/>
      </c>
    </row>
    <row r="718" spans="1:9" x14ac:dyDescent="0.25">
      <c r="A718" s="1655" t="s">
        <v>1472</v>
      </c>
      <c r="B718" s="1655" t="s">
        <v>905</v>
      </c>
      <c r="C718" s="1655" t="s">
        <v>909</v>
      </c>
      <c r="D718" s="1674" t="str">
        <f>IF(TC_RuralHousing="","",TC_RuralHousing)</f>
        <v/>
      </c>
      <c r="G718" s="1655" t="s">
        <v>1209</v>
      </c>
      <c r="H718" s="1655" t="s">
        <v>1761</v>
      </c>
      <c r="I718" s="1674" t="str">
        <f t="shared" si="155"/>
        <v/>
      </c>
    </row>
    <row r="719" spans="1:9" x14ac:dyDescent="0.25">
      <c r="A719" s="1655" t="s">
        <v>1472</v>
      </c>
      <c r="B719" s="1655" t="s">
        <v>905</v>
      </c>
      <c r="C719" s="1655" t="s">
        <v>910</v>
      </c>
      <c r="D719" s="1674" t="str">
        <f>IF(TC_CDBG="","",TC_CDBG)</f>
        <v/>
      </c>
      <c r="G719" s="1655" t="s">
        <v>1209</v>
      </c>
      <c r="H719" s="1655" t="s">
        <v>1761</v>
      </c>
      <c r="I719" s="1674" t="str">
        <f t="shared" si="155"/>
        <v/>
      </c>
    </row>
    <row r="720" spans="1:9" x14ac:dyDescent="0.25">
      <c r="A720" s="1655" t="s">
        <v>1472</v>
      </c>
      <c r="B720" s="1655" t="s">
        <v>905</v>
      </c>
      <c r="C720" s="1655" t="s">
        <v>533</v>
      </c>
      <c r="D720" s="1674" t="str">
        <f>IF(TC_RentalRehab="","",TC_RentalRehab)</f>
        <v/>
      </c>
      <c r="G720" s="1655" t="s">
        <v>1209</v>
      </c>
      <c r="H720" s="1655" t="s">
        <v>1761</v>
      </c>
      <c r="I720" s="1674" t="str">
        <f t="shared" si="155"/>
        <v/>
      </c>
    </row>
    <row r="721" spans="1:9" x14ac:dyDescent="0.25">
      <c r="A721" s="1655" t="s">
        <v>1472</v>
      </c>
      <c r="B721" s="1655" t="s">
        <v>905</v>
      </c>
      <c r="C721" s="1655" t="s">
        <v>911</v>
      </c>
      <c r="D721" s="1674" t="str">
        <f>IF(TC_UDAG="","",TC_UDAG)</f>
        <v/>
      </c>
      <c r="G721" s="1655" t="s">
        <v>1209</v>
      </c>
      <c r="H721" s="1655" t="s">
        <v>1761</v>
      </c>
      <c r="I721" s="1674" t="str">
        <f t="shared" si="155"/>
        <v/>
      </c>
    </row>
    <row r="722" spans="1:9" x14ac:dyDescent="0.25">
      <c r="A722" s="1655" t="s">
        <v>1472</v>
      </c>
      <c r="B722" s="1655" t="s">
        <v>905</v>
      </c>
      <c r="C722" s="1655" t="s">
        <v>912</v>
      </c>
      <c r="D722" s="1674" t="str">
        <f>IF(TC_HDAG="","",TC_HDAG)</f>
        <v/>
      </c>
      <c r="G722" s="1655" t="s">
        <v>1209</v>
      </c>
      <c r="H722" s="1655" t="s">
        <v>1761</v>
      </c>
      <c r="I722" s="1674" t="str">
        <f t="shared" si="155"/>
        <v/>
      </c>
    </row>
    <row r="723" spans="1:9" x14ac:dyDescent="0.25">
      <c r="A723" s="1655" t="s">
        <v>1472</v>
      </c>
      <c r="B723" s="1655" t="s">
        <v>905</v>
      </c>
      <c r="C723" s="1655" t="s">
        <v>913</v>
      </c>
      <c r="D723" s="1674" t="str">
        <f>IF(TC_HOME="","",TC_HOME)</f>
        <v/>
      </c>
      <c r="G723" s="1655" t="s">
        <v>1209</v>
      </c>
      <c r="H723" s="1655" t="s">
        <v>1761</v>
      </c>
      <c r="I723" s="1674" t="str">
        <f t="shared" si="155"/>
        <v/>
      </c>
    </row>
    <row r="724" spans="1:9" x14ac:dyDescent="0.25">
      <c r="A724" s="1655" t="s">
        <v>1472</v>
      </c>
      <c r="B724" s="1655" t="s">
        <v>905</v>
      </c>
      <c r="C724" s="1655" t="s">
        <v>280</v>
      </c>
      <c r="D724" s="1674" t="str">
        <f>IF(TC_Other="","",TC_Other)</f>
        <v/>
      </c>
      <c r="G724" s="1655" t="s">
        <v>1209</v>
      </c>
      <c r="H724" s="1655" t="s">
        <v>1761</v>
      </c>
      <c r="I724" s="1674" t="str">
        <f t="shared" si="155"/>
        <v/>
      </c>
    </row>
    <row r="725" spans="1:9" x14ac:dyDescent="0.25">
      <c r="A725" s="1655" t="s">
        <v>1472</v>
      </c>
      <c r="B725" s="1655" t="s">
        <v>905</v>
      </c>
      <c r="C725" s="1655" t="s">
        <v>1500</v>
      </c>
      <c r="D725" s="1674" t="str">
        <f>IF(TC_OtherDescribe="","",TC_OtherDescribe)</f>
        <v>Describe</v>
      </c>
      <c r="G725" s="1655" t="s">
        <v>1209</v>
      </c>
      <c r="H725" s="1655" t="s">
        <v>1761</v>
      </c>
      <c r="I725" s="1674" t="str">
        <f>IF(OR(D725="",D725="Describe"),"",D725)</f>
        <v/>
      </c>
    </row>
    <row r="726" spans="1:9" x14ac:dyDescent="0.25">
      <c r="A726" s="1655" t="s">
        <v>1472</v>
      </c>
      <c r="B726" s="1655" t="s">
        <v>905</v>
      </c>
      <c r="C726" s="1655" t="s">
        <v>1813</v>
      </c>
      <c r="D726" s="1674" t="str">
        <f>IF(TC_RuralHousingDeduct="","",TC_RuralHousingDeduct)</f>
        <v/>
      </c>
      <c r="G726" s="1655" t="s">
        <v>1209</v>
      </c>
      <c r="H726" s="1655" t="s">
        <v>1761</v>
      </c>
      <c r="I726" s="1674" t="str">
        <f t="shared" ref="I726:I736" si="156">IF(D726="","",D726)</f>
        <v/>
      </c>
    </row>
    <row r="727" spans="1:9" x14ac:dyDescent="0.25">
      <c r="A727" s="1655" t="s">
        <v>1472</v>
      </c>
      <c r="B727" s="1655" t="s">
        <v>905</v>
      </c>
      <c r="C727" s="1655" t="s">
        <v>1814</v>
      </c>
      <c r="D727" s="1674" t="str">
        <f>IF(TC_CDBGDeduct="","",TC_CDBGDeduct)</f>
        <v/>
      </c>
      <c r="G727" s="1655" t="s">
        <v>1209</v>
      </c>
      <c r="H727" s="1655" t="s">
        <v>1761</v>
      </c>
      <c r="I727" s="1674" t="str">
        <f t="shared" si="156"/>
        <v/>
      </c>
    </row>
    <row r="728" spans="1:9" x14ac:dyDescent="0.25">
      <c r="A728" s="1655" t="s">
        <v>1472</v>
      </c>
      <c r="B728" s="1655" t="s">
        <v>905</v>
      </c>
      <c r="C728" s="1655" t="s">
        <v>1815</v>
      </c>
      <c r="D728" s="1674" t="str">
        <f>IF(TC_RentalRehabDeduct="","",TC_RentalRehabDeduct)</f>
        <v/>
      </c>
      <c r="G728" s="1655" t="s">
        <v>1209</v>
      </c>
      <c r="H728" s="1655" t="s">
        <v>1761</v>
      </c>
      <c r="I728" s="1674" t="str">
        <f t="shared" si="156"/>
        <v/>
      </c>
    </row>
    <row r="729" spans="1:9" x14ac:dyDescent="0.25">
      <c r="A729" s="1655" t="s">
        <v>1472</v>
      </c>
      <c r="B729" s="1655" t="s">
        <v>905</v>
      </c>
      <c r="C729" s="1655" t="s">
        <v>1816</v>
      </c>
      <c r="D729" s="1674" t="str">
        <f>IF(TC_UDAGDeduct="","",TC_UDAGDeduct)</f>
        <v/>
      </c>
      <c r="G729" s="1655" t="s">
        <v>1209</v>
      </c>
      <c r="H729" s="1655" t="s">
        <v>1761</v>
      </c>
      <c r="I729" s="1674" t="str">
        <f t="shared" si="156"/>
        <v/>
      </c>
    </row>
    <row r="730" spans="1:9" x14ac:dyDescent="0.25">
      <c r="A730" s="1655" t="s">
        <v>1472</v>
      </c>
      <c r="B730" s="1655" t="s">
        <v>905</v>
      </c>
      <c r="C730" s="1655" t="s">
        <v>1817</v>
      </c>
      <c r="D730" s="1674" t="str">
        <f>IF(TC_HDAGDeduct="","",TC_HDAGDeduct)</f>
        <v/>
      </c>
      <c r="G730" s="1655" t="s">
        <v>1209</v>
      </c>
      <c r="H730" s="1655" t="s">
        <v>1761</v>
      </c>
      <c r="I730" s="1674" t="str">
        <f t="shared" si="156"/>
        <v/>
      </c>
    </row>
    <row r="731" spans="1:9" x14ac:dyDescent="0.25">
      <c r="A731" s="1655" t="s">
        <v>1472</v>
      </c>
      <c r="B731" s="1655" t="s">
        <v>905</v>
      </c>
      <c r="C731" s="1655" t="s">
        <v>1818</v>
      </c>
      <c r="D731" s="1674" t="str">
        <f>IF(TC_HOMEDeduct="","",TC_HOMEDeduct)</f>
        <v/>
      </c>
      <c r="G731" s="1655" t="s">
        <v>1209</v>
      </c>
      <c r="H731" s="1655" t="s">
        <v>1761</v>
      </c>
      <c r="I731" s="1674" t="str">
        <f t="shared" si="156"/>
        <v/>
      </c>
    </row>
    <row r="732" spans="1:9" x14ac:dyDescent="0.25">
      <c r="A732" s="1655" t="s">
        <v>1472</v>
      </c>
      <c r="B732" s="1655" t="s">
        <v>905</v>
      </c>
      <c r="C732" s="1655" t="s">
        <v>1819</v>
      </c>
      <c r="D732" s="1674" t="str">
        <f>IF(TC_OtherDeduct="","",TC_OtherDeduct)</f>
        <v/>
      </c>
      <c r="G732" s="1655" t="s">
        <v>1209</v>
      </c>
      <c r="H732" s="1655" t="s">
        <v>1761</v>
      </c>
      <c r="I732" s="1674" t="str">
        <f t="shared" si="156"/>
        <v/>
      </c>
    </row>
    <row r="733" spans="1:9" x14ac:dyDescent="0.25">
      <c r="A733" s="1655" t="s">
        <v>1472</v>
      </c>
      <c r="B733" s="1655" t="s">
        <v>1820</v>
      </c>
      <c r="C733" s="1655" t="s">
        <v>1821</v>
      </c>
      <c r="D733" s="1674" t="str">
        <f>IF(TC_HistoricCreditsFederal="","",TC_HistoricCreditsFederal)</f>
        <v/>
      </c>
      <c r="G733" s="1655" t="s">
        <v>1209</v>
      </c>
      <c r="H733" s="1655" t="s">
        <v>1761</v>
      </c>
      <c r="I733" s="1674" t="str">
        <f t="shared" si="156"/>
        <v/>
      </c>
    </row>
    <row r="734" spans="1:9" x14ac:dyDescent="0.25">
      <c r="A734" s="1655" t="s">
        <v>1472</v>
      </c>
      <c r="B734" s="1655" t="s">
        <v>1820</v>
      </c>
      <c r="C734" s="1655" t="s">
        <v>1822</v>
      </c>
      <c r="D734" s="1674" t="str">
        <f>IF(TC_HistoricCreditsState="","",TC_HistoricCreditsState)</f>
        <v/>
      </c>
      <c r="G734" s="1655" t="s">
        <v>1209</v>
      </c>
      <c r="H734" s="1655" t="s">
        <v>1761</v>
      </c>
      <c r="I734" s="1674" t="str">
        <f t="shared" si="156"/>
        <v/>
      </c>
    </row>
    <row r="735" spans="1:9" x14ac:dyDescent="0.25">
      <c r="A735" s="1655" t="s">
        <v>1472</v>
      </c>
      <c r="B735" s="1655" t="s">
        <v>1820</v>
      </c>
      <c r="C735" s="1655" t="s">
        <v>1823</v>
      </c>
      <c r="D735" s="1674" t="str">
        <f>IF(TC_RaiseRatioFederal="","",TC_RaiseRatioFederal)</f>
        <v/>
      </c>
      <c r="G735" s="1655" t="s">
        <v>1209</v>
      </c>
      <c r="H735" s="1655" t="s">
        <v>1761</v>
      </c>
      <c r="I735" s="1674" t="str">
        <f t="shared" si="156"/>
        <v/>
      </c>
    </row>
    <row r="736" spans="1:9" x14ac:dyDescent="0.25">
      <c r="A736" s="1655" t="s">
        <v>1472</v>
      </c>
      <c r="B736" s="1655" t="s">
        <v>1820</v>
      </c>
      <c r="C736" s="1655" t="s">
        <v>1824</v>
      </c>
      <c r="D736" s="1674" t="str">
        <f>IF(TC_RaiseRatioState="","",TC_RaiseRatioState)</f>
        <v/>
      </c>
      <c r="G736" s="1655" t="s">
        <v>1209</v>
      </c>
      <c r="H736" s="1655" t="s">
        <v>1761</v>
      </c>
      <c r="I736" s="1674" t="str">
        <f t="shared" si="156"/>
        <v/>
      </c>
    </row>
    <row r="739" spans="1:9" ht="13.8" x14ac:dyDescent="0.25">
      <c r="A739" s="1651" t="s">
        <v>1167</v>
      </c>
      <c r="B739" s="1651" t="s">
        <v>1168</v>
      </c>
      <c r="C739" s="1651"/>
      <c r="D739" s="1651"/>
      <c r="G739" s="1660" t="s">
        <v>1194</v>
      </c>
      <c r="H739" s="1660"/>
      <c r="I739" s="1660"/>
    </row>
    <row r="740" spans="1:9" x14ac:dyDescent="0.25">
      <c r="A740" s="1654" t="s">
        <v>1198</v>
      </c>
      <c r="B740" s="1654" t="s">
        <v>1199</v>
      </c>
      <c r="C740" s="1654" t="s">
        <v>1200</v>
      </c>
      <c r="D740" s="1654" t="s">
        <v>1201</v>
      </c>
      <c r="G740" s="1662" t="s">
        <v>1202</v>
      </c>
      <c r="H740" s="1662" t="s">
        <v>1203</v>
      </c>
      <c r="I740" s="1662" t="s">
        <v>1201</v>
      </c>
    </row>
    <row r="741" spans="1:9" x14ac:dyDescent="0.25">
      <c r="A741" s="1655" t="s">
        <v>1168</v>
      </c>
      <c r="B741" s="1655" t="s">
        <v>944</v>
      </c>
      <c r="C741" s="1655" t="s">
        <v>919</v>
      </c>
      <c r="D741" s="667">
        <f>IF(SUM_TrendLowIncome="","",SUM_TrendLowIncome)</f>
        <v>0.02</v>
      </c>
      <c r="G741" s="1659" t="s">
        <v>1206</v>
      </c>
      <c r="H741" s="1655" t="s">
        <v>1825</v>
      </c>
      <c r="I741" s="667">
        <f>D741</f>
        <v>0.02</v>
      </c>
    </row>
    <row r="742" spans="1:9" x14ac:dyDescent="0.25">
      <c r="A742" s="1655" t="s">
        <v>1168</v>
      </c>
      <c r="B742" s="1655" t="s">
        <v>944</v>
      </c>
      <c r="C742" s="1655" t="s">
        <v>595</v>
      </c>
      <c r="D742" s="667">
        <f>IF(SUM_TrendMarketRate="","",SUM_TrendMarketRate)</f>
        <v>0.02</v>
      </c>
      <c r="G742" s="1659" t="s">
        <v>1206</v>
      </c>
      <c r="H742" s="1655" t="s">
        <v>1826</v>
      </c>
      <c r="I742" s="667">
        <f t="shared" ref="I742:I751" si="157">D742</f>
        <v>0.02</v>
      </c>
    </row>
    <row r="743" spans="1:9" x14ac:dyDescent="0.25">
      <c r="A743" s="1655" t="s">
        <v>1168</v>
      </c>
      <c r="B743" s="1655" t="s">
        <v>944</v>
      </c>
      <c r="C743" s="1655" t="s">
        <v>946</v>
      </c>
      <c r="D743" s="667">
        <f>IF(SUM_TrendNonresidential="","",SUM_TrendNonresidential)</f>
        <v>0.02</v>
      </c>
      <c r="G743" s="1659" t="s">
        <v>1206</v>
      </c>
      <c r="H743" s="1655" t="s">
        <v>1827</v>
      </c>
      <c r="I743" s="667">
        <f t="shared" si="157"/>
        <v>0.02</v>
      </c>
    </row>
    <row r="744" spans="1:9" x14ac:dyDescent="0.25">
      <c r="A744" s="1655" t="s">
        <v>1168</v>
      </c>
      <c r="B744" s="1655" t="s">
        <v>944</v>
      </c>
      <c r="C744" s="1655" t="s">
        <v>612</v>
      </c>
      <c r="D744" s="667">
        <f>IF(SUM_TrendCommercialIncome="","",SUM_TrendCommercialIncome)</f>
        <v>0.02</v>
      </c>
      <c r="G744" s="1659" t="s">
        <v>1206</v>
      </c>
      <c r="H744" s="1655" t="s">
        <v>1828</v>
      </c>
      <c r="I744" s="667">
        <f t="shared" si="157"/>
        <v>0.02</v>
      </c>
    </row>
    <row r="745" spans="1:9" x14ac:dyDescent="0.25">
      <c r="A745" s="1655" t="s">
        <v>1168</v>
      </c>
      <c r="B745" s="1655" t="s">
        <v>944</v>
      </c>
      <c r="C745" s="1655" t="s">
        <v>953</v>
      </c>
      <c r="D745" s="667">
        <f>IF(SUM_TrendAdministrative="","",SUM_TrendAdministrative)</f>
        <v>0.03</v>
      </c>
      <c r="G745" s="1659" t="s">
        <v>1206</v>
      </c>
      <c r="H745" s="1655" t="s">
        <v>1829</v>
      </c>
      <c r="I745" s="667">
        <f t="shared" si="157"/>
        <v>0.03</v>
      </c>
    </row>
    <row r="746" spans="1:9" x14ac:dyDescent="0.25">
      <c r="A746" s="1655" t="s">
        <v>1168</v>
      </c>
      <c r="B746" s="1655" t="s">
        <v>944</v>
      </c>
      <c r="C746" s="1655" t="s">
        <v>955</v>
      </c>
      <c r="D746" s="667">
        <f>IF(SUM_TrendUtilities="","",SUM_TrendUtilities)</f>
        <v>0.03</v>
      </c>
      <c r="G746" s="1659" t="s">
        <v>1206</v>
      </c>
      <c r="H746" s="1655" t="s">
        <v>1830</v>
      </c>
      <c r="I746" s="667">
        <f t="shared" si="157"/>
        <v>0.03</v>
      </c>
    </row>
    <row r="747" spans="1:9" x14ac:dyDescent="0.25">
      <c r="A747" s="1655" t="s">
        <v>1168</v>
      </c>
      <c r="B747" s="1655" t="s">
        <v>944</v>
      </c>
      <c r="C747" s="1655" t="s">
        <v>956</v>
      </c>
      <c r="D747" s="667">
        <f>IF(SUM_TrendOM="","",SUM_TrendOM)</f>
        <v>0.03</v>
      </c>
      <c r="G747" s="1659" t="s">
        <v>1206</v>
      </c>
      <c r="H747" s="1655" t="s">
        <v>1831</v>
      </c>
      <c r="I747" s="667">
        <f t="shared" si="157"/>
        <v>0.03</v>
      </c>
    </row>
    <row r="748" spans="1:9" x14ac:dyDescent="0.25">
      <c r="A748" s="1655" t="s">
        <v>1168</v>
      </c>
      <c r="B748" s="1655" t="s">
        <v>944</v>
      </c>
      <c r="C748" s="1655" t="s">
        <v>669</v>
      </c>
      <c r="D748" s="667">
        <f>IF(SUM_TrendRealEstateTaxes="","",SUM_TrendRealEstateTaxes)</f>
        <v>0.03</v>
      </c>
      <c r="G748" s="1659" t="s">
        <v>1206</v>
      </c>
      <c r="H748" s="1655" t="s">
        <v>1832</v>
      </c>
      <c r="I748" s="667">
        <f t="shared" si="157"/>
        <v>0.03</v>
      </c>
    </row>
    <row r="749" spans="1:9" x14ac:dyDescent="0.25">
      <c r="A749" s="1655" t="s">
        <v>1168</v>
      </c>
      <c r="B749" s="1655" t="s">
        <v>944</v>
      </c>
      <c r="C749" s="1655" t="s">
        <v>670</v>
      </c>
      <c r="D749" s="667">
        <f>IF(SUM_TrendPaymentinLieuofRETax="","",SUM_TrendPaymentinLieuofRETax)</f>
        <v>0.03</v>
      </c>
      <c r="G749" s="1659" t="s">
        <v>1206</v>
      </c>
      <c r="H749" s="1655" t="s">
        <v>1833</v>
      </c>
      <c r="I749" s="667">
        <f t="shared" si="157"/>
        <v>0.03</v>
      </c>
    </row>
    <row r="750" spans="1:9" x14ac:dyDescent="0.25">
      <c r="A750" s="1655" t="s">
        <v>1168</v>
      </c>
      <c r="B750" s="1655" t="s">
        <v>944</v>
      </c>
      <c r="C750" s="1655" t="s">
        <v>957</v>
      </c>
      <c r="D750" s="667">
        <f>IF(SUM_TrendOtherTaxesInsurance="","",SUM_TrendOtherTaxesInsurance)</f>
        <v>0.03</v>
      </c>
      <c r="G750" s="1659" t="s">
        <v>1206</v>
      </c>
      <c r="H750" s="1655" t="s">
        <v>1834</v>
      </c>
      <c r="I750" s="667">
        <f t="shared" si="157"/>
        <v>0.03</v>
      </c>
    </row>
    <row r="751" spans="1:9" x14ac:dyDescent="0.25">
      <c r="A751" s="1655" t="s">
        <v>1168</v>
      </c>
      <c r="B751" s="1655" t="s">
        <v>944</v>
      </c>
      <c r="C751" s="1655" t="s">
        <v>682</v>
      </c>
      <c r="D751" s="667">
        <f>IF(SUM_TrendReplacementReserve="","",SUM_TrendReplacementReserve)</f>
        <v>0.03</v>
      </c>
      <c r="G751" s="1659" t="s">
        <v>1206</v>
      </c>
      <c r="H751" s="1655" t="s">
        <v>1835</v>
      </c>
      <c r="I751" s="667">
        <f t="shared" si="157"/>
        <v>0.03</v>
      </c>
    </row>
    <row r="754" spans="1:9" ht="13.8" x14ac:dyDescent="0.25">
      <c r="A754" s="1651" t="s">
        <v>1179</v>
      </c>
      <c r="B754" s="1651" t="s">
        <v>1180</v>
      </c>
      <c r="C754" s="1651"/>
      <c r="D754" s="1651"/>
      <c r="G754" s="1660" t="s">
        <v>1194</v>
      </c>
      <c r="H754" s="1660"/>
      <c r="I754" s="1660"/>
    </row>
    <row r="755" spans="1:9" x14ac:dyDescent="0.25">
      <c r="A755" s="1654" t="s">
        <v>1198</v>
      </c>
      <c r="B755" s="1654" t="s">
        <v>1199</v>
      </c>
      <c r="C755" s="1654" t="s">
        <v>1200</v>
      </c>
      <c r="D755" s="1654" t="s">
        <v>1201</v>
      </c>
      <c r="G755" s="1662" t="s">
        <v>1202</v>
      </c>
      <c r="H755" s="1662" t="s">
        <v>1203</v>
      </c>
      <c r="I755" s="1662" t="s">
        <v>1201</v>
      </c>
    </row>
    <row r="756" spans="1:9" x14ac:dyDescent="0.25">
      <c r="A756" s="1659" t="s">
        <v>1180</v>
      </c>
      <c r="B756" s="1659" t="s">
        <v>1836</v>
      </c>
      <c r="C756" s="1659" t="s">
        <v>1009</v>
      </c>
      <c r="D756" s="667" t="str">
        <f>IF(PFM_DeferredDeveloperFee="","",PFM_DeferredDeveloperFee)</f>
        <v/>
      </c>
      <c r="G756" s="1659" t="s">
        <v>1206</v>
      </c>
      <c r="H756" s="1659" t="s">
        <v>1837</v>
      </c>
      <c r="I756" s="673" t="str">
        <f t="shared" ref="I756:I763" si="158">IF(D756="","",D756)</f>
        <v/>
      </c>
    </row>
    <row r="757" spans="1:9" x14ac:dyDescent="0.25">
      <c r="A757" s="1659" t="s">
        <v>1180</v>
      </c>
      <c r="B757" s="1659" t="s">
        <v>1836</v>
      </c>
      <c r="C757" s="1659" t="s">
        <v>1010</v>
      </c>
      <c r="D757" s="667" t="str">
        <f>IF(PFM_DHCDLoans="","",PFM_DHCDLoans)</f>
        <v/>
      </c>
      <c r="G757" s="1659" t="s">
        <v>1206</v>
      </c>
      <c r="H757" s="1659" t="s">
        <v>1838</v>
      </c>
      <c r="I757" s="673" t="str">
        <f t="shared" si="158"/>
        <v/>
      </c>
    </row>
    <row r="758" spans="1:9" x14ac:dyDescent="0.25">
      <c r="A758" s="1659" t="s">
        <v>1180</v>
      </c>
      <c r="B758" s="1659" t="s">
        <v>1836</v>
      </c>
      <c r="C758" s="1659" t="s">
        <v>1011</v>
      </c>
      <c r="D758" s="667" t="str">
        <f>IF(PFM_LocalGovt="","",PFM_LocalGovt)</f>
        <v/>
      </c>
      <c r="G758" s="1659" t="s">
        <v>1206</v>
      </c>
      <c r="H758" s="1659" t="s">
        <v>1839</v>
      </c>
      <c r="I758" s="673" t="str">
        <f t="shared" si="158"/>
        <v/>
      </c>
    </row>
    <row r="759" spans="1:9" x14ac:dyDescent="0.25">
      <c r="A759" s="1659" t="s">
        <v>1180</v>
      </c>
      <c r="B759" s="1659" t="s">
        <v>1836</v>
      </c>
      <c r="C759" s="1659" t="s">
        <v>1012</v>
      </c>
      <c r="D759" s="667" t="str">
        <f>IF(PFM_RemainingCashFlow="","",PFM_RemainingCashFlow)</f>
        <v/>
      </c>
      <c r="G759" s="1659" t="s">
        <v>1206</v>
      </c>
      <c r="H759" s="1659" t="s">
        <v>1840</v>
      </c>
      <c r="I759" s="673" t="str">
        <f t="shared" si="158"/>
        <v/>
      </c>
    </row>
    <row r="760" spans="1:9" x14ac:dyDescent="0.25">
      <c r="A760" s="1659" t="s">
        <v>1180</v>
      </c>
      <c r="B760" s="1659" t="s">
        <v>1841</v>
      </c>
      <c r="C760" s="1659" t="s">
        <v>1009</v>
      </c>
      <c r="D760" s="667" t="str">
        <f>IF(PFM_DeferredDeveloperFeeYR16="","",PFM_DeferredDeveloperFeeYR16)</f>
        <v/>
      </c>
      <c r="G760" s="1659" t="s">
        <v>1206</v>
      </c>
      <c r="H760" s="1659" t="s">
        <v>1842</v>
      </c>
      <c r="I760" s="673" t="str">
        <f t="shared" si="158"/>
        <v/>
      </c>
    </row>
    <row r="761" spans="1:9" x14ac:dyDescent="0.25">
      <c r="A761" s="1659" t="s">
        <v>1180</v>
      </c>
      <c r="B761" s="1659" t="s">
        <v>1841</v>
      </c>
      <c r="C761" s="1659" t="s">
        <v>1010</v>
      </c>
      <c r="D761" s="667" t="str">
        <f>IF(PFM_DHCDLoansYR16="","",PFM_DHCDLoansYR16)</f>
        <v/>
      </c>
      <c r="G761" s="1659" t="s">
        <v>1206</v>
      </c>
      <c r="H761" s="1659" t="s">
        <v>1843</v>
      </c>
      <c r="I761" s="673" t="str">
        <f t="shared" si="158"/>
        <v/>
      </c>
    </row>
    <row r="762" spans="1:9" x14ac:dyDescent="0.25">
      <c r="A762" s="1659" t="s">
        <v>1180</v>
      </c>
      <c r="B762" s="1659" t="s">
        <v>1841</v>
      </c>
      <c r="C762" s="1659" t="s">
        <v>1011</v>
      </c>
      <c r="D762" s="667" t="str">
        <f>IF(PFM_LocalGovtYR16="","",PFM_LocalGovtYR16)</f>
        <v/>
      </c>
      <c r="G762" s="1659" t="s">
        <v>1206</v>
      </c>
      <c r="H762" s="1659" t="s">
        <v>1844</v>
      </c>
      <c r="I762" s="673" t="str">
        <f t="shared" si="158"/>
        <v/>
      </c>
    </row>
    <row r="763" spans="1:9" x14ac:dyDescent="0.25">
      <c r="A763" s="1659" t="s">
        <v>1180</v>
      </c>
      <c r="B763" s="1659" t="s">
        <v>1841</v>
      </c>
      <c r="C763" s="1659" t="s">
        <v>1012</v>
      </c>
      <c r="D763" s="667" t="str">
        <f>IF(PFM_RemainingCashFlowYR16="","",PFM_RemainingCashFlowYR16)</f>
        <v/>
      </c>
      <c r="G763" s="1659" t="s">
        <v>1206</v>
      </c>
      <c r="H763" s="1659" t="s">
        <v>1845</v>
      </c>
      <c r="I763" s="673" t="str">
        <f t="shared" si="158"/>
        <v/>
      </c>
    </row>
    <row r="766" spans="1:9" ht="13.8" x14ac:dyDescent="0.25">
      <c r="A766" s="1651" t="s">
        <v>1190</v>
      </c>
      <c r="B766" s="1651" t="s">
        <v>1191</v>
      </c>
      <c r="C766" s="1651"/>
      <c r="D766" s="1651"/>
      <c r="G766" s="1660" t="s">
        <v>1194</v>
      </c>
      <c r="H766" s="1660"/>
      <c r="I766" s="1660"/>
    </row>
    <row r="767" spans="1:9" x14ac:dyDescent="0.25">
      <c r="A767" s="1654" t="s">
        <v>1198</v>
      </c>
      <c r="B767" s="1654" t="s">
        <v>1199</v>
      </c>
      <c r="C767" s="1654" t="s">
        <v>1200</v>
      </c>
      <c r="D767" s="1654" t="s">
        <v>1201</v>
      </c>
      <c r="G767" s="1662" t="s">
        <v>1202</v>
      </c>
      <c r="H767" s="1662" t="s">
        <v>1203</v>
      </c>
      <c r="I767" s="1662" t="s">
        <v>1201</v>
      </c>
    </row>
    <row r="768" spans="1:9" x14ac:dyDescent="0.25">
      <c r="A768" s="1659" t="s">
        <v>1191</v>
      </c>
      <c r="B768" s="1659" t="s">
        <v>1846</v>
      </c>
      <c r="C768" s="1659" t="s">
        <v>1847</v>
      </c>
      <c r="D768" s="1659">
        <f>IF('CURR FIN &amp; ACQUISITION'!D19="","",'CURR FIN &amp; ACQUISITION'!D19)</f>
        <v>1</v>
      </c>
      <c r="G768" s="1659" t="s">
        <v>1206</v>
      </c>
      <c r="H768" s="1659" t="s">
        <v>1848</v>
      </c>
      <c r="I768" s="1659">
        <f t="shared" ref="I768:I815" si="159">IF(D768="","",D768)</f>
        <v>1</v>
      </c>
    </row>
    <row r="769" spans="1:9" x14ac:dyDescent="0.25">
      <c r="A769" s="1659" t="s">
        <v>1191</v>
      </c>
      <c r="B769" s="1659" t="s">
        <v>1846</v>
      </c>
      <c r="C769" s="1659" t="s">
        <v>1849</v>
      </c>
      <c r="D769" s="1659">
        <f>IF('CURR FIN &amp; ACQUISITION'!E19="","",'CURR FIN &amp; ACQUISITION'!E19)</f>
        <v>2</v>
      </c>
      <c r="G769" s="1659" t="s">
        <v>1206</v>
      </c>
      <c r="H769" s="1659" t="s">
        <v>1848</v>
      </c>
      <c r="I769" s="1659">
        <f t="shared" si="159"/>
        <v>2</v>
      </c>
    </row>
    <row r="770" spans="1:9" x14ac:dyDescent="0.25">
      <c r="A770" s="1659" t="s">
        <v>1191</v>
      </c>
      <c r="B770" s="1659" t="s">
        <v>1846</v>
      </c>
      <c r="C770" s="1659" t="s">
        <v>1850</v>
      </c>
      <c r="D770" s="1659">
        <f>IF('CURR FIN &amp; ACQUISITION'!F19="","",'CURR FIN &amp; ACQUISITION'!F19)</f>
        <v>3</v>
      </c>
      <c r="G770" s="1659" t="s">
        <v>1206</v>
      </c>
      <c r="H770" s="1659" t="s">
        <v>1848</v>
      </c>
      <c r="I770" s="1659">
        <f t="shared" si="159"/>
        <v>3</v>
      </c>
    </row>
    <row r="771" spans="1:9" x14ac:dyDescent="0.25">
      <c r="A771" s="1659" t="s">
        <v>1191</v>
      </c>
      <c r="B771" s="1659" t="s">
        <v>1846</v>
      </c>
      <c r="C771" s="1659" t="s">
        <v>1851</v>
      </c>
      <c r="D771" s="1659">
        <f>IF('CURR FIN &amp; ACQUISITION'!G19="","",'CURR FIN &amp; ACQUISITION'!G19)</f>
        <v>4</v>
      </c>
      <c r="G771" s="1659" t="s">
        <v>1206</v>
      </c>
      <c r="H771" s="1659" t="s">
        <v>1848</v>
      </c>
      <c r="I771" s="1659">
        <f t="shared" si="159"/>
        <v>4</v>
      </c>
    </row>
    <row r="772" spans="1:9" x14ac:dyDescent="0.25">
      <c r="A772" s="1659" t="s">
        <v>1191</v>
      </c>
      <c r="B772" s="1659" t="s">
        <v>1846</v>
      </c>
      <c r="C772" s="1659" t="s">
        <v>1852</v>
      </c>
      <c r="D772" s="1659">
        <f>IF('CURR FIN &amp; ACQUISITION'!H19="","",'CURR FIN &amp; ACQUISITION'!H19)</f>
        <v>5</v>
      </c>
      <c r="G772" s="1659" t="s">
        <v>1206</v>
      </c>
      <c r="H772" s="1659" t="s">
        <v>1848</v>
      </c>
      <c r="I772" s="1659">
        <f t="shared" si="159"/>
        <v>5</v>
      </c>
    </row>
    <row r="773" spans="1:9" x14ac:dyDescent="0.25">
      <c r="A773" s="1659" t="s">
        <v>1191</v>
      </c>
      <c r="B773" s="1659" t="s">
        <v>1846</v>
      </c>
      <c r="C773" s="1659" t="s">
        <v>1853</v>
      </c>
      <c r="D773" s="1659">
        <f>IF('CURR FIN &amp; ACQUISITION'!I19="","",'CURR FIN &amp; ACQUISITION'!I19)</f>
        <v>6</v>
      </c>
      <c r="G773" s="1659" t="s">
        <v>1206</v>
      </c>
      <c r="H773" s="1659" t="s">
        <v>1848</v>
      </c>
      <c r="I773" s="1659">
        <f t="shared" si="159"/>
        <v>6</v>
      </c>
    </row>
    <row r="774" spans="1:9" x14ac:dyDescent="0.25">
      <c r="A774" s="1659" t="s">
        <v>1191</v>
      </c>
      <c r="B774" s="1659" t="s">
        <v>1846</v>
      </c>
      <c r="C774" s="1659" t="s">
        <v>1854</v>
      </c>
      <c r="D774" s="1659">
        <f>IF('CURR FIN &amp; ACQUISITION'!J19="","",'CURR FIN &amp; ACQUISITION'!J19)</f>
        <v>7</v>
      </c>
      <c r="G774" s="1659" t="s">
        <v>1206</v>
      </c>
      <c r="H774" s="1659" t="s">
        <v>1848</v>
      </c>
      <c r="I774" s="1659">
        <f>IF(D774="","",D774)</f>
        <v>7</v>
      </c>
    </row>
    <row r="775" spans="1:9" x14ac:dyDescent="0.25">
      <c r="A775" s="1659" t="s">
        <v>1191</v>
      </c>
      <c r="B775" s="1659" t="s">
        <v>1846</v>
      </c>
      <c r="C775" s="1659" t="s">
        <v>1855</v>
      </c>
      <c r="D775" s="1659">
        <f>IF('CURR FIN &amp; ACQUISITION'!K19="","",'CURR FIN &amp; ACQUISITION'!K19)</f>
        <v>8</v>
      </c>
      <c r="G775" s="1659" t="s">
        <v>1206</v>
      </c>
      <c r="H775" s="1659" t="s">
        <v>1848</v>
      </c>
      <c r="I775" s="1659">
        <f t="shared" si="159"/>
        <v>8</v>
      </c>
    </row>
    <row r="776" spans="1:9" x14ac:dyDescent="0.25">
      <c r="A776" s="1659" t="s">
        <v>1191</v>
      </c>
      <c r="B776" s="1659" t="s">
        <v>1846</v>
      </c>
      <c r="C776" s="1659" t="s">
        <v>1856</v>
      </c>
      <c r="D776" s="1659" t="str">
        <f>IF('CURR FIN &amp; ACQUISITION'!D26="","",'CURR FIN &amp; ACQUISITION'!D26)</f>
        <v/>
      </c>
      <c r="G776" s="1659" t="s">
        <v>1206</v>
      </c>
      <c r="H776" s="1659" t="s">
        <v>1857</v>
      </c>
      <c r="I776" s="1659" t="str">
        <f t="shared" si="159"/>
        <v/>
      </c>
    </row>
    <row r="777" spans="1:9" x14ac:dyDescent="0.25">
      <c r="A777" s="1659" t="s">
        <v>1191</v>
      </c>
      <c r="B777" s="1659" t="s">
        <v>1846</v>
      </c>
      <c r="C777" s="1659" t="s">
        <v>1858</v>
      </c>
      <c r="D777" s="1659" t="str">
        <f>IF('CURR FIN &amp; ACQUISITION'!E26="","",'CURR FIN &amp; ACQUISITION'!E26)</f>
        <v/>
      </c>
      <c r="G777" s="1659" t="s">
        <v>1206</v>
      </c>
      <c r="H777" s="1659" t="s">
        <v>1857</v>
      </c>
      <c r="I777" s="1659" t="str">
        <f t="shared" si="159"/>
        <v/>
      </c>
    </row>
    <row r="778" spans="1:9" x14ac:dyDescent="0.25">
      <c r="A778" s="1659" t="s">
        <v>1191</v>
      </c>
      <c r="B778" s="1659" t="s">
        <v>1846</v>
      </c>
      <c r="C778" s="1659" t="s">
        <v>1859</v>
      </c>
      <c r="D778" s="1659" t="str">
        <f>IF('CURR FIN &amp; ACQUISITION'!F26="","",'CURR FIN &amp; ACQUISITION'!F26)</f>
        <v/>
      </c>
      <c r="G778" s="1659" t="s">
        <v>1206</v>
      </c>
      <c r="H778" s="1659" t="s">
        <v>1857</v>
      </c>
      <c r="I778" s="1659" t="str">
        <f t="shared" si="159"/>
        <v/>
      </c>
    </row>
    <row r="779" spans="1:9" x14ac:dyDescent="0.25">
      <c r="A779" s="1659" t="s">
        <v>1191</v>
      </c>
      <c r="B779" s="1659" t="s">
        <v>1846</v>
      </c>
      <c r="C779" s="1659" t="s">
        <v>1860</v>
      </c>
      <c r="D779" s="1659" t="str">
        <f>IF('CURR FIN &amp; ACQUISITION'!G26="","",'CURR FIN &amp; ACQUISITION'!G26)</f>
        <v/>
      </c>
      <c r="G779" s="1659" t="s">
        <v>1206</v>
      </c>
      <c r="H779" s="1659" t="s">
        <v>1857</v>
      </c>
      <c r="I779" s="1659" t="str">
        <f t="shared" si="159"/>
        <v/>
      </c>
    </row>
    <row r="780" spans="1:9" x14ac:dyDescent="0.25">
      <c r="A780" s="1659" t="s">
        <v>1191</v>
      </c>
      <c r="B780" s="1659" t="s">
        <v>1846</v>
      </c>
      <c r="C780" s="1659" t="s">
        <v>1861</v>
      </c>
      <c r="D780" s="1659" t="str">
        <f>IF('CURR FIN &amp; ACQUISITION'!H26="","",'CURR FIN &amp; ACQUISITION'!H26)</f>
        <v/>
      </c>
      <c r="G780" s="1659" t="s">
        <v>1206</v>
      </c>
      <c r="H780" s="1659" t="s">
        <v>1857</v>
      </c>
      <c r="I780" s="1659" t="str">
        <f t="shared" si="159"/>
        <v/>
      </c>
    </row>
    <row r="781" spans="1:9" x14ac:dyDescent="0.25">
      <c r="A781" s="1659" t="s">
        <v>1191</v>
      </c>
      <c r="B781" s="1659" t="s">
        <v>1846</v>
      </c>
      <c r="C781" s="1659" t="s">
        <v>1862</v>
      </c>
      <c r="D781" s="1659" t="str">
        <f>IF('CURR FIN &amp; ACQUISITION'!I26="","",'CURR FIN &amp; ACQUISITION'!I26)</f>
        <v/>
      </c>
      <c r="G781" s="1659" t="s">
        <v>1206</v>
      </c>
      <c r="H781" s="1659" t="s">
        <v>1857</v>
      </c>
      <c r="I781" s="1659" t="str">
        <f t="shared" si="159"/>
        <v/>
      </c>
    </row>
    <row r="782" spans="1:9" x14ac:dyDescent="0.25">
      <c r="A782" s="1659" t="s">
        <v>1191</v>
      </c>
      <c r="B782" s="1659" t="s">
        <v>1846</v>
      </c>
      <c r="C782" s="1659" t="s">
        <v>1863</v>
      </c>
      <c r="D782" s="1659" t="str">
        <f>IF('CURR FIN &amp; ACQUISITION'!J26="","",'CURR FIN &amp; ACQUISITION'!J26)</f>
        <v/>
      </c>
      <c r="G782" s="1659" t="s">
        <v>1206</v>
      </c>
      <c r="H782" s="1659" t="s">
        <v>1857</v>
      </c>
      <c r="I782" s="1659" t="str">
        <f t="shared" si="159"/>
        <v/>
      </c>
    </row>
    <row r="783" spans="1:9" x14ac:dyDescent="0.25">
      <c r="A783" s="1659" t="s">
        <v>1191</v>
      </c>
      <c r="B783" s="1659" t="s">
        <v>1846</v>
      </c>
      <c r="C783" s="1659" t="s">
        <v>1864</v>
      </c>
      <c r="D783" s="1659" t="str">
        <f>IF('CURR FIN &amp; ACQUISITION'!K26="","",'CURR FIN &amp; ACQUISITION'!K26)</f>
        <v/>
      </c>
      <c r="G783" s="1659" t="s">
        <v>1206</v>
      </c>
      <c r="H783" s="1659" t="s">
        <v>1857</v>
      </c>
      <c r="I783" s="1659" t="str">
        <f t="shared" si="159"/>
        <v/>
      </c>
    </row>
    <row r="784" spans="1:9" x14ac:dyDescent="0.25">
      <c r="A784" s="1659" t="s">
        <v>1191</v>
      </c>
      <c r="B784" s="1659" t="s">
        <v>1846</v>
      </c>
      <c r="C784" s="1659" t="s">
        <v>1865</v>
      </c>
      <c r="D784" s="1659" t="str">
        <f>IF('CURR FIN &amp; ACQUISITION'!D28="","",'CURR FIN &amp; ACQUISITION'!D28)</f>
        <v/>
      </c>
      <c r="G784" s="1659" t="s">
        <v>1206</v>
      </c>
      <c r="H784" s="1659" t="s">
        <v>1866</v>
      </c>
      <c r="I784" s="1659" t="str">
        <f t="shared" si="159"/>
        <v/>
      </c>
    </row>
    <row r="785" spans="1:9" x14ac:dyDescent="0.25">
      <c r="A785" s="1659" t="s">
        <v>1191</v>
      </c>
      <c r="B785" s="1659" t="s">
        <v>1846</v>
      </c>
      <c r="C785" s="1659" t="s">
        <v>1867</v>
      </c>
      <c r="D785" s="1659" t="str">
        <f>IF('CURR FIN &amp; ACQUISITION'!E28="","",'CURR FIN &amp; ACQUISITION'!E28)</f>
        <v/>
      </c>
      <c r="G785" s="1659" t="s">
        <v>1206</v>
      </c>
      <c r="H785" s="1659" t="s">
        <v>1866</v>
      </c>
      <c r="I785" s="1659" t="str">
        <f t="shared" si="159"/>
        <v/>
      </c>
    </row>
    <row r="786" spans="1:9" x14ac:dyDescent="0.25">
      <c r="A786" s="1659" t="s">
        <v>1191</v>
      </c>
      <c r="B786" s="1659" t="s">
        <v>1846</v>
      </c>
      <c r="C786" s="1659" t="s">
        <v>1868</v>
      </c>
      <c r="D786" s="1659" t="str">
        <f>IF('CURR FIN &amp; ACQUISITION'!F28="","",'CURR FIN &amp; ACQUISITION'!F28)</f>
        <v/>
      </c>
      <c r="G786" s="1659" t="s">
        <v>1206</v>
      </c>
      <c r="H786" s="1659" t="s">
        <v>1866</v>
      </c>
      <c r="I786" s="1659" t="str">
        <f t="shared" si="159"/>
        <v/>
      </c>
    </row>
    <row r="787" spans="1:9" x14ac:dyDescent="0.25">
      <c r="A787" s="1659" t="s">
        <v>1191</v>
      </c>
      <c r="B787" s="1659" t="s">
        <v>1846</v>
      </c>
      <c r="C787" s="1659" t="s">
        <v>1869</v>
      </c>
      <c r="D787" s="1659" t="str">
        <f>IF('CURR FIN &amp; ACQUISITION'!G28="","",'CURR FIN &amp; ACQUISITION'!G28)</f>
        <v/>
      </c>
      <c r="G787" s="1659" t="s">
        <v>1206</v>
      </c>
      <c r="H787" s="1659" t="s">
        <v>1866</v>
      </c>
      <c r="I787" s="1659" t="str">
        <f t="shared" si="159"/>
        <v/>
      </c>
    </row>
    <row r="788" spans="1:9" x14ac:dyDescent="0.25">
      <c r="A788" s="1659" t="s">
        <v>1191</v>
      </c>
      <c r="B788" s="1659" t="s">
        <v>1846</v>
      </c>
      <c r="C788" s="1659" t="s">
        <v>1870</v>
      </c>
      <c r="D788" s="1659" t="str">
        <f>IF('CURR FIN &amp; ACQUISITION'!H28="","",'CURR FIN &amp; ACQUISITION'!H28)</f>
        <v/>
      </c>
      <c r="G788" s="1659" t="s">
        <v>1206</v>
      </c>
      <c r="H788" s="1659" t="s">
        <v>1866</v>
      </c>
      <c r="I788" s="1659" t="str">
        <f t="shared" si="159"/>
        <v/>
      </c>
    </row>
    <row r="789" spans="1:9" x14ac:dyDescent="0.25">
      <c r="A789" s="1659" t="s">
        <v>1191</v>
      </c>
      <c r="B789" s="1659" t="s">
        <v>1846</v>
      </c>
      <c r="C789" s="1659" t="s">
        <v>1871</v>
      </c>
      <c r="D789" s="1659" t="str">
        <f>IF('CURR FIN &amp; ACQUISITION'!I28="","",'CURR FIN &amp; ACQUISITION'!I28)</f>
        <v/>
      </c>
      <c r="G789" s="1659" t="s">
        <v>1206</v>
      </c>
      <c r="H789" s="1659" t="s">
        <v>1866</v>
      </c>
      <c r="I789" s="1659" t="str">
        <f t="shared" si="159"/>
        <v/>
      </c>
    </row>
    <row r="790" spans="1:9" x14ac:dyDescent="0.25">
      <c r="A790" s="1659" t="s">
        <v>1191</v>
      </c>
      <c r="B790" s="1659" t="s">
        <v>1846</v>
      </c>
      <c r="C790" s="1659" t="s">
        <v>1872</v>
      </c>
      <c r="D790" s="1659" t="str">
        <f>IF('CURR FIN &amp; ACQUISITION'!J28="","",'CURR FIN &amp; ACQUISITION'!J28)</f>
        <v/>
      </c>
      <c r="G790" s="1659" t="s">
        <v>1206</v>
      </c>
      <c r="H790" s="1659" t="s">
        <v>1866</v>
      </c>
      <c r="I790" s="1659" t="str">
        <f t="shared" si="159"/>
        <v/>
      </c>
    </row>
    <row r="791" spans="1:9" x14ac:dyDescent="0.25">
      <c r="A791" s="1659" t="s">
        <v>1191</v>
      </c>
      <c r="B791" s="1659" t="s">
        <v>1846</v>
      </c>
      <c r="C791" s="1659" t="s">
        <v>1873</v>
      </c>
      <c r="D791" s="1659" t="str">
        <f>IF('CURR FIN &amp; ACQUISITION'!K28="","",'CURR FIN &amp; ACQUISITION'!K28)</f>
        <v/>
      </c>
      <c r="G791" s="1659" t="s">
        <v>1206</v>
      </c>
      <c r="H791" s="1659" t="s">
        <v>1866</v>
      </c>
      <c r="I791" s="1659" t="str">
        <f t="shared" si="159"/>
        <v/>
      </c>
    </row>
    <row r="792" spans="1:9" x14ac:dyDescent="0.25">
      <c r="A792" s="1659" t="s">
        <v>1191</v>
      </c>
      <c r="B792" s="1659" t="s">
        <v>1846</v>
      </c>
      <c r="C792" s="1659" t="s">
        <v>1874</v>
      </c>
      <c r="D792" s="1659">
        <f>IF('CURR FIN &amp; ACQUISITION'!D32="","",'CURR FIN &amp; ACQUISITION'!D32)</f>
        <v>0</v>
      </c>
      <c r="G792" s="1659" t="s">
        <v>1206</v>
      </c>
      <c r="H792" s="1659" t="s">
        <v>1875</v>
      </c>
      <c r="I792" s="1659">
        <f t="shared" si="159"/>
        <v>0</v>
      </c>
    </row>
    <row r="793" spans="1:9" x14ac:dyDescent="0.25">
      <c r="A793" s="1659" t="s">
        <v>1191</v>
      </c>
      <c r="B793" s="1659" t="s">
        <v>1846</v>
      </c>
      <c r="C793" s="1659" t="s">
        <v>1876</v>
      </c>
      <c r="D793" s="1659">
        <f>IF('CURR FIN &amp; ACQUISITION'!E32="","",'CURR FIN &amp; ACQUISITION'!E32)</f>
        <v>0</v>
      </c>
      <c r="G793" s="1659" t="s">
        <v>1206</v>
      </c>
      <c r="H793" s="1659" t="s">
        <v>1875</v>
      </c>
      <c r="I793" s="1659">
        <f t="shared" si="159"/>
        <v>0</v>
      </c>
    </row>
    <row r="794" spans="1:9" x14ac:dyDescent="0.25">
      <c r="A794" s="1659" t="s">
        <v>1191</v>
      </c>
      <c r="B794" s="1659" t="s">
        <v>1846</v>
      </c>
      <c r="C794" s="1659" t="s">
        <v>1877</v>
      </c>
      <c r="D794" s="1659">
        <f>IF('CURR FIN &amp; ACQUISITION'!F32="","",'CURR FIN &amp; ACQUISITION'!F32)</f>
        <v>0</v>
      </c>
      <c r="G794" s="1659" t="s">
        <v>1206</v>
      </c>
      <c r="H794" s="1659" t="s">
        <v>1875</v>
      </c>
      <c r="I794" s="1659">
        <f t="shared" si="159"/>
        <v>0</v>
      </c>
    </row>
    <row r="795" spans="1:9" x14ac:dyDescent="0.25">
      <c r="A795" s="1659" t="s">
        <v>1191</v>
      </c>
      <c r="B795" s="1659" t="s">
        <v>1846</v>
      </c>
      <c r="C795" s="1659" t="s">
        <v>1878</v>
      </c>
      <c r="D795" s="1659">
        <f>IF('CURR FIN &amp; ACQUISITION'!G32="","",'CURR FIN &amp; ACQUISITION'!G32)</f>
        <v>0</v>
      </c>
      <c r="G795" s="1659" t="s">
        <v>1206</v>
      </c>
      <c r="H795" s="1659" t="s">
        <v>1875</v>
      </c>
      <c r="I795" s="1659">
        <f t="shared" si="159"/>
        <v>0</v>
      </c>
    </row>
    <row r="796" spans="1:9" x14ac:dyDescent="0.25">
      <c r="A796" s="1659" t="s">
        <v>1191</v>
      </c>
      <c r="B796" s="1659" t="s">
        <v>1846</v>
      </c>
      <c r="C796" s="1659" t="s">
        <v>1879</v>
      </c>
      <c r="D796" s="1659">
        <f>IF('CURR FIN &amp; ACQUISITION'!H32="","",'CURR FIN &amp; ACQUISITION'!H32)</f>
        <v>0</v>
      </c>
      <c r="G796" s="1659" t="s">
        <v>1206</v>
      </c>
      <c r="H796" s="1659" t="s">
        <v>1875</v>
      </c>
      <c r="I796" s="1659">
        <f t="shared" si="159"/>
        <v>0</v>
      </c>
    </row>
    <row r="797" spans="1:9" x14ac:dyDescent="0.25">
      <c r="A797" s="1659" t="s">
        <v>1191</v>
      </c>
      <c r="B797" s="1659" t="s">
        <v>1846</v>
      </c>
      <c r="C797" s="1659" t="s">
        <v>1880</v>
      </c>
      <c r="D797" s="1659">
        <f>IF('CURR FIN &amp; ACQUISITION'!I32="","",'CURR FIN &amp; ACQUISITION'!I32)</f>
        <v>0</v>
      </c>
      <c r="G797" s="1659" t="s">
        <v>1206</v>
      </c>
      <c r="H797" s="1659" t="s">
        <v>1875</v>
      </c>
      <c r="I797" s="1659">
        <f t="shared" si="159"/>
        <v>0</v>
      </c>
    </row>
    <row r="798" spans="1:9" x14ac:dyDescent="0.25">
      <c r="A798" s="1659" t="s">
        <v>1191</v>
      </c>
      <c r="B798" s="1659" t="s">
        <v>1846</v>
      </c>
      <c r="C798" s="1659" t="s">
        <v>1881</v>
      </c>
      <c r="D798" s="1659">
        <f>IF('CURR FIN &amp; ACQUISITION'!J32="","",'CURR FIN &amp; ACQUISITION'!J32)</f>
        <v>0</v>
      </c>
      <c r="G798" s="1659" t="s">
        <v>1206</v>
      </c>
      <c r="H798" s="1659" t="s">
        <v>1875</v>
      </c>
      <c r="I798" s="1659">
        <f t="shared" si="159"/>
        <v>0</v>
      </c>
    </row>
    <row r="799" spans="1:9" x14ac:dyDescent="0.25">
      <c r="A799" s="1659" t="s">
        <v>1191</v>
      </c>
      <c r="B799" s="1659" t="s">
        <v>1846</v>
      </c>
      <c r="C799" s="1659" t="s">
        <v>1882</v>
      </c>
      <c r="D799" s="1659">
        <f>IF('CURR FIN &amp; ACQUISITION'!K32="","",'CURR FIN &amp; ACQUISITION'!K32)</f>
        <v>0</v>
      </c>
      <c r="G799" s="1659" t="s">
        <v>1206</v>
      </c>
      <c r="H799" s="1659" t="s">
        <v>1875</v>
      </c>
      <c r="I799" s="1659">
        <f t="shared" si="159"/>
        <v>0</v>
      </c>
    </row>
    <row r="800" spans="1:9" x14ac:dyDescent="0.25">
      <c r="A800" s="1659" t="s">
        <v>1191</v>
      </c>
      <c r="B800" s="1659" t="s">
        <v>1846</v>
      </c>
      <c r="C800" s="1659" t="s">
        <v>1883</v>
      </c>
      <c r="D800" s="1659" t="str">
        <f>IF('CURR FIN &amp; ACQUISITION'!D20="","",'CURR FIN &amp; ACQUISITION'!D20)</f>
        <v/>
      </c>
      <c r="G800" s="1659" t="s">
        <v>1206</v>
      </c>
      <c r="H800" s="1659" t="s">
        <v>1884</v>
      </c>
      <c r="I800" s="1659" t="str">
        <f t="shared" si="159"/>
        <v/>
      </c>
    </row>
    <row r="801" spans="1:9" x14ac:dyDescent="0.25">
      <c r="A801" s="1659" t="s">
        <v>1191</v>
      </c>
      <c r="B801" s="1659" t="s">
        <v>1846</v>
      </c>
      <c r="C801" s="1659" t="s">
        <v>1885</v>
      </c>
      <c r="D801" s="1659" t="str">
        <f>IF('CURR FIN &amp; ACQUISITION'!E20="","",'CURR FIN &amp; ACQUISITION'!E20)</f>
        <v/>
      </c>
      <c r="G801" s="1659" t="s">
        <v>1206</v>
      </c>
      <c r="H801" s="1659" t="s">
        <v>1884</v>
      </c>
      <c r="I801" s="1659" t="str">
        <f t="shared" si="159"/>
        <v/>
      </c>
    </row>
    <row r="802" spans="1:9" x14ac:dyDescent="0.25">
      <c r="A802" s="1659" t="s">
        <v>1191</v>
      </c>
      <c r="B802" s="1659" t="s">
        <v>1846</v>
      </c>
      <c r="C802" s="1659" t="s">
        <v>1886</v>
      </c>
      <c r="D802" s="1659" t="str">
        <f>IF('CURR FIN &amp; ACQUISITION'!F20="","",'CURR FIN &amp; ACQUISITION'!F20)</f>
        <v/>
      </c>
      <c r="G802" s="1659" t="s">
        <v>1206</v>
      </c>
      <c r="H802" s="1659" t="s">
        <v>1884</v>
      </c>
      <c r="I802" s="1659" t="str">
        <f t="shared" si="159"/>
        <v/>
      </c>
    </row>
    <row r="803" spans="1:9" x14ac:dyDescent="0.25">
      <c r="A803" s="1659" t="s">
        <v>1191</v>
      </c>
      <c r="B803" s="1659" t="s">
        <v>1846</v>
      </c>
      <c r="C803" s="1659" t="s">
        <v>1887</v>
      </c>
      <c r="D803" s="1659" t="str">
        <f>IF('CURR FIN &amp; ACQUISITION'!G20="","",'CURR FIN &amp; ACQUISITION'!G20)</f>
        <v/>
      </c>
      <c r="G803" s="1659" t="s">
        <v>1206</v>
      </c>
      <c r="H803" s="1659" t="s">
        <v>1884</v>
      </c>
      <c r="I803" s="1659" t="str">
        <f t="shared" si="159"/>
        <v/>
      </c>
    </row>
    <row r="804" spans="1:9" x14ac:dyDescent="0.25">
      <c r="A804" s="1659" t="s">
        <v>1191</v>
      </c>
      <c r="B804" s="1659" t="s">
        <v>1846</v>
      </c>
      <c r="C804" s="1659" t="s">
        <v>1888</v>
      </c>
      <c r="D804" s="1659" t="str">
        <f>IF('CURR FIN &amp; ACQUISITION'!H20="","",'CURR FIN &amp; ACQUISITION'!H20)</f>
        <v/>
      </c>
      <c r="G804" s="1659" t="s">
        <v>1206</v>
      </c>
      <c r="H804" s="1659" t="s">
        <v>1884</v>
      </c>
      <c r="I804" s="1659" t="str">
        <f t="shared" si="159"/>
        <v/>
      </c>
    </row>
    <row r="805" spans="1:9" x14ac:dyDescent="0.25">
      <c r="A805" s="1659" t="s">
        <v>1191</v>
      </c>
      <c r="B805" s="1659" t="s">
        <v>1846</v>
      </c>
      <c r="C805" s="1659" t="s">
        <v>1889</v>
      </c>
      <c r="D805" s="1659" t="str">
        <f>IF('CURR FIN &amp; ACQUISITION'!I20="","",'CURR FIN &amp; ACQUISITION'!I20)</f>
        <v/>
      </c>
      <c r="G805" s="1659" t="s">
        <v>1206</v>
      </c>
      <c r="H805" s="1659" t="s">
        <v>1884</v>
      </c>
      <c r="I805" s="1659" t="str">
        <f t="shared" si="159"/>
        <v/>
      </c>
    </row>
    <row r="806" spans="1:9" x14ac:dyDescent="0.25">
      <c r="A806" s="1659" t="s">
        <v>1191</v>
      </c>
      <c r="B806" s="1659" t="s">
        <v>1846</v>
      </c>
      <c r="C806" s="1659" t="s">
        <v>1890</v>
      </c>
      <c r="D806" s="1659" t="str">
        <f>IF('CURR FIN &amp; ACQUISITION'!J20="","",'CURR FIN &amp; ACQUISITION'!J20)</f>
        <v/>
      </c>
      <c r="G806" s="1659" t="s">
        <v>1206</v>
      </c>
      <c r="H806" s="1659" t="s">
        <v>1884</v>
      </c>
      <c r="I806" s="1659" t="str">
        <f t="shared" si="159"/>
        <v/>
      </c>
    </row>
    <row r="807" spans="1:9" x14ac:dyDescent="0.25">
      <c r="A807" s="1659" t="s">
        <v>1191</v>
      </c>
      <c r="B807" s="1659" t="s">
        <v>1846</v>
      </c>
      <c r="C807" s="1659" t="s">
        <v>1891</v>
      </c>
      <c r="D807" s="1659" t="str">
        <f>IF('CURR FIN &amp; ACQUISITION'!K20="","",'CURR FIN &amp; ACQUISITION'!K20)</f>
        <v/>
      </c>
      <c r="G807" s="1659" t="s">
        <v>1206</v>
      </c>
      <c r="H807" s="1659" t="s">
        <v>1884</v>
      </c>
      <c r="I807" s="1659" t="str">
        <f t="shared" si="159"/>
        <v/>
      </c>
    </row>
    <row r="808" spans="1:9" x14ac:dyDescent="0.25">
      <c r="A808" s="1659" t="s">
        <v>1191</v>
      </c>
      <c r="B808" s="1659" t="s">
        <v>1846</v>
      </c>
      <c r="C808" s="1659" t="s">
        <v>1892</v>
      </c>
      <c r="D808" s="1659" t="str">
        <f>IF('CURR FIN &amp; ACQUISITION'!D27="","",'CURR FIN &amp; ACQUISITION'!D27)</f>
        <v/>
      </c>
      <c r="G808" s="1659" t="s">
        <v>1206</v>
      </c>
      <c r="H808" s="1659" t="s">
        <v>1893</v>
      </c>
      <c r="I808" s="1659" t="str">
        <f t="shared" si="159"/>
        <v/>
      </c>
    </row>
    <row r="809" spans="1:9" x14ac:dyDescent="0.25">
      <c r="A809" s="1659" t="s">
        <v>1191</v>
      </c>
      <c r="B809" s="1659" t="s">
        <v>1846</v>
      </c>
      <c r="C809" s="1659" t="s">
        <v>1894</v>
      </c>
      <c r="D809" s="1659" t="str">
        <f>IF('CURR FIN &amp; ACQUISITION'!E27="","",'CURR FIN &amp; ACQUISITION'!E27)</f>
        <v/>
      </c>
      <c r="G809" s="1659" t="s">
        <v>1206</v>
      </c>
      <c r="H809" s="1659" t="s">
        <v>1893</v>
      </c>
      <c r="I809" s="1659" t="str">
        <f t="shared" si="159"/>
        <v/>
      </c>
    </row>
    <row r="810" spans="1:9" x14ac:dyDescent="0.25">
      <c r="A810" s="1659" t="s">
        <v>1191</v>
      </c>
      <c r="B810" s="1659" t="s">
        <v>1846</v>
      </c>
      <c r="C810" s="1659" t="s">
        <v>1895</v>
      </c>
      <c r="D810" s="1659" t="str">
        <f>IF('CURR FIN &amp; ACQUISITION'!F27="","",'CURR FIN &amp; ACQUISITION'!F27)</f>
        <v/>
      </c>
      <c r="G810" s="1659" t="s">
        <v>1206</v>
      </c>
      <c r="H810" s="1659" t="s">
        <v>1893</v>
      </c>
      <c r="I810" s="1659" t="str">
        <f t="shared" si="159"/>
        <v/>
      </c>
    </row>
    <row r="811" spans="1:9" x14ac:dyDescent="0.25">
      <c r="A811" s="1659" t="s">
        <v>1191</v>
      </c>
      <c r="B811" s="1659" t="s">
        <v>1846</v>
      </c>
      <c r="C811" s="1659" t="s">
        <v>1896</v>
      </c>
      <c r="D811" s="1659" t="str">
        <f>IF('CURR FIN &amp; ACQUISITION'!G27="","",'CURR FIN &amp; ACQUISITION'!G27)</f>
        <v/>
      </c>
      <c r="G811" s="1659" t="s">
        <v>1206</v>
      </c>
      <c r="H811" s="1659" t="s">
        <v>1893</v>
      </c>
      <c r="I811" s="1659" t="str">
        <f t="shared" si="159"/>
        <v/>
      </c>
    </row>
    <row r="812" spans="1:9" x14ac:dyDescent="0.25">
      <c r="A812" s="1659" t="s">
        <v>1191</v>
      </c>
      <c r="B812" s="1659" t="s">
        <v>1846</v>
      </c>
      <c r="C812" s="1659" t="s">
        <v>1897</v>
      </c>
      <c r="D812" s="1659" t="str">
        <f>IF('CURR FIN &amp; ACQUISITION'!H27="","",'CURR FIN &amp; ACQUISITION'!H27)</f>
        <v/>
      </c>
      <c r="G812" s="1659" t="s">
        <v>1206</v>
      </c>
      <c r="H812" s="1659" t="s">
        <v>1893</v>
      </c>
      <c r="I812" s="1659" t="str">
        <f t="shared" si="159"/>
        <v/>
      </c>
    </row>
    <row r="813" spans="1:9" x14ac:dyDescent="0.25">
      <c r="A813" s="1659" t="s">
        <v>1191</v>
      </c>
      <c r="B813" s="1659" t="s">
        <v>1846</v>
      </c>
      <c r="C813" s="1659" t="s">
        <v>1898</v>
      </c>
      <c r="D813" s="1659" t="str">
        <f>IF('CURR FIN &amp; ACQUISITION'!I27="","",'CURR FIN &amp; ACQUISITION'!I27)</f>
        <v/>
      </c>
      <c r="G813" s="1659" t="s">
        <v>1206</v>
      </c>
      <c r="H813" s="1659" t="s">
        <v>1893</v>
      </c>
      <c r="I813" s="1659" t="str">
        <f t="shared" si="159"/>
        <v/>
      </c>
    </row>
    <row r="814" spans="1:9" x14ac:dyDescent="0.25">
      <c r="A814" s="1659" t="s">
        <v>1191</v>
      </c>
      <c r="B814" s="1659" t="s">
        <v>1846</v>
      </c>
      <c r="C814" s="1659" t="s">
        <v>1899</v>
      </c>
      <c r="D814" s="1659" t="str">
        <f>IF('CURR FIN &amp; ACQUISITION'!J27="","",'CURR FIN &amp; ACQUISITION'!J27)</f>
        <v/>
      </c>
      <c r="G814" s="1659" t="s">
        <v>1206</v>
      </c>
      <c r="H814" s="1659" t="s">
        <v>1893</v>
      </c>
      <c r="I814" s="1659" t="str">
        <f t="shared" si="159"/>
        <v/>
      </c>
    </row>
    <row r="815" spans="1:9" x14ac:dyDescent="0.25">
      <c r="A815" s="1659" t="s">
        <v>1191</v>
      </c>
      <c r="B815" s="1659" t="s">
        <v>1846</v>
      </c>
      <c r="C815" s="1659" t="s">
        <v>1900</v>
      </c>
      <c r="D815" s="1659" t="str">
        <f>IF('CURR FIN &amp; ACQUISITION'!K27="","",'CURR FIN &amp; ACQUISITION'!K27)</f>
        <v/>
      </c>
      <c r="G815" s="1659" t="s">
        <v>1206</v>
      </c>
      <c r="H815" s="1659" t="s">
        <v>1893</v>
      </c>
      <c r="I815" s="1659" t="str">
        <f t="shared" si="159"/>
        <v/>
      </c>
    </row>
    <row r="819" spans="1:24" ht="13.8" x14ac:dyDescent="0.25">
      <c r="A819" s="1651" t="s">
        <v>1169</v>
      </c>
      <c r="B819" s="1651" t="s">
        <v>1901</v>
      </c>
      <c r="C819" s="1651"/>
      <c r="D819" s="1651"/>
      <c r="E819" s="1651"/>
      <c r="F819" s="1651"/>
      <c r="G819" s="1651"/>
      <c r="H819" s="1651"/>
      <c r="I819" s="1651"/>
      <c r="J819" s="1651"/>
      <c r="K819" s="1651"/>
      <c r="L819" s="1651"/>
      <c r="M819" s="1651"/>
      <c r="N819" s="1651"/>
      <c r="O819" s="1651"/>
      <c r="P819" s="1651"/>
      <c r="Q819" s="1651"/>
      <c r="R819" s="1651"/>
      <c r="S819" s="1651"/>
      <c r="T819" s="1651"/>
      <c r="U819" s="1651"/>
      <c r="V819" s="1651"/>
      <c r="W819" s="1651"/>
      <c r="X819" s="1651"/>
    </row>
    <row r="820" spans="1:24" x14ac:dyDescent="0.25">
      <c r="A820" s="4" t="s">
        <v>1902</v>
      </c>
      <c r="B820" s="4" t="s">
        <v>1903</v>
      </c>
      <c r="C820" s="4" t="s">
        <v>1904</v>
      </c>
      <c r="D820" s="4" t="s">
        <v>1905</v>
      </c>
      <c r="E820" s="4" t="s">
        <v>968</v>
      </c>
      <c r="F820" s="4" t="s">
        <v>969</v>
      </c>
      <c r="G820" s="4" t="s">
        <v>970</v>
      </c>
      <c r="H820" s="4" t="s">
        <v>971</v>
      </c>
      <c r="I820" s="4" t="s">
        <v>972</v>
      </c>
      <c r="J820" s="4" t="s">
        <v>973</v>
      </c>
      <c r="K820" s="4" t="s">
        <v>974</v>
      </c>
      <c r="L820" s="4" t="s">
        <v>975</v>
      </c>
      <c r="M820" s="4" t="s">
        <v>976</v>
      </c>
      <c r="N820" s="4" t="s">
        <v>977</v>
      </c>
      <c r="O820" s="4" t="s">
        <v>978</v>
      </c>
      <c r="P820" s="4" t="s">
        <v>979</v>
      </c>
      <c r="Q820" s="4" t="s">
        <v>980</v>
      </c>
      <c r="R820" s="4" t="s">
        <v>981</v>
      </c>
      <c r="S820" s="4" t="s">
        <v>982</v>
      </c>
      <c r="T820" s="4" t="s">
        <v>983</v>
      </c>
      <c r="U820" s="4" t="s">
        <v>984</v>
      </c>
      <c r="V820" s="4" t="s">
        <v>985</v>
      </c>
      <c r="W820" s="4" t="s">
        <v>986</v>
      </c>
      <c r="X820" s="4" t="s">
        <v>987</v>
      </c>
    </row>
    <row r="821" spans="1:24" x14ac:dyDescent="0.25">
      <c r="A821" t="s">
        <v>1906</v>
      </c>
      <c r="B821" t="s">
        <v>1907</v>
      </c>
      <c r="C821" t="s">
        <v>1908</v>
      </c>
      <c r="D821" s="314">
        <f>SUM_TrendLowIncome</f>
        <v>0.02</v>
      </c>
      <c r="E821" s="1694">
        <f>SUMPRODUCT(INCOME!$F$11:$F$40,INCOME!$I$11:$I$40)*12</f>
        <v>0</v>
      </c>
      <c r="F821" s="1694">
        <f>E821*(1+$D821)</f>
        <v>0</v>
      </c>
      <c r="G821" s="1694">
        <f t="shared" ref="G821:X821" si="160">F821*(1+$D821)</f>
        <v>0</v>
      </c>
      <c r="H821" s="1694">
        <f t="shared" si="160"/>
        <v>0</v>
      </c>
      <c r="I821" s="1694">
        <f t="shared" si="160"/>
        <v>0</v>
      </c>
      <c r="J821" s="1694">
        <f t="shared" si="160"/>
        <v>0</v>
      </c>
      <c r="K821" s="1694">
        <f t="shared" si="160"/>
        <v>0</v>
      </c>
      <c r="L821" s="1694">
        <f t="shared" si="160"/>
        <v>0</v>
      </c>
      <c r="M821" s="1694">
        <f t="shared" si="160"/>
        <v>0</v>
      </c>
      <c r="N821" s="1694">
        <f t="shared" si="160"/>
        <v>0</v>
      </c>
      <c r="O821" s="1694">
        <f t="shared" si="160"/>
        <v>0</v>
      </c>
      <c r="P821" s="1694">
        <f t="shared" si="160"/>
        <v>0</v>
      </c>
      <c r="Q821" s="1694">
        <f t="shared" si="160"/>
        <v>0</v>
      </c>
      <c r="R821" s="1694">
        <f t="shared" si="160"/>
        <v>0</v>
      </c>
      <c r="S821" s="1694">
        <f t="shared" si="160"/>
        <v>0</v>
      </c>
      <c r="T821" s="1694">
        <f t="shared" si="160"/>
        <v>0</v>
      </c>
      <c r="U821" s="1694">
        <f t="shared" si="160"/>
        <v>0</v>
      </c>
      <c r="V821" s="1694">
        <f t="shared" si="160"/>
        <v>0</v>
      </c>
      <c r="W821" s="1694">
        <f t="shared" si="160"/>
        <v>0</v>
      </c>
      <c r="X821" s="1694">
        <f t="shared" si="160"/>
        <v>0</v>
      </c>
    </row>
    <row r="822" spans="1:24" x14ac:dyDescent="0.25">
      <c r="A822" t="s">
        <v>1906</v>
      </c>
      <c r="B822" t="s">
        <v>1907</v>
      </c>
      <c r="C822" t="s">
        <v>1909</v>
      </c>
      <c r="D822" s="314">
        <f>SUM_TrendLowIncome</f>
        <v>0.02</v>
      </c>
      <c r="E822" s="1694">
        <f>SUMPRODUCT(INCOME!$F$11:$F$40,INCOME!$J$11:$J$40)*12</f>
        <v>0</v>
      </c>
      <c r="F822" s="1694">
        <f>E822*(1+$D822)</f>
        <v>0</v>
      </c>
      <c r="G822" s="1694">
        <f t="shared" ref="G822:X822" si="161">F822*(1+$D822)</f>
        <v>0</v>
      </c>
      <c r="H822" s="1694">
        <f t="shared" si="161"/>
        <v>0</v>
      </c>
      <c r="I822" s="1694">
        <f t="shared" si="161"/>
        <v>0</v>
      </c>
      <c r="J822" s="1694">
        <f t="shared" si="161"/>
        <v>0</v>
      </c>
      <c r="K822" s="1694">
        <f t="shared" si="161"/>
        <v>0</v>
      </c>
      <c r="L822" s="1694">
        <f t="shared" si="161"/>
        <v>0</v>
      </c>
      <c r="M822" s="1694">
        <f t="shared" si="161"/>
        <v>0</v>
      </c>
      <c r="N822" s="1694">
        <f t="shared" si="161"/>
        <v>0</v>
      </c>
      <c r="O822" s="1694">
        <f t="shared" si="161"/>
        <v>0</v>
      </c>
      <c r="P822" s="1694">
        <f t="shared" si="161"/>
        <v>0</v>
      </c>
      <c r="Q822" s="1694">
        <f t="shared" si="161"/>
        <v>0</v>
      </c>
      <c r="R822" s="1694">
        <f t="shared" si="161"/>
        <v>0</v>
      </c>
      <c r="S822" s="1694">
        <f t="shared" si="161"/>
        <v>0</v>
      </c>
      <c r="T822" s="1694">
        <f t="shared" si="161"/>
        <v>0</v>
      </c>
      <c r="U822" s="1694">
        <f t="shared" si="161"/>
        <v>0</v>
      </c>
      <c r="V822" s="1694">
        <f t="shared" si="161"/>
        <v>0</v>
      </c>
      <c r="W822" s="1694">
        <f t="shared" si="161"/>
        <v>0</v>
      </c>
      <c r="X822" s="1694">
        <f t="shared" si="161"/>
        <v>0</v>
      </c>
    </row>
    <row r="823" spans="1:24" x14ac:dyDescent="0.25">
      <c r="A823" t="s">
        <v>1906</v>
      </c>
      <c r="B823" t="s">
        <v>1907</v>
      </c>
      <c r="C823" t="s">
        <v>595</v>
      </c>
      <c r="D823" s="314">
        <f>SUM_TrendMarketRate</f>
        <v>0.02</v>
      </c>
      <c r="E823" s="1694">
        <f>'PRO FORMA'!E8</f>
        <v>0</v>
      </c>
      <c r="F823" s="1694">
        <f>'PRO FORMA'!F8</f>
        <v>0</v>
      </c>
      <c r="G823" s="1694">
        <f>'PRO FORMA'!G8</f>
        <v>0</v>
      </c>
      <c r="H823" s="1694">
        <f>'PRO FORMA'!H8</f>
        <v>0</v>
      </c>
      <c r="I823" s="1694">
        <f>'PRO FORMA'!I8</f>
        <v>0</v>
      </c>
      <c r="J823" s="1694">
        <f>'PRO FORMA'!J8</f>
        <v>0</v>
      </c>
      <c r="K823" s="1694">
        <f>'PRO FORMA'!K8</f>
        <v>0</v>
      </c>
      <c r="L823" s="1694">
        <f>'PRO FORMA'!L8</f>
        <v>0</v>
      </c>
      <c r="M823" s="1694">
        <f>'PRO FORMA'!M8</f>
        <v>0</v>
      </c>
      <c r="N823" s="1694">
        <f>'PRO FORMA'!N8</f>
        <v>0</v>
      </c>
      <c r="O823" s="1694">
        <f>'PRO FORMA'!O8</f>
        <v>0</v>
      </c>
      <c r="P823" s="1694">
        <f>'PRO FORMA'!P8</f>
        <v>0</v>
      </c>
      <c r="Q823" s="1694">
        <f>'PRO FORMA'!Q8</f>
        <v>0</v>
      </c>
      <c r="R823" s="1694">
        <f>'PRO FORMA'!R8</f>
        <v>0</v>
      </c>
      <c r="S823" s="1694">
        <f>'PRO FORMA'!S8</f>
        <v>0</v>
      </c>
      <c r="T823" s="1694">
        <f>'PRO FORMA'!T8</f>
        <v>0</v>
      </c>
      <c r="U823" s="1694">
        <f>'PRO FORMA'!U8</f>
        <v>0</v>
      </c>
      <c r="V823" s="1694">
        <f>'PRO FORMA'!V8</f>
        <v>0</v>
      </c>
      <c r="W823" s="1694">
        <f>'PRO FORMA'!W8</f>
        <v>0</v>
      </c>
      <c r="X823" s="1694">
        <f>'PRO FORMA'!X8</f>
        <v>0</v>
      </c>
    </row>
    <row r="824" spans="1:24" x14ac:dyDescent="0.25">
      <c r="A824" t="s">
        <v>1906</v>
      </c>
      <c r="B824" t="s">
        <v>1501</v>
      </c>
      <c r="C824" t="s">
        <v>1501</v>
      </c>
      <c r="D824" s="314">
        <f>SUM_TrendNonresidential</f>
        <v>0.02</v>
      </c>
      <c r="E824" s="1694">
        <f>'PRO FORMA'!E9</f>
        <v>0</v>
      </c>
      <c r="F824" s="1694">
        <f>'PRO FORMA'!F9</f>
        <v>0</v>
      </c>
      <c r="G824" s="1694">
        <f>'PRO FORMA'!G9</f>
        <v>0</v>
      </c>
      <c r="H824" s="1694">
        <f>'PRO FORMA'!H9</f>
        <v>0</v>
      </c>
      <c r="I824" s="1694">
        <f>'PRO FORMA'!I9</f>
        <v>0</v>
      </c>
      <c r="J824" s="1694">
        <f>'PRO FORMA'!J9</f>
        <v>0</v>
      </c>
      <c r="K824" s="1694">
        <f>'PRO FORMA'!K9</f>
        <v>0</v>
      </c>
      <c r="L824" s="1694">
        <f>'PRO FORMA'!L9</f>
        <v>0</v>
      </c>
      <c r="M824" s="1694">
        <f>'PRO FORMA'!M9</f>
        <v>0</v>
      </c>
      <c r="N824" s="1694">
        <f>'PRO FORMA'!N9</f>
        <v>0</v>
      </c>
      <c r="O824" s="1694">
        <f>'PRO FORMA'!O9</f>
        <v>0</v>
      </c>
      <c r="P824" s="1694">
        <f>'PRO FORMA'!P9</f>
        <v>0</v>
      </c>
      <c r="Q824" s="1694">
        <f>'PRO FORMA'!Q9</f>
        <v>0</v>
      </c>
      <c r="R824" s="1694">
        <f>'PRO FORMA'!R9</f>
        <v>0</v>
      </c>
      <c r="S824" s="1694">
        <f>'PRO FORMA'!S9</f>
        <v>0</v>
      </c>
      <c r="T824" s="1694">
        <f>'PRO FORMA'!T9</f>
        <v>0</v>
      </c>
      <c r="U824" s="1694">
        <f>'PRO FORMA'!U9</f>
        <v>0</v>
      </c>
      <c r="V824" s="1694">
        <f>'PRO FORMA'!V9</f>
        <v>0</v>
      </c>
      <c r="W824" s="1694">
        <f>'PRO FORMA'!W9</f>
        <v>0</v>
      </c>
      <c r="X824" s="1694">
        <f>'PRO FORMA'!X9</f>
        <v>0</v>
      </c>
    </row>
    <row r="825" spans="1:24" x14ac:dyDescent="0.25">
      <c r="A825" t="s">
        <v>1906</v>
      </c>
      <c r="B825" t="s">
        <v>612</v>
      </c>
      <c r="C825" t="s">
        <v>612</v>
      </c>
      <c r="D825" s="314">
        <f>SUM_TrendCommercialIncome</f>
        <v>0.02</v>
      </c>
      <c r="E825" s="1694">
        <f>'PRO FORMA'!E10</f>
        <v>0</v>
      </c>
      <c r="F825" s="1694">
        <f>'PRO FORMA'!F10</f>
        <v>0</v>
      </c>
      <c r="G825" s="1694">
        <f>'PRO FORMA'!G10</f>
        <v>0</v>
      </c>
      <c r="H825" s="1694">
        <f>'PRO FORMA'!H10</f>
        <v>0</v>
      </c>
      <c r="I825" s="1694">
        <f>'PRO FORMA'!I10</f>
        <v>0</v>
      </c>
      <c r="J825" s="1694">
        <f>'PRO FORMA'!J10</f>
        <v>0</v>
      </c>
      <c r="K825" s="1694">
        <f>'PRO FORMA'!K10</f>
        <v>0</v>
      </c>
      <c r="L825" s="1694">
        <f>'PRO FORMA'!L10</f>
        <v>0</v>
      </c>
      <c r="M825" s="1694">
        <f>'PRO FORMA'!M10</f>
        <v>0</v>
      </c>
      <c r="N825" s="1694">
        <f>'PRO FORMA'!N10</f>
        <v>0</v>
      </c>
      <c r="O825" s="1694">
        <f>'PRO FORMA'!O10</f>
        <v>0</v>
      </c>
      <c r="P825" s="1694">
        <f>'PRO FORMA'!P10</f>
        <v>0</v>
      </c>
      <c r="Q825" s="1694">
        <f>'PRO FORMA'!Q10</f>
        <v>0</v>
      </c>
      <c r="R825" s="1694">
        <f>'PRO FORMA'!R10</f>
        <v>0</v>
      </c>
      <c r="S825" s="1694">
        <f>'PRO FORMA'!S10</f>
        <v>0</v>
      </c>
      <c r="T825" s="1694">
        <f>'PRO FORMA'!T10</f>
        <v>0</v>
      </c>
      <c r="U825" s="1694">
        <f>'PRO FORMA'!U10</f>
        <v>0</v>
      </c>
      <c r="V825" s="1694">
        <f>'PRO FORMA'!V10</f>
        <v>0</v>
      </c>
      <c r="W825" s="1694">
        <f>'PRO FORMA'!W10</f>
        <v>0</v>
      </c>
      <c r="X825" s="1694">
        <f>'PRO FORMA'!X10</f>
        <v>0</v>
      </c>
    </row>
    <row r="826" spans="1:24" x14ac:dyDescent="0.25">
      <c r="A826" t="s">
        <v>1906</v>
      </c>
      <c r="B826" t="s">
        <v>1483</v>
      </c>
      <c r="C826" t="s">
        <v>1910</v>
      </c>
      <c r="D826" s="314">
        <f>INC_LIHTCVacancyAllowance</f>
        <v>0</v>
      </c>
      <c r="E826" s="1694">
        <f>-(E821+E822)*$D$826</f>
        <v>0</v>
      </c>
      <c r="F826" s="1694">
        <f t="shared" ref="F826:X826" si="162">-(F821+F822)*$D$826</f>
        <v>0</v>
      </c>
      <c r="G826" s="1694">
        <f t="shared" si="162"/>
        <v>0</v>
      </c>
      <c r="H826" s="1694">
        <f t="shared" si="162"/>
        <v>0</v>
      </c>
      <c r="I826" s="1694">
        <f t="shared" si="162"/>
        <v>0</v>
      </c>
      <c r="J826" s="1694">
        <f t="shared" si="162"/>
        <v>0</v>
      </c>
      <c r="K826" s="1694">
        <f t="shared" si="162"/>
        <v>0</v>
      </c>
      <c r="L826" s="1694">
        <f t="shared" si="162"/>
        <v>0</v>
      </c>
      <c r="M826" s="1694">
        <f t="shared" si="162"/>
        <v>0</v>
      </c>
      <c r="N826" s="1694">
        <f t="shared" si="162"/>
        <v>0</v>
      </c>
      <c r="O826" s="1694">
        <f t="shared" si="162"/>
        <v>0</v>
      </c>
      <c r="P826" s="1694">
        <f t="shared" si="162"/>
        <v>0</v>
      </c>
      <c r="Q826" s="1694">
        <f t="shared" si="162"/>
        <v>0</v>
      </c>
      <c r="R826" s="1694">
        <f t="shared" si="162"/>
        <v>0</v>
      </c>
      <c r="S826" s="1694">
        <f t="shared" si="162"/>
        <v>0</v>
      </c>
      <c r="T826" s="1694">
        <f t="shared" si="162"/>
        <v>0</v>
      </c>
      <c r="U826" s="1694">
        <f t="shared" si="162"/>
        <v>0</v>
      </c>
      <c r="V826" s="1694">
        <f t="shared" si="162"/>
        <v>0</v>
      </c>
      <c r="W826" s="1694">
        <f t="shared" si="162"/>
        <v>0</v>
      </c>
      <c r="X826" s="1694">
        <f t="shared" si="162"/>
        <v>0</v>
      </c>
    </row>
    <row r="827" spans="1:24" x14ac:dyDescent="0.25">
      <c r="A827" t="s">
        <v>1906</v>
      </c>
      <c r="B827" t="s">
        <v>1483</v>
      </c>
      <c r="C827" t="s">
        <v>1911</v>
      </c>
      <c r="D827" s="314">
        <f>INC_MKTVacancyAllowance</f>
        <v>0</v>
      </c>
      <c r="E827" s="1694">
        <f>-E823*$D827</f>
        <v>0</v>
      </c>
      <c r="F827" s="1694">
        <f t="shared" ref="F827:X827" si="163">-F823*$D827</f>
        <v>0</v>
      </c>
      <c r="G827" s="1694">
        <f t="shared" si="163"/>
        <v>0</v>
      </c>
      <c r="H827" s="1694">
        <f t="shared" si="163"/>
        <v>0</v>
      </c>
      <c r="I827" s="1694">
        <f t="shared" si="163"/>
        <v>0</v>
      </c>
      <c r="J827" s="1694">
        <f t="shared" si="163"/>
        <v>0</v>
      </c>
      <c r="K827" s="1694">
        <f t="shared" si="163"/>
        <v>0</v>
      </c>
      <c r="L827" s="1694">
        <f t="shared" si="163"/>
        <v>0</v>
      </c>
      <c r="M827" s="1694">
        <f t="shared" si="163"/>
        <v>0</v>
      </c>
      <c r="N827" s="1694">
        <f t="shared" si="163"/>
        <v>0</v>
      </c>
      <c r="O827" s="1694">
        <f t="shared" si="163"/>
        <v>0</v>
      </c>
      <c r="P827" s="1694">
        <f t="shared" si="163"/>
        <v>0</v>
      </c>
      <c r="Q827" s="1694">
        <f t="shared" si="163"/>
        <v>0</v>
      </c>
      <c r="R827" s="1694">
        <f t="shared" si="163"/>
        <v>0</v>
      </c>
      <c r="S827" s="1694">
        <f t="shared" si="163"/>
        <v>0</v>
      </c>
      <c r="T827" s="1694">
        <f t="shared" si="163"/>
        <v>0</v>
      </c>
      <c r="U827" s="1694">
        <f t="shared" si="163"/>
        <v>0</v>
      </c>
      <c r="V827" s="1694">
        <f t="shared" si="163"/>
        <v>0</v>
      </c>
      <c r="W827" s="1694">
        <f t="shared" si="163"/>
        <v>0</v>
      </c>
      <c r="X827" s="1694">
        <f t="shared" si="163"/>
        <v>0</v>
      </c>
    </row>
    <row r="828" spans="1:24" x14ac:dyDescent="0.25">
      <c r="A828" t="s">
        <v>1906</v>
      </c>
      <c r="B828" t="s">
        <v>1483</v>
      </c>
      <c r="C828" t="s">
        <v>1912</v>
      </c>
      <c r="D828" s="314">
        <f>INC_VacancyAllowanceNonresidential</f>
        <v>0</v>
      </c>
      <c r="E828" s="1694">
        <f>-E824*$D828</f>
        <v>0</v>
      </c>
      <c r="F828" s="1694">
        <f t="shared" ref="F828:X828" si="164">-F824*$D828</f>
        <v>0</v>
      </c>
      <c r="G828" s="1694">
        <f t="shared" si="164"/>
        <v>0</v>
      </c>
      <c r="H828" s="1694">
        <f t="shared" si="164"/>
        <v>0</v>
      </c>
      <c r="I828" s="1694">
        <f t="shared" si="164"/>
        <v>0</v>
      </c>
      <c r="J828" s="1694">
        <f t="shared" si="164"/>
        <v>0</v>
      </c>
      <c r="K828" s="1694">
        <f t="shared" si="164"/>
        <v>0</v>
      </c>
      <c r="L828" s="1694">
        <f t="shared" si="164"/>
        <v>0</v>
      </c>
      <c r="M828" s="1694">
        <f t="shared" si="164"/>
        <v>0</v>
      </c>
      <c r="N828" s="1694">
        <f t="shared" si="164"/>
        <v>0</v>
      </c>
      <c r="O828" s="1694">
        <f t="shared" si="164"/>
        <v>0</v>
      </c>
      <c r="P828" s="1694">
        <f t="shared" si="164"/>
        <v>0</v>
      </c>
      <c r="Q828" s="1694">
        <f t="shared" si="164"/>
        <v>0</v>
      </c>
      <c r="R828" s="1694">
        <f t="shared" si="164"/>
        <v>0</v>
      </c>
      <c r="S828" s="1694">
        <f t="shared" si="164"/>
        <v>0</v>
      </c>
      <c r="T828" s="1694">
        <f t="shared" si="164"/>
        <v>0</v>
      </c>
      <c r="U828" s="1694">
        <f t="shared" si="164"/>
        <v>0</v>
      </c>
      <c r="V828" s="1694">
        <f t="shared" si="164"/>
        <v>0</v>
      </c>
      <c r="W828" s="1694">
        <f t="shared" si="164"/>
        <v>0</v>
      </c>
      <c r="X828" s="1694">
        <f t="shared" si="164"/>
        <v>0</v>
      </c>
    </row>
    <row r="829" spans="1:24" x14ac:dyDescent="0.25">
      <c r="A829" t="s">
        <v>1906</v>
      </c>
      <c r="B829" t="s">
        <v>1483</v>
      </c>
      <c r="C829" t="s">
        <v>1913</v>
      </c>
      <c r="D829" s="314">
        <f>INC_VacancyAllowanceCommercialIncome</f>
        <v>0</v>
      </c>
      <c r="E829" s="1694">
        <f>-E825*$D829</f>
        <v>0</v>
      </c>
      <c r="F829" s="1694">
        <f t="shared" ref="F829:X829" si="165">-F825*$D829</f>
        <v>0</v>
      </c>
      <c r="G829" s="1694">
        <f t="shared" si="165"/>
        <v>0</v>
      </c>
      <c r="H829" s="1694">
        <f t="shared" si="165"/>
        <v>0</v>
      </c>
      <c r="I829" s="1694">
        <f t="shared" si="165"/>
        <v>0</v>
      </c>
      <c r="J829" s="1694">
        <f t="shared" si="165"/>
        <v>0</v>
      </c>
      <c r="K829" s="1694">
        <f t="shared" si="165"/>
        <v>0</v>
      </c>
      <c r="L829" s="1694">
        <f t="shared" si="165"/>
        <v>0</v>
      </c>
      <c r="M829" s="1694">
        <f t="shared" si="165"/>
        <v>0</v>
      </c>
      <c r="N829" s="1694">
        <f t="shared" si="165"/>
        <v>0</v>
      </c>
      <c r="O829" s="1694">
        <f t="shared" si="165"/>
        <v>0</v>
      </c>
      <c r="P829" s="1694">
        <f t="shared" si="165"/>
        <v>0</v>
      </c>
      <c r="Q829" s="1694">
        <f t="shared" si="165"/>
        <v>0</v>
      </c>
      <c r="R829" s="1694">
        <f t="shared" si="165"/>
        <v>0</v>
      </c>
      <c r="S829" s="1694">
        <f t="shared" si="165"/>
        <v>0</v>
      </c>
      <c r="T829" s="1694">
        <f t="shared" si="165"/>
        <v>0</v>
      </c>
      <c r="U829" s="1694">
        <f t="shared" si="165"/>
        <v>0</v>
      </c>
      <c r="V829" s="1694">
        <f t="shared" si="165"/>
        <v>0</v>
      </c>
      <c r="W829" s="1694">
        <f t="shared" si="165"/>
        <v>0</v>
      </c>
      <c r="X829" s="1694">
        <f t="shared" si="165"/>
        <v>0</v>
      </c>
    </row>
    <row r="830" spans="1:24" x14ac:dyDescent="0.25">
      <c r="A830" t="s">
        <v>1914</v>
      </c>
      <c r="B830" t="s">
        <v>953</v>
      </c>
      <c r="C830" t="str">
        <f>EXPENSES!C8</f>
        <v>Advertising and Marketing</v>
      </c>
      <c r="D830" s="314">
        <f t="shared" ref="D830:D844" si="166">SUM_TrendAdministrative</f>
        <v>0.03</v>
      </c>
      <c r="E830" s="1694">
        <f>EXPENSES!K8</f>
        <v>0</v>
      </c>
      <c r="F830" s="1694">
        <f>E830*(1+$D830)</f>
        <v>0</v>
      </c>
      <c r="G830" s="1694">
        <f t="shared" ref="G830:X844" si="167">F830*(1+$D830)</f>
        <v>0</v>
      </c>
      <c r="H830" s="1694">
        <f t="shared" si="167"/>
        <v>0</v>
      </c>
      <c r="I830" s="1694">
        <f t="shared" si="167"/>
        <v>0</v>
      </c>
      <c r="J830" s="1694">
        <f t="shared" si="167"/>
        <v>0</v>
      </c>
      <c r="K830" s="1694">
        <f t="shared" si="167"/>
        <v>0</v>
      </c>
      <c r="L830" s="1694">
        <f t="shared" si="167"/>
        <v>0</v>
      </c>
      <c r="M830" s="1694">
        <f t="shared" si="167"/>
        <v>0</v>
      </c>
      <c r="N830" s="1694">
        <f t="shared" si="167"/>
        <v>0</v>
      </c>
      <c r="O830" s="1694">
        <f t="shared" si="167"/>
        <v>0</v>
      </c>
      <c r="P830" s="1694">
        <f t="shared" si="167"/>
        <v>0</v>
      </c>
      <c r="Q830" s="1694">
        <f t="shared" si="167"/>
        <v>0</v>
      </c>
      <c r="R830" s="1694">
        <f t="shared" si="167"/>
        <v>0</v>
      </c>
      <c r="S830" s="1694">
        <f t="shared" si="167"/>
        <v>0</v>
      </c>
      <c r="T830" s="1694">
        <f t="shared" si="167"/>
        <v>0</v>
      </c>
      <c r="U830" s="1694">
        <f t="shared" si="167"/>
        <v>0</v>
      </c>
      <c r="V830" s="1694">
        <f t="shared" si="167"/>
        <v>0</v>
      </c>
      <c r="W830" s="1694">
        <f t="shared" si="167"/>
        <v>0</v>
      </c>
      <c r="X830" s="1694">
        <f t="shared" si="167"/>
        <v>0</v>
      </c>
    </row>
    <row r="831" spans="1:24" x14ac:dyDescent="0.25">
      <c r="A831" t="s">
        <v>1914</v>
      </c>
      <c r="B831" t="s">
        <v>953</v>
      </c>
      <c r="C831" t="str">
        <f>EXPENSES!C9</f>
        <v>Office Salaries</v>
      </c>
      <c r="D831" s="314">
        <f t="shared" si="166"/>
        <v>0.03</v>
      </c>
      <c r="E831" s="1694">
        <f>EXPENSES!K9</f>
        <v>0</v>
      </c>
      <c r="F831" s="1694">
        <f>E831*(1+$D831)</f>
        <v>0</v>
      </c>
      <c r="G831" s="1694">
        <f t="shared" ref="G831:U831" si="168">F831*(1+$D831)</f>
        <v>0</v>
      </c>
      <c r="H831" s="1694">
        <f t="shared" si="168"/>
        <v>0</v>
      </c>
      <c r="I831" s="1694">
        <f t="shared" si="168"/>
        <v>0</v>
      </c>
      <c r="J831" s="1694">
        <f t="shared" si="168"/>
        <v>0</v>
      </c>
      <c r="K831" s="1694">
        <f t="shared" si="168"/>
        <v>0</v>
      </c>
      <c r="L831" s="1694">
        <f t="shared" si="168"/>
        <v>0</v>
      </c>
      <c r="M831" s="1694">
        <f t="shared" si="168"/>
        <v>0</v>
      </c>
      <c r="N831" s="1694">
        <f t="shared" si="168"/>
        <v>0</v>
      </c>
      <c r="O831" s="1694">
        <f t="shared" si="168"/>
        <v>0</v>
      </c>
      <c r="P831" s="1694">
        <f t="shared" si="168"/>
        <v>0</v>
      </c>
      <c r="Q831" s="1694">
        <f t="shared" si="168"/>
        <v>0</v>
      </c>
      <c r="R831" s="1694">
        <f t="shared" si="168"/>
        <v>0</v>
      </c>
      <c r="S831" s="1694">
        <f t="shared" si="168"/>
        <v>0</v>
      </c>
      <c r="T831" s="1694">
        <f t="shared" si="168"/>
        <v>0</v>
      </c>
      <c r="U831" s="1694">
        <f t="shared" si="168"/>
        <v>0</v>
      </c>
      <c r="V831" s="1694">
        <f t="shared" si="167"/>
        <v>0</v>
      </c>
      <c r="W831" s="1694">
        <f t="shared" si="167"/>
        <v>0</v>
      </c>
      <c r="X831" s="1694">
        <f t="shared" si="167"/>
        <v>0</v>
      </c>
    </row>
    <row r="832" spans="1:24" x14ac:dyDescent="0.25">
      <c r="A832" t="s">
        <v>1914</v>
      </c>
      <c r="B832" t="s">
        <v>953</v>
      </c>
      <c r="C832" t="str">
        <f>EXPENSES!C10</f>
        <v>Office Supplies</v>
      </c>
      <c r="D832" s="314">
        <f t="shared" si="166"/>
        <v>0.03</v>
      </c>
      <c r="E832" s="1694">
        <f>EXPENSES!K10</f>
        <v>0</v>
      </c>
      <c r="F832" s="1694">
        <f>E832*(1+$D832)</f>
        <v>0</v>
      </c>
      <c r="G832" s="1694">
        <f t="shared" si="167"/>
        <v>0</v>
      </c>
      <c r="H832" s="1694">
        <f t="shared" si="167"/>
        <v>0</v>
      </c>
      <c r="I832" s="1694">
        <f t="shared" si="167"/>
        <v>0</v>
      </c>
      <c r="J832" s="1694">
        <f t="shared" si="167"/>
        <v>0</v>
      </c>
      <c r="K832" s="1694">
        <f t="shared" si="167"/>
        <v>0</v>
      </c>
      <c r="L832" s="1694">
        <f t="shared" si="167"/>
        <v>0</v>
      </c>
      <c r="M832" s="1694">
        <f t="shared" si="167"/>
        <v>0</v>
      </c>
      <c r="N832" s="1694">
        <f t="shared" si="167"/>
        <v>0</v>
      </c>
      <c r="O832" s="1694">
        <f t="shared" si="167"/>
        <v>0</v>
      </c>
      <c r="P832" s="1694">
        <f t="shared" si="167"/>
        <v>0</v>
      </c>
      <c r="Q832" s="1694">
        <f t="shared" si="167"/>
        <v>0</v>
      </c>
      <c r="R832" s="1694">
        <f t="shared" si="167"/>
        <v>0</v>
      </c>
      <c r="S832" s="1694">
        <f t="shared" si="167"/>
        <v>0</v>
      </c>
      <c r="T832" s="1694">
        <f t="shared" si="167"/>
        <v>0</v>
      </c>
      <c r="U832" s="1694">
        <f t="shared" si="167"/>
        <v>0</v>
      </c>
      <c r="V832" s="1694">
        <f t="shared" si="167"/>
        <v>0</v>
      </c>
      <c r="W832" s="1694">
        <f t="shared" si="167"/>
        <v>0</v>
      </c>
      <c r="X832" s="1694">
        <f t="shared" si="167"/>
        <v>0</v>
      </c>
    </row>
    <row r="833" spans="1:24" x14ac:dyDescent="0.25">
      <c r="A833" t="s">
        <v>1914</v>
      </c>
      <c r="B833" t="s">
        <v>953</v>
      </c>
      <c r="C833" t="str">
        <f>EXPENSES!C11</f>
        <v>Office or Model Apartment Rent</v>
      </c>
      <c r="D833" s="314">
        <f t="shared" si="166"/>
        <v>0.03</v>
      </c>
      <c r="E833" s="1694">
        <f>EXPENSES!K11</f>
        <v>0</v>
      </c>
      <c r="F833" s="1694">
        <f>E833*(1+$D833)</f>
        <v>0</v>
      </c>
      <c r="G833" s="1694">
        <f t="shared" si="167"/>
        <v>0</v>
      </c>
      <c r="H833" s="1694">
        <f t="shared" si="167"/>
        <v>0</v>
      </c>
      <c r="I833" s="1694">
        <f t="shared" si="167"/>
        <v>0</v>
      </c>
      <c r="J833" s="1694">
        <f t="shared" si="167"/>
        <v>0</v>
      </c>
      <c r="K833" s="1694">
        <f t="shared" si="167"/>
        <v>0</v>
      </c>
      <c r="L833" s="1694">
        <f t="shared" si="167"/>
        <v>0</v>
      </c>
      <c r="M833" s="1694">
        <f t="shared" si="167"/>
        <v>0</v>
      </c>
      <c r="N833" s="1694">
        <f t="shared" si="167"/>
        <v>0</v>
      </c>
      <c r="O833" s="1694">
        <f t="shared" si="167"/>
        <v>0</v>
      </c>
      <c r="P833" s="1694">
        <f t="shared" si="167"/>
        <v>0</v>
      </c>
      <c r="Q833" s="1694">
        <f t="shared" si="167"/>
        <v>0</v>
      </c>
      <c r="R833" s="1694">
        <f t="shared" si="167"/>
        <v>0</v>
      </c>
      <c r="S833" s="1694">
        <f t="shared" si="167"/>
        <v>0</v>
      </c>
      <c r="T833" s="1694">
        <f t="shared" si="167"/>
        <v>0</v>
      </c>
      <c r="U833" s="1694">
        <f t="shared" si="167"/>
        <v>0</v>
      </c>
      <c r="V833" s="1694">
        <f t="shared" si="167"/>
        <v>0</v>
      </c>
      <c r="W833" s="1694">
        <f t="shared" si="167"/>
        <v>0</v>
      </c>
      <c r="X833" s="1694">
        <f t="shared" si="167"/>
        <v>0</v>
      </c>
    </row>
    <row r="834" spans="1:24" x14ac:dyDescent="0.25">
      <c r="A834" t="s">
        <v>1914</v>
      </c>
      <c r="B834" t="s">
        <v>953</v>
      </c>
      <c r="C834" t="str">
        <f>EXPENSES!C12</f>
        <v>Management Fee</v>
      </c>
      <c r="D834" s="314">
        <f t="shared" si="166"/>
        <v>0.03</v>
      </c>
      <c r="E834" s="1694">
        <f>'PRO FORMA'!E20</f>
        <v>0</v>
      </c>
      <c r="F834" s="1694">
        <f>'PRO FORMA'!F20</f>
        <v>0</v>
      </c>
      <c r="G834" s="1694">
        <f>'PRO FORMA'!G20</f>
        <v>0</v>
      </c>
      <c r="H834" s="1694">
        <f>'PRO FORMA'!H20</f>
        <v>0</v>
      </c>
      <c r="I834" s="1694">
        <f>'PRO FORMA'!I20</f>
        <v>0</v>
      </c>
      <c r="J834" s="1694">
        <f>'PRO FORMA'!J20</f>
        <v>0</v>
      </c>
      <c r="K834" s="1694">
        <f>'PRO FORMA'!K20</f>
        <v>0</v>
      </c>
      <c r="L834" s="1694">
        <f>'PRO FORMA'!L20</f>
        <v>0</v>
      </c>
      <c r="M834" s="1694">
        <f>'PRO FORMA'!M20</f>
        <v>0</v>
      </c>
      <c r="N834" s="1694">
        <f>'PRO FORMA'!N20</f>
        <v>0</v>
      </c>
      <c r="O834" s="1694">
        <f>'PRO FORMA'!O20</f>
        <v>0</v>
      </c>
      <c r="P834" s="1694">
        <f>'PRO FORMA'!P20</f>
        <v>0</v>
      </c>
      <c r="Q834" s="1694">
        <f>'PRO FORMA'!Q20</f>
        <v>0</v>
      </c>
      <c r="R834" s="1694">
        <f>'PRO FORMA'!R20</f>
        <v>0</v>
      </c>
      <c r="S834" s="1694">
        <f>'PRO FORMA'!S20</f>
        <v>0</v>
      </c>
      <c r="T834" s="1694">
        <f>'PRO FORMA'!T20</f>
        <v>0</v>
      </c>
      <c r="U834" s="1694">
        <f>'PRO FORMA'!U20</f>
        <v>0</v>
      </c>
      <c r="V834" s="1694">
        <f>'PRO FORMA'!V20</f>
        <v>0</v>
      </c>
      <c r="W834" s="1694">
        <f>'PRO FORMA'!W20</f>
        <v>0</v>
      </c>
      <c r="X834" s="1694">
        <f>'PRO FORMA'!X20</f>
        <v>0</v>
      </c>
    </row>
    <row r="835" spans="1:24" x14ac:dyDescent="0.25">
      <c r="A835" t="s">
        <v>1914</v>
      </c>
      <c r="B835" t="s">
        <v>953</v>
      </c>
      <c r="C835" t="str">
        <f>EXPENSES!C13</f>
        <v>Manager or Superintendent Rent Free Unit</v>
      </c>
      <c r="D835" s="314">
        <f t="shared" si="166"/>
        <v>0.03</v>
      </c>
      <c r="E835" s="1694">
        <f>EXPENSES!K13</f>
        <v>0</v>
      </c>
      <c r="F835" s="1694">
        <f t="shared" ref="F835:F881" si="169">E835*(1+$D835)</f>
        <v>0</v>
      </c>
      <c r="G835" s="1694">
        <f t="shared" si="167"/>
        <v>0</v>
      </c>
      <c r="H835" s="1694">
        <f t="shared" si="167"/>
        <v>0</v>
      </c>
      <c r="I835" s="1694">
        <f t="shared" si="167"/>
        <v>0</v>
      </c>
      <c r="J835" s="1694">
        <f t="shared" si="167"/>
        <v>0</v>
      </c>
      <c r="K835" s="1694">
        <f t="shared" si="167"/>
        <v>0</v>
      </c>
      <c r="L835" s="1694">
        <f t="shared" si="167"/>
        <v>0</v>
      </c>
      <c r="M835" s="1694">
        <f t="shared" si="167"/>
        <v>0</v>
      </c>
      <c r="N835" s="1694">
        <f t="shared" si="167"/>
        <v>0</v>
      </c>
      <c r="O835" s="1694">
        <f t="shared" si="167"/>
        <v>0</v>
      </c>
      <c r="P835" s="1694">
        <f t="shared" si="167"/>
        <v>0</v>
      </c>
      <c r="Q835" s="1694">
        <f t="shared" si="167"/>
        <v>0</v>
      </c>
      <c r="R835" s="1694">
        <f t="shared" si="167"/>
        <v>0</v>
      </c>
      <c r="S835" s="1694">
        <f t="shared" si="167"/>
        <v>0</v>
      </c>
      <c r="T835" s="1694">
        <f t="shared" si="167"/>
        <v>0</v>
      </c>
      <c r="U835" s="1694">
        <f t="shared" si="167"/>
        <v>0</v>
      </c>
      <c r="V835" s="1694">
        <f t="shared" si="167"/>
        <v>0</v>
      </c>
      <c r="W835" s="1694">
        <f t="shared" si="167"/>
        <v>0</v>
      </c>
      <c r="X835" s="1694">
        <f t="shared" si="167"/>
        <v>0</v>
      </c>
    </row>
    <row r="836" spans="1:24" x14ac:dyDescent="0.25">
      <c r="A836" t="s">
        <v>1914</v>
      </c>
      <c r="B836" t="s">
        <v>953</v>
      </c>
      <c r="C836" t="str">
        <f>EXPENSES!C14</f>
        <v>Legal Expenses (project only)</v>
      </c>
      <c r="D836" s="314">
        <f t="shared" si="166"/>
        <v>0.03</v>
      </c>
      <c r="E836" s="1694">
        <f>EXPENSES!K14</f>
        <v>0</v>
      </c>
      <c r="F836" s="1694">
        <f t="shared" si="169"/>
        <v>0</v>
      </c>
      <c r="G836" s="1694">
        <f t="shared" si="167"/>
        <v>0</v>
      </c>
      <c r="H836" s="1694">
        <f t="shared" si="167"/>
        <v>0</v>
      </c>
      <c r="I836" s="1694">
        <f t="shared" si="167"/>
        <v>0</v>
      </c>
      <c r="J836" s="1694">
        <f t="shared" si="167"/>
        <v>0</v>
      </c>
      <c r="K836" s="1694">
        <f t="shared" si="167"/>
        <v>0</v>
      </c>
      <c r="L836" s="1694">
        <f t="shared" si="167"/>
        <v>0</v>
      </c>
      <c r="M836" s="1694">
        <f t="shared" si="167"/>
        <v>0</v>
      </c>
      <c r="N836" s="1694">
        <f t="shared" si="167"/>
        <v>0</v>
      </c>
      <c r="O836" s="1694">
        <f t="shared" si="167"/>
        <v>0</v>
      </c>
      <c r="P836" s="1694">
        <f t="shared" si="167"/>
        <v>0</v>
      </c>
      <c r="Q836" s="1694">
        <f t="shared" si="167"/>
        <v>0</v>
      </c>
      <c r="R836" s="1694">
        <f t="shared" si="167"/>
        <v>0</v>
      </c>
      <c r="S836" s="1694">
        <f t="shared" si="167"/>
        <v>0</v>
      </c>
      <c r="T836" s="1694">
        <f t="shared" si="167"/>
        <v>0</v>
      </c>
      <c r="U836" s="1694">
        <f t="shared" si="167"/>
        <v>0</v>
      </c>
      <c r="V836" s="1694">
        <f t="shared" si="167"/>
        <v>0</v>
      </c>
      <c r="W836" s="1694">
        <f t="shared" si="167"/>
        <v>0</v>
      </c>
      <c r="X836" s="1694">
        <f t="shared" si="167"/>
        <v>0</v>
      </c>
    </row>
    <row r="837" spans="1:24" x14ac:dyDescent="0.25">
      <c r="A837" t="s">
        <v>1914</v>
      </c>
      <c r="B837" t="s">
        <v>953</v>
      </c>
      <c r="C837" t="str">
        <f>EXPENSES!C15</f>
        <v>Auditing Expenses (project only)</v>
      </c>
      <c r="D837" s="314">
        <f t="shared" si="166"/>
        <v>0.03</v>
      </c>
      <c r="E837" s="1694">
        <f>EXPENSES!K15</f>
        <v>0</v>
      </c>
      <c r="F837" s="1694">
        <f t="shared" si="169"/>
        <v>0</v>
      </c>
      <c r="G837" s="1694">
        <f t="shared" si="167"/>
        <v>0</v>
      </c>
      <c r="H837" s="1694">
        <f t="shared" si="167"/>
        <v>0</v>
      </c>
      <c r="I837" s="1694">
        <f t="shared" si="167"/>
        <v>0</v>
      </c>
      <c r="J837" s="1694">
        <f t="shared" si="167"/>
        <v>0</v>
      </c>
      <c r="K837" s="1694">
        <f t="shared" si="167"/>
        <v>0</v>
      </c>
      <c r="L837" s="1694">
        <f t="shared" si="167"/>
        <v>0</v>
      </c>
      <c r="M837" s="1694">
        <f t="shared" si="167"/>
        <v>0</v>
      </c>
      <c r="N837" s="1694">
        <f t="shared" si="167"/>
        <v>0</v>
      </c>
      <c r="O837" s="1694">
        <f t="shared" si="167"/>
        <v>0</v>
      </c>
      <c r="P837" s="1694">
        <f t="shared" si="167"/>
        <v>0</v>
      </c>
      <c r="Q837" s="1694">
        <f t="shared" si="167"/>
        <v>0</v>
      </c>
      <c r="R837" s="1694">
        <f t="shared" si="167"/>
        <v>0</v>
      </c>
      <c r="S837" s="1694">
        <f t="shared" si="167"/>
        <v>0</v>
      </c>
      <c r="T837" s="1694">
        <f t="shared" si="167"/>
        <v>0</v>
      </c>
      <c r="U837" s="1694">
        <f t="shared" si="167"/>
        <v>0</v>
      </c>
      <c r="V837" s="1694">
        <f t="shared" si="167"/>
        <v>0</v>
      </c>
      <c r="W837" s="1694">
        <f t="shared" si="167"/>
        <v>0</v>
      </c>
      <c r="X837" s="1694">
        <f t="shared" si="167"/>
        <v>0</v>
      </c>
    </row>
    <row r="838" spans="1:24" x14ac:dyDescent="0.25">
      <c r="A838" t="s">
        <v>1914</v>
      </c>
      <c r="B838" t="s">
        <v>953</v>
      </c>
      <c r="C838" t="str">
        <f>EXPENSES!C16</f>
        <v>Bookkeeping Fees and Accounting Services</v>
      </c>
      <c r="D838" s="314">
        <f t="shared" si="166"/>
        <v>0.03</v>
      </c>
      <c r="E838" s="1694">
        <f>EXPENSES!K16</f>
        <v>0</v>
      </c>
      <c r="F838" s="1694">
        <f t="shared" si="169"/>
        <v>0</v>
      </c>
      <c r="G838" s="1694">
        <f t="shared" si="167"/>
        <v>0</v>
      </c>
      <c r="H838" s="1694">
        <f t="shared" si="167"/>
        <v>0</v>
      </c>
      <c r="I838" s="1694">
        <f t="shared" si="167"/>
        <v>0</v>
      </c>
      <c r="J838" s="1694">
        <f t="shared" si="167"/>
        <v>0</v>
      </c>
      <c r="K838" s="1694">
        <f t="shared" si="167"/>
        <v>0</v>
      </c>
      <c r="L838" s="1694">
        <f t="shared" si="167"/>
        <v>0</v>
      </c>
      <c r="M838" s="1694">
        <f t="shared" si="167"/>
        <v>0</v>
      </c>
      <c r="N838" s="1694">
        <f t="shared" si="167"/>
        <v>0</v>
      </c>
      <c r="O838" s="1694">
        <f t="shared" si="167"/>
        <v>0</v>
      </c>
      <c r="P838" s="1694">
        <f t="shared" si="167"/>
        <v>0</v>
      </c>
      <c r="Q838" s="1694">
        <f t="shared" si="167"/>
        <v>0</v>
      </c>
      <c r="R838" s="1694">
        <f t="shared" si="167"/>
        <v>0</v>
      </c>
      <c r="S838" s="1694">
        <f t="shared" si="167"/>
        <v>0</v>
      </c>
      <c r="T838" s="1694">
        <f t="shared" si="167"/>
        <v>0</v>
      </c>
      <c r="U838" s="1694">
        <f t="shared" si="167"/>
        <v>0</v>
      </c>
      <c r="V838" s="1694">
        <f t="shared" si="167"/>
        <v>0</v>
      </c>
      <c r="W838" s="1694">
        <f t="shared" si="167"/>
        <v>0</v>
      </c>
      <c r="X838" s="1694">
        <f t="shared" si="167"/>
        <v>0</v>
      </c>
    </row>
    <row r="839" spans="1:24" x14ac:dyDescent="0.25">
      <c r="A839" t="s">
        <v>1914</v>
      </c>
      <c r="B839" t="s">
        <v>953</v>
      </c>
      <c r="C839" t="str">
        <f>EXPENSES!C17</f>
        <v>Telephone and Answering Services</v>
      </c>
      <c r="D839" s="314">
        <f t="shared" si="166"/>
        <v>0.03</v>
      </c>
      <c r="E839" s="1694">
        <f>EXPENSES!K17</f>
        <v>0</v>
      </c>
      <c r="F839" s="1694">
        <f t="shared" si="169"/>
        <v>0</v>
      </c>
      <c r="G839" s="1694">
        <f t="shared" si="167"/>
        <v>0</v>
      </c>
      <c r="H839" s="1694">
        <f t="shared" si="167"/>
        <v>0</v>
      </c>
      <c r="I839" s="1694">
        <f t="shared" si="167"/>
        <v>0</v>
      </c>
      <c r="J839" s="1694">
        <f t="shared" si="167"/>
        <v>0</v>
      </c>
      <c r="K839" s="1694">
        <f t="shared" si="167"/>
        <v>0</v>
      </c>
      <c r="L839" s="1694">
        <f t="shared" si="167"/>
        <v>0</v>
      </c>
      <c r="M839" s="1694">
        <f t="shared" si="167"/>
        <v>0</v>
      </c>
      <c r="N839" s="1694">
        <f t="shared" si="167"/>
        <v>0</v>
      </c>
      <c r="O839" s="1694">
        <f t="shared" si="167"/>
        <v>0</v>
      </c>
      <c r="P839" s="1694">
        <f t="shared" si="167"/>
        <v>0</v>
      </c>
      <c r="Q839" s="1694">
        <f t="shared" si="167"/>
        <v>0</v>
      </c>
      <c r="R839" s="1694">
        <f t="shared" si="167"/>
        <v>0</v>
      </c>
      <c r="S839" s="1694">
        <f t="shared" si="167"/>
        <v>0</v>
      </c>
      <c r="T839" s="1694">
        <f t="shared" si="167"/>
        <v>0</v>
      </c>
      <c r="U839" s="1694">
        <f t="shared" si="167"/>
        <v>0</v>
      </c>
      <c r="V839" s="1694">
        <f t="shared" si="167"/>
        <v>0</v>
      </c>
      <c r="W839" s="1694">
        <f t="shared" si="167"/>
        <v>0</v>
      </c>
      <c r="X839" s="1694">
        <f t="shared" si="167"/>
        <v>0</v>
      </c>
    </row>
    <row r="840" spans="1:24" x14ac:dyDescent="0.25">
      <c r="A840" t="s">
        <v>1914</v>
      </c>
      <c r="B840" t="s">
        <v>953</v>
      </c>
      <c r="C840" t="str">
        <f>EXPENSES!C18</f>
        <v>Bad Debts</v>
      </c>
      <c r="D840" s="314">
        <f t="shared" si="166"/>
        <v>0.03</v>
      </c>
      <c r="E840" s="1694">
        <f>EXPENSES!K18</f>
        <v>0</v>
      </c>
      <c r="F840" s="1694">
        <f t="shared" si="169"/>
        <v>0</v>
      </c>
      <c r="G840" s="1694">
        <f t="shared" si="167"/>
        <v>0</v>
      </c>
      <c r="H840" s="1694">
        <f t="shared" si="167"/>
        <v>0</v>
      </c>
      <c r="I840" s="1694">
        <f t="shared" si="167"/>
        <v>0</v>
      </c>
      <c r="J840" s="1694">
        <f t="shared" si="167"/>
        <v>0</v>
      </c>
      <c r="K840" s="1694">
        <f t="shared" si="167"/>
        <v>0</v>
      </c>
      <c r="L840" s="1694">
        <f t="shared" si="167"/>
        <v>0</v>
      </c>
      <c r="M840" s="1694">
        <f t="shared" si="167"/>
        <v>0</v>
      </c>
      <c r="N840" s="1694">
        <f t="shared" si="167"/>
        <v>0</v>
      </c>
      <c r="O840" s="1694">
        <f t="shared" si="167"/>
        <v>0</v>
      </c>
      <c r="P840" s="1694">
        <f t="shared" si="167"/>
        <v>0</v>
      </c>
      <c r="Q840" s="1694">
        <f t="shared" si="167"/>
        <v>0</v>
      </c>
      <c r="R840" s="1694">
        <f t="shared" si="167"/>
        <v>0</v>
      </c>
      <c r="S840" s="1694">
        <f t="shared" si="167"/>
        <v>0</v>
      </c>
      <c r="T840" s="1694">
        <f t="shared" si="167"/>
        <v>0</v>
      </c>
      <c r="U840" s="1694">
        <f t="shared" si="167"/>
        <v>0</v>
      </c>
      <c r="V840" s="1694">
        <f t="shared" si="167"/>
        <v>0</v>
      </c>
      <c r="W840" s="1694">
        <f t="shared" si="167"/>
        <v>0</v>
      </c>
      <c r="X840" s="1694">
        <f t="shared" si="167"/>
        <v>0</v>
      </c>
    </row>
    <row r="841" spans="1:24" x14ac:dyDescent="0.25">
      <c r="A841" t="s">
        <v>1914</v>
      </c>
      <c r="B841" t="s">
        <v>953</v>
      </c>
      <c r="C841" t="str">
        <f>EXPENSES!C19</f>
        <v>Miscellaneous Administrative Expenses 1</v>
      </c>
      <c r="D841" s="314">
        <f t="shared" si="166"/>
        <v>0.03</v>
      </c>
      <c r="E841" s="1694">
        <f>EXPENSES!K19</f>
        <v>0</v>
      </c>
      <c r="F841" s="1694">
        <f t="shared" si="169"/>
        <v>0</v>
      </c>
      <c r="G841" s="1694">
        <f t="shared" si="167"/>
        <v>0</v>
      </c>
      <c r="H841" s="1694">
        <f t="shared" si="167"/>
        <v>0</v>
      </c>
      <c r="I841" s="1694">
        <f t="shared" si="167"/>
        <v>0</v>
      </c>
      <c r="J841" s="1694">
        <f t="shared" si="167"/>
        <v>0</v>
      </c>
      <c r="K841" s="1694">
        <f t="shared" si="167"/>
        <v>0</v>
      </c>
      <c r="L841" s="1694">
        <f t="shared" si="167"/>
        <v>0</v>
      </c>
      <c r="M841" s="1694">
        <f t="shared" si="167"/>
        <v>0</v>
      </c>
      <c r="N841" s="1694">
        <f t="shared" si="167"/>
        <v>0</v>
      </c>
      <c r="O841" s="1694">
        <f t="shared" si="167"/>
        <v>0</v>
      </c>
      <c r="P841" s="1694">
        <f t="shared" si="167"/>
        <v>0</v>
      </c>
      <c r="Q841" s="1694">
        <f t="shared" si="167"/>
        <v>0</v>
      </c>
      <c r="R841" s="1694">
        <f t="shared" si="167"/>
        <v>0</v>
      </c>
      <c r="S841" s="1694">
        <f t="shared" si="167"/>
        <v>0</v>
      </c>
      <c r="T841" s="1694">
        <f t="shared" si="167"/>
        <v>0</v>
      </c>
      <c r="U841" s="1694">
        <f t="shared" si="167"/>
        <v>0</v>
      </c>
      <c r="V841" s="1694">
        <f t="shared" si="167"/>
        <v>0</v>
      </c>
      <c r="W841" s="1694">
        <f t="shared" si="167"/>
        <v>0</v>
      </c>
      <c r="X841" s="1694">
        <f t="shared" si="167"/>
        <v>0</v>
      </c>
    </row>
    <row r="842" spans="1:24" x14ac:dyDescent="0.25">
      <c r="A842" t="s">
        <v>1914</v>
      </c>
      <c r="B842" t="s">
        <v>953</v>
      </c>
      <c r="C842" t="str">
        <f>EXPENSES!C20</f>
        <v>Miscellaneous Administrative Expenses 2</v>
      </c>
      <c r="D842" s="314">
        <f t="shared" si="166"/>
        <v>0.03</v>
      </c>
      <c r="E842" s="1694">
        <f>EXPENSES!K20</f>
        <v>0</v>
      </c>
      <c r="F842" s="1694">
        <f t="shared" si="169"/>
        <v>0</v>
      </c>
      <c r="G842" s="1694">
        <f t="shared" si="167"/>
        <v>0</v>
      </c>
      <c r="H842" s="1694">
        <f t="shared" si="167"/>
        <v>0</v>
      </c>
      <c r="I842" s="1694">
        <f t="shared" si="167"/>
        <v>0</v>
      </c>
      <c r="J842" s="1694">
        <f t="shared" si="167"/>
        <v>0</v>
      </c>
      <c r="K842" s="1694">
        <f t="shared" si="167"/>
        <v>0</v>
      </c>
      <c r="L842" s="1694">
        <f t="shared" si="167"/>
        <v>0</v>
      </c>
      <c r="M842" s="1694">
        <f t="shared" si="167"/>
        <v>0</v>
      </c>
      <c r="N842" s="1694">
        <f t="shared" si="167"/>
        <v>0</v>
      </c>
      <c r="O842" s="1694">
        <f t="shared" si="167"/>
        <v>0</v>
      </c>
      <c r="P842" s="1694">
        <f t="shared" si="167"/>
        <v>0</v>
      </c>
      <c r="Q842" s="1694">
        <f t="shared" si="167"/>
        <v>0</v>
      </c>
      <c r="R842" s="1694">
        <f t="shared" si="167"/>
        <v>0</v>
      </c>
      <c r="S842" s="1694">
        <f t="shared" si="167"/>
        <v>0</v>
      </c>
      <c r="T842" s="1694">
        <f t="shared" si="167"/>
        <v>0</v>
      </c>
      <c r="U842" s="1694">
        <f t="shared" si="167"/>
        <v>0</v>
      </c>
      <c r="V842" s="1694">
        <f t="shared" si="167"/>
        <v>0</v>
      </c>
      <c r="W842" s="1694">
        <f t="shared" si="167"/>
        <v>0</v>
      </c>
      <c r="X842" s="1694">
        <f t="shared" si="167"/>
        <v>0</v>
      </c>
    </row>
    <row r="843" spans="1:24" x14ac:dyDescent="0.25">
      <c r="A843" t="s">
        <v>1914</v>
      </c>
      <c r="B843" t="s">
        <v>953</v>
      </c>
      <c r="C843" t="str">
        <f>EXPENSES!C21</f>
        <v>Miscellaneous Administrative Expenses 3</v>
      </c>
      <c r="D843" s="315">
        <f t="shared" si="166"/>
        <v>0.03</v>
      </c>
      <c r="E843" s="1694">
        <f>EXPENSES!K21</f>
        <v>0</v>
      </c>
      <c r="F843" s="1694">
        <f t="shared" si="169"/>
        <v>0</v>
      </c>
      <c r="G843" s="1694">
        <f t="shared" si="167"/>
        <v>0</v>
      </c>
      <c r="H843" s="1694">
        <f t="shared" si="167"/>
        <v>0</v>
      </c>
      <c r="I843" s="1694">
        <f t="shared" si="167"/>
        <v>0</v>
      </c>
      <c r="J843" s="1694">
        <f t="shared" si="167"/>
        <v>0</v>
      </c>
      <c r="K843" s="1694">
        <f t="shared" si="167"/>
        <v>0</v>
      </c>
      <c r="L843" s="1694">
        <f t="shared" si="167"/>
        <v>0</v>
      </c>
      <c r="M843" s="1694">
        <f t="shared" si="167"/>
        <v>0</v>
      </c>
      <c r="N843" s="1694">
        <f t="shared" si="167"/>
        <v>0</v>
      </c>
      <c r="O843" s="1694">
        <f t="shared" si="167"/>
        <v>0</v>
      </c>
      <c r="P843" s="1694">
        <f t="shared" si="167"/>
        <v>0</v>
      </c>
      <c r="Q843" s="1694">
        <f t="shared" si="167"/>
        <v>0</v>
      </c>
      <c r="R843" s="1694">
        <f t="shared" si="167"/>
        <v>0</v>
      </c>
      <c r="S843" s="1694">
        <f t="shared" si="167"/>
        <v>0</v>
      </c>
      <c r="T843" s="1694">
        <f t="shared" si="167"/>
        <v>0</v>
      </c>
      <c r="U843" s="1694">
        <f t="shared" si="167"/>
        <v>0</v>
      </c>
      <c r="V843" s="1694">
        <f t="shared" si="167"/>
        <v>0</v>
      </c>
      <c r="W843" s="1694">
        <f t="shared" si="167"/>
        <v>0</v>
      </c>
      <c r="X843" s="1694">
        <f t="shared" si="167"/>
        <v>0</v>
      </c>
    </row>
    <row r="844" spans="1:24" x14ac:dyDescent="0.25">
      <c r="A844" t="s">
        <v>1914</v>
      </c>
      <c r="B844" t="s">
        <v>953</v>
      </c>
      <c r="C844" t="str">
        <f>EXPENSES!C22</f>
        <v>Annual Tax Credit Compliance Monitoring Fee ($50.00 per tax credit unit, if applicable)</v>
      </c>
      <c r="D844" s="314">
        <f t="shared" si="166"/>
        <v>0.03</v>
      </c>
      <c r="E844" s="1694">
        <f>EXPENSES!K22</f>
        <v>0</v>
      </c>
      <c r="F844" s="1694">
        <f t="shared" si="169"/>
        <v>0</v>
      </c>
      <c r="G844" s="1694">
        <f t="shared" si="167"/>
        <v>0</v>
      </c>
      <c r="H844" s="1694">
        <f t="shared" si="167"/>
        <v>0</v>
      </c>
      <c r="I844" s="1694">
        <f t="shared" si="167"/>
        <v>0</v>
      </c>
      <c r="J844" s="1694">
        <f t="shared" si="167"/>
        <v>0</v>
      </c>
      <c r="K844" s="1694">
        <f t="shared" si="167"/>
        <v>0</v>
      </c>
      <c r="L844" s="1694">
        <f t="shared" si="167"/>
        <v>0</v>
      </c>
      <c r="M844" s="1694">
        <f t="shared" si="167"/>
        <v>0</v>
      </c>
      <c r="N844" s="1694">
        <f t="shared" si="167"/>
        <v>0</v>
      </c>
      <c r="O844" s="1694">
        <f t="shared" si="167"/>
        <v>0</v>
      </c>
      <c r="P844" s="1694">
        <f t="shared" si="167"/>
        <v>0</v>
      </c>
      <c r="Q844" s="1694">
        <f t="shared" si="167"/>
        <v>0</v>
      </c>
      <c r="R844" s="1694">
        <f t="shared" si="167"/>
        <v>0</v>
      </c>
      <c r="S844" s="1694">
        <f t="shared" si="167"/>
        <v>0</v>
      </c>
      <c r="T844" s="1694">
        <f t="shared" si="167"/>
        <v>0</v>
      </c>
      <c r="U844" s="1694">
        <f t="shared" si="167"/>
        <v>0</v>
      </c>
      <c r="V844" s="1694">
        <f t="shared" si="167"/>
        <v>0</v>
      </c>
      <c r="W844" s="1694">
        <f t="shared" si="167"/>
        <v>0</v>
      </c>
      <c r="X844" s="1694">
        <f t="shared" si="167"/>
        <v>0</v>
      </c>
    </row>
    <row r="845" spans="1:24" x14ac:dyDescent="0.25">
      <c r="A845" t="s">
        <v>1914</v>
      </c>
      <c r="B845" t="s">
        <v>1915</v>
      </c>
      <c r="C845" t="str">
        <f>EXPENSES!C27</f>
        <v>Fuel Oil</v>
      </c>
      <c r="D845" s="314">
        <f>SUM_TrendUtilities</f>
        <v>0.03</v>
      </c>
      <c r="E845" s="1694">
        <f>EXPENSES!K27</f>
        <v>0</v>
      </c>
      <c r="F845" s="1694">
        <f t="shared" si="169"/>
        <v>0</v>
      </c>
      <c r="G845" s="1694">
        <f t="shared" ref="G845:X859" si="170">F845*(1+$D845)</f>
        <v>0</v>
      </c>
      <c r="H845" s="1694">
        <f t="shared" si="170"/>
        <v>0</v>
      </c>
      <c r="I845" s="1694">
        <f t="shared" si="170"/>
        <v>0</v>
      </c>
      <c r="J845" s="1694">
        <f t="shared" si="170"/>
        <v>0</v>
      </c>
      <c r="K845" s="1694">
        <f t="shared" si="170"/>
        <v>0</v>
      </c>
      <c r="L845" s="1694">
        <f t="shared" si="170"/>
        <v>0</v>
      </c>
      <c r="M845" s="1694">
        <f t="shared" si="170"/>
        <v>0</v>
      </c>
      <c r="N845" s="1694">
        <f t="shared" si="170"/>
        <v>0</v>
      </c>
      <c r="O845" s="1694">
        <f t="shared" si="170"/>
        <v>0</v>
      </c>
      <c r="P845" s="1694">
        <f t="shared" si="170"/>
        <v>0</v>
      </c>
      <c r="Q845" s="1694">
        <f t="shared" si="170"/>
        <v>0</v>
      </c>
      <c r="R845" s="1694">
        <f t="shared" si="170"/>
        <v>0</v>
      </c>
      <c r="S845" s="1694">
        <f t="shared" si="170"/>
        <v>0</v>
      </c>
      <c r="T845" s="1694">
        <f t="shared" si="170"/>
        <v>0</v>
      </c>
      <c r="U845" s="1694">
        <f t="shared" si="170"/>
        <v>0</v>
      </c>
      <c r="V845" s="1694">
        <f t="shared" si="170"/>
        <v>0</v>
      </c>
      <c r="W845" s="1694">
        <f t="shared" si="170"/>
        <v>0</v>
      </c>
      <c r="X845" s="1694">
        <f t="shared" si="170"/>
        <v>0</v>
      </c>
    </row>
    <row r="846" spans="1:24" x14ac:dyDescent="0.25">
      <c r="A846" t="s">
        <v>1914</v>
      </c>
      <c r="B846" t="s">
        <v>1915</v>
      </c>
      <c r="C846" t="str">
        <f>EXPENSES!C28</f>
        <v>Electricity</v>
      </c>
      <c r="D846" s="314">
        <f>SUM_TrendUtilities</f>
        <v>0.03</v>
      </c>
      <c r="E846" s="1694">
        <f>EXPENSES!K28</f>
        <v>0</v>
      </c>
      <c r="F846" s="1694">
        <f t="shared" si="169"/>
        <v>0</v>
      </c>
      <c r="G846" s="1694">
        <f t="shared" si="170"/>
        <v>0</v>
      </c>
      <c r="H846" s="1694">
        <f t="shared" si="170"/>
        <v>0</v>
      </c>
      <c r="I846" s="1694">
        <f t="shared" si="170"/>
        <v>0</v>
      </c>
      <c r="J846" s="1694">
        <f t="shared" si="170"/>
        <v>0</v>
      </c>
      <c r="K846" s="1694">
        <f t="shared" si="170"/>
        <v>0</v>
      </c>
      <c r="L846" s="1694">
        <f t="shared" si="170"/>
        <v>0</v>
      </c>
      <c r="M846" s="1694">
        <f t="shared" si="170"/>
        <v>0</v>
      </c>
      <c r="N846" s="1694">
        <f t="shared" si="170"/>
        <v>0</v>
      </c>
      <c r="O846" s="1694">
        <f t="shared" si="170"/>
        <v>0</v>
      </c>
      <c r="P846" s="1694">
        <f t="shared" si="170"/>
        <v>0</v>
      </c>
      <c r="Q846" s="1694">
        <f t="shared" si="170"/>
        <v>0</v>
      </c>
      <c r="R846" s="1694">
        <f t="shared" si="170"/>
        <v>0</v>
      </c>
      <c r="S846" s="1694">
        <f t="shared" si="170"/>
        <v>0</v>
      </c>
      <c r="T846" s="1694">
        <f t="shared" si="170"/>
        <v>0</v>
      </c>
      <c r="U846" s="1694">
        <f t="shared" si="170"/>
        <v>0</v>
      </c>
      <c r="V846" s="1694">
        <f t="shared" si="170"/>
        <v>0</v>
      </c>
      <c r="W846" s="1694">
        <f t="shared" si="170"/>
        <v>0</v>
      </c>
      <c r="X846" s="1694">
        <f t="shared" si="170"/>
        <v>0</v>
      </c>
    </row>
    <row r="847" spans="1:24" x14ac:dyDescent="0.25">
      <c r="A847" t="s">
        <v>1914</v>
      </c>
      <c r="B847" t="s">
        <v>1915</v>
      </c>
      <c r="C847" t="str">
        <f>EXPENSES!C29</f>
        <v>Gas</v>
      </c>
      <c r="D847" s="314">
        <f>SUM_TrendUtilities</f>
        <v>0.03</v>
      </c>
      <c r="E847" s="1694">
        <f>EXPENSES!K29</f>
        <v>0</v>
      </c>
      <c r="F847" s="1694">
        <f t="shared" si="169"/>
        <v>0</v>
      </c>
      <c r="G847" s="1694">
        <f t="shared" si="170"/>
        <v>0</v>
      </c>
      <c r="H847" s="1694">
        <f t="shared" si="170"/>
        <v>0</v>
      </c>
      <c r="I847" s="1694">
        <f t="shared" si="170"/>
        <v>0</v>
      </c>
      <c r="J847" s="1694">
        <f t="shared" si="170"/>
        <v>0</v>
      </c>
      <c r="K847" s="1694">
        <f t="shared" si="170"/>
        <v>0</v>
      </c>
      <c r="L847" s="1694">
        <f t="shared" si="170"/>
        <v>0</v>
      </c>
      <c r="M847" s="1694">
        <f t="shared" si="170"/>
        <v>0</v>
      </c>
      <c r="N847" s="1694">
        <f t="shared" si="170"/>
        <v>0</v>
      </c>
      <c r="O847" s="1694">
        <f t="shared" si="170"/>
        <v>0</v>
      </c>
      <c r="P847" s="1694">
        <f t="shared" si="170"/>
        <v>0</v>
      </c>
      <c r="Q847" s="1694">
        <f t="shared" si="170"/>
        <v>0</v>
      </c>
      <c r="R847" s="1694">
        <f t="shared" si="170"/>
        <v>0</v>
      </c>
      <c r="S847" s="1694">
        <f t="shared" si="170"/>
        <v>0</v>
      </c>
      <c r="T847" s="1694">
        <f t="shared" si="170"/>
        <v>0</v>
      </c>
      <c r="U847" s="1694">
        <f t="shared" si="170"/>
        <v>0</v>
      </c>
      <c r="V847" s="1694">
        <f t="shared" si="170"/>
        <v>0</v>
      </c>
      <c r="W847" s="1694">
        <f t="shared" si="170"/>
        <v>0</v>
      </c>
      <c r="X847" s="1694">
        <f t="shared" si="170"/>
        <v>0</v>
      </c>
    </row>
    <row r="848" spans="1:24" x14ac:dyDescent="0.25">
      <c r="A848" t="s">
        <v>1914</v>
      </c>
      <c r="B848" t="s">
        <v>1915</v>
      </c>
      <c r="C848" t="str">
        <f>EXPENSES!C30</f>
        <v>Water</v>
      </c>
      <c r="D848" s="314">
        <f>SUM_TrendUtilities</f>
        <v>0.03</v>
      </c>
      <c r="E848" s="1694">
        <f>EXPENSES!K30</f>
        <v>0</v>
      </c>
      <c r="F848" s="1694">
        <f t="shared" si="169"/>
        <v>0</v>
      </c>
      <c r="G848" s="1694">
        <f t="shared" si="170"/>
        <v>0</v>
      </c>
      <c r="H848" s="1694">
        <f t="shared" si="170"/>
        <v>0</v>
      </c>
      <c r="I848" s="1694">
        <f t="shared" si="170"/>
        <v>0</v>
      </c>
      <c r="J848" s="1694">
        <f t="shared" si="170"/>
        <v>0</v>
      </c>
      <c r="K848" s="1694">
        <f t="shared" si="170"/>
        <v>0</v>
      </c>
      <c r="L848" s="1694">
        <f t="shared" si="170"/>
        <v>0</v>
      </c>
      <c r="M848" s="1694">
        <f t="shared" si="170"/>
        <v>0</v>
      </c>
      <c r="N848" s="1694">
        <f t="shared" si="170"/>
        <v>0</v>
      </c>
      <c r="O848" s="1694">
        <f t="shared" si="170"/>
        <v>0</v>
      </c>
      <c r="P848" s="1694">
        <f t="shared" si="170"/>
        <v>0</v>
      </c>
      <c r="Q848" s="1694">
        <f t="shared" si="170"/>
        <v>0</v>
      </c>
      <c r="R848" s="1694">
        <f t="shared" si="170"/>
        <v>0</v>
      </c>
      <c r="S848" s="1694">
        <f t="shared" si="170"/>
        <v>0</v>
      </c>
      <c r="T848" s="1694">
        <f t="shared" si="170"/>
        <v>0</v>
      </c>
      <c r="U848" s="1694">
        <f t="shared" si="170"/>
        <v>0</v>
      </c>
      <c r="V848" s="1694">
        <f t="shared" si="170"/>
        <v>0</v>
      </c>
      <c r="W848" s="1694">
        <f t="shared" si="170"/>
        <v>0</v>
      </c>
      <c r="X848" s="1694">
        <f t="shared" si="170"/>
        <v>0</v>
      </c>
    </row>
    <row r="849" spans="1:24" x14ac:dyDescent="0.25">
      <c r="A849" t="s">
        <v>1914</v>
      </c>
      <c r="B849" t="s">
        <v>1915</v>
      </c>
      <c r="C849" t="str">
        <f>EXPENSES!C31</f>
        <v>Sewer</v>
      </c>
      <c r="D849" s="314">
        <f>SUM_TrendUtilities</f>
        <v>0.03</v>
      </c>
      <c r="E849" s="1694">
        <f>EXPENSES!K31</f>
        <v>0</v>
      </c>
      <c r="F849" s="1694">
        <f t="shared" si="169"/>
        <v>0</v>
      </c>
      <c r="G849" s="1694">
        <f t="shared" si="170"/>
        <v>0</v>
      </c>
      <c r="H849" s="1694">
        <f t="shared" si="170"/>
        <v>0</v>
      </c>
      <c r="I849" s="1694">
        <f t="shared" si="170"/>
        <v>0</v>
      </c>
      <c r="J849" s="1694">
        <f t="shared" si="170"/>
        <v>0</v>
      </c>
      <c r="K849" s="1694">
        <f t="shared" si="170"/>
        <v>0</v>
      </c>
      <c r="L849" s="1694">
        <f t="shared" si="170"/>
        <v>0</v>
      </c>
      <c r="M849" s="1694">
        <f t="shared" si="170"/>
        <v>0</v>
      </c>
      <c r="N849" s="1694">
        <f t="shared" si="170"/>
        <v>0</v>
      </c>
      <c r="O849" s="1694">
        <f t="shared" si="170"/>
        <v>0</v>
      </c>
      <c r="P849" s="1694">
        <f t="shared" si="170"/>
        <v>0</v>
      </c>
      <c r="Q849" s="1694">
        <f t="shared" si="170"/>
        <v>0</v>
      </c>
      <c r="R849" s="1694">
        <f t="shared" si="170"/>
        <v>0</v>
      </c>
      <c r="S849" s="1694">
        <f t="shared" si="170"/>
        <v>0</v>
      </c>
      <c r="T849" s="1694">
        <f t="shared" si="170"/>
        <v>0</v>
      </c>
      <c r="U849" s="1694">
        <f t="shared" si="170"/>
        <v>0</v>
      </c>
      <c r="V849" s="1694">
        <f t="shared" si="170"/>
        <v>0</v>
      </c>
      <c r="W849" s="1694">
        <f t="shared" si="170"/>
        <v>0</v>
      </c>
      <c r="X849" s="1694">
        <f t="shared" si="170"/>
        <v>0</v>
      </c>
    </row>
    <row r="850" spans="1:24" x14ac:dyDescent="0.25">
      <c r="A850" t="s">
        <v>1914</v>
      </c>
      <c r="B850" t="s">
        <v>956</v>
      </c>
      <c r="C850" t="str">
        <f>EXPENSES!C36</f>
        <v>Janitor and Cleaning Payroll</v>
      </c>
      <c r="D850" s="314">
        <f t="shared" ref="D850:D870" si="171">SUM_TrendOM</f>
        <v>0.03</v>
      </c>
      <c r="E850" s="1694">
        <f>EXPENSES!K36</f>
        <v>0</v>
      </c>
      <c r="F850" s="1694">
        <f t="shared" si="169"/>
        <v>0</v>
      </c>
      <c r="G850" s="1694">
        <f t="shared" si="170"/>
        <v>0</v>
      </c>
      <c r="H850" s="1694">
        <f t="shared" si="170"/>
        <v>0</v>
      </c>
      <c r="I850" s="1694">
        <f t="shared" si="170"/>
        <v>0</v>
      </c>
      <c r="J850" s="1694">
        <f t="shared" si="170"/>
        <v>0</v>
      </c>
      <c r="K850" s="1694">
        <f t="shared" si="170"/>
        <v>0</v>
      </c>
      <c r="L850" s="1694">
        <f t="shared" si="170"/>
        <v>0</v>
      </c>
      <c r="M850" s="1694">
        <f t="shared" si="170"/>
        <v>0</v>
      </c>
      <c r="N850" s="1694">
        <f t="shared" si="170"/>
        <v>0</v>
      </c>
      <c r="O850" s="1694">
        <f t="shared" si="170"/>
        <v>0</v>
      </c>
      <c r="P850" s="1694">
        <f t="shared" si="170"/>
        <v>0</v>
      </c>
      <c r="Q850" s="1694">
        <f t="shared" si="170"/>
        <v>0</v>
      </c>
      <c r="R850" s="1694">
        <f t="shared" si="170"/>
        <v>0</v>
      </c>
      <c r="S850" s="1694">
        <f t="shared" si="170"/>
        <v>0</v>
      </c>
      <c r="T850" s="1694">
        <f t="shared" si="170"/>
        <v>0</v>
      </c>
      <c r="U850" s="1694">
        <f t="shared" si="170"/>
        <v>0</v>
      </c>
      <c r="V850" s="1694">
        <f t="shared" si="170"/>
        <v>0</v>
      </c>
      <c r="W850" s="1694">
        <f t="shared" si="170"/>
        <v>0</v>
      </c>
      <c r="X850" s="1694">
        <f t="shared" si="170"/>
        <v>0</v>
      </c>
    </row>
    <row r="851" spans="1:24" x14ac:dyDescent="0.25">
      <c r="A851" t="s">
        <v>1914</v>
      </c>
      <c r="B851" t="s">
        <v>956</v>
      </c>
      <c r="C851" t="str">
        <f>EXPENSES!C37</f>
        <v>Janitor and Cleaning Supplies</v>
      </c>
      <c r="D851" s="314">
        <f t="shared" si="171"/>
        <v>0.03</v>
      </c>
      <c r="E851" s="1694">
        <f>EXPENSES!K37</f>
        <v>0</v>
      </c>
      <c r="F851" s="1694">
        <f t="shared" si="169"/>
        <v>0</v>
      </c>
      <c r="G851" s="1694">
        <f t="shared" si="170"/>
        <v>0</v>
      </c>
      <c r="H851" s="1694">
        <f t="shared" si="170"/>
        <v>0</v>
      </c>
      <c r="I851" s="1694">
        <f t="shared" si="170"/>
        <v>0</v>
      </c>
      <c r="J851" s="1694">
        <f t="shared" si="170"/>
        <v>0</v>
      </c>
      <c r="K851" s="1694">
        <f t="shared" si="170"/>
        <v>0</v>
      </c>
      <c r="L851" s="1694">
        <f t="shared" si="170"/>
        <v>0</v>
      </c>
      <c r="M851" s="1694">
        <f t="shared" si="170"/>
        <v>0</v>
      </c>
      <c r="N851" s="1694">
        <f t="shared" si="170"/>
        <v>0</v>
      </c>
      <c r="O851" s="1694">
        <f t="shared" si="170"/>
        <v>0</v>
      </c>
      <c r="P851" s="1694">
        <f t="shared" si="170"/>
        <v>0</v>
      </c>
      <c r="Q851" s="1694">
        <f t="shared" si="170"/>
        <v>0</v>
      </c>
      <c r="R851" s="1694">
        <f t="shared" si="170"/>
        <v>0</v>
      </c>
      <c r="S851" s="1694">
        <f t="shared" si="170"/>
        <v>0</v>
      </c>
      <c r="T851" s="1694">
        <f t="shared" si="170"/>
        <v>0</v>
      </c>
      <c r="U851" s="1694">
        <f t="shared" si="170"/>
        <v>0</v>
      </c>
      <c r="V851" s="1694">
        <f t="shared" si="170"/>
        <v>0</v>
      </c>
      <c r="W851" s="1694">
        <f t="shared" si="170"/>
        <v>0</v>
      </c>
      <c r="X851" s="1694">
        <f t="shared" si="170"/>
        <v>0</v>
      </c>
    </row>
    <row r="852" spans="1:24" x14ac:dyDescent="0.25">
      <c r="A852" t="s">
        <v>1914</v>
      </c>
      <c r="B852" t="s">
        <v>956</v>
      </c>
      <c r="C852" t="str">
        <f>EXPENSES!C38</f>
        <v>Janitor and Cleaning Contract</v>
      </c>
      <c r="D852" s="314">
        <f t="shared" si="171"/>
        <v>0.03</v>
      </c>
      <c r="E852" s="1694">
        <f>EXPENSES!K38</f>
        <v>0</v>
      </c>
      <c r="F852" s="1694">
        <f t="shared" si="169"/>
        <v>0</v>
      </c>
      <c r="G852" s="1694">
        <f t="shared" si="170"/>
        <v>0</v>
      </c>
      <c r="H852" s="1694">
        <f t="shared" si="170"/>
        <v>0</v>
      </c>
      <c r="I852" s="1694">
        <f t="shared" si="170"/>
        <v>0</v>
      </c>
      <c r="J852" s="1694">
        <f t="shared" si="170"/>
        <v>0</v>
      </c>
      <c r="K852" s="1694">
        <f t="shared" si="170"/>
        <v>0</v>
      </c>
      <c r="L852" s="1694">
        <f t="shared" si="170"/>
        <v>0</v>
      </c>
      <c r="M852" s="1694">
        <f t="shared" si="170"/>
        <v>0</v>
      </c>
      <c r="N852" s="1694">
        <f t="shared" si="170"/>
        <v>0</v>
      </c>
      <c r="O852" s="1694">
        <f t="shared" si="170"/>
        <v>0</v>
      </c>
      <c r="P852" s="1694">
        <f t="shared" si="170"/>
        <v>0</v>
      </c>
      <c r="Q852" s="1694">
        <f t="shared" si="170"/>
        <v>0</v>
      </c>
      <c r="R852" s="1694">
        <f t="shared" si="170"/>
        <v>0</v>
      </c>
      <c r="S852" s="1694">
        <f t="shared" si="170"/>
        <v>0</v>
      </c>
      <c r="T852" s="1694">
        <f t="shared" si="170"/>
        <v>0</v>
      </c>
      <c r="U852" s="1694">
        <f t="shared" si="170"/>
        <v>0</v>
      </c>
      <c r="V852" s="1694">
        <f t="shared" si="170"/>
        <v>0</v>
      </c>
      <c r="W852" s="1694">
        <f t="shared" si="170"/>
        <v>0</v>
      </c>
      <c r="X852" s="1694">
        <f t="shared" si="170"/>
        <v>0</v>
      </c>
    </row>
    <row r="853" spans="1:24" x14ac:dyDescent="0.25">
      <c r="A853" t="s">
        <v>1914</v>
      </c>
      <c r="B853" t="s">
        <v>956</v>
      </c>
      <c r="C853" t="str">
        <f>EXPENSES!C39</f>
        <v>Exterminating Payroll or Contract</v>
      </c>
      <c r="D853" s="314">
        <f t="shared" si="171"/>
        <v>0.03</v>
      </c>
      <c r="E853" s="1694">
        <f>EXPENSES!K39</f>
        <v>0</v>
      </c>
      <c r="F853" s="1694">
        <f t="shared" si="169"/>
        <v>0</v>
      </c>
      <c r="G853" s="1694">
        <f t="shared" si="170"/>
        <v>0</v>
      </c>
      <c r="H853" s="1694">
        <f t="shared" si="170"/>
        <v>0</v>
      </c>
      <c r="I853" s="1694">
        <f t="shared" si="170"/>
        <v>0</v>
      </c>
      <c r="J853" s="1694">
        <f t="shared" si="170"/>
        <v>0</v>
      </c>
      <c r="K853" s="1694">
        <f t="shared" si="170"/>
        <v>0</v>
      </c>
      <c r="L853" s="1694">
        <f t="shared" si="170"/>
        <v>0</v>
      </c>
      <c r="M853" s="1694">
        <f t="shared" si="170"/>
        <v>0</v>
      </c>
      <c r="N853" s="1694">
        <f t="shared" si="170"/>
        <v>0</v>
      </c>
      <c r="O853" s="1694">
        <f t="shared" si="170"/>
        <v>0</v>
      </c>
      <c r="P853" s="1694">
        <f t="shared" si="170"/>
        <v>0</v>
      </c>
      <c r="Q853" s="1694">
        <f t="shared" si="170"/>
        <v>0</v>
      </c>
      <c r="R853" s="1694">
        <f t="shared" si="170"/>
        <v>0</v>
      </c>
      <c r="S853" s="1694">
        <f t="shared" si="170"/>
        <v>0</v>
      </c>
      <c r="T853" s="1694">
        <f t="shared" si="170"/>
        <v>0</v>
      </c>
      <c r="U853" s="1694">
        <f t="shared" si="170"/>
        <v>0</v>
      </c>
      <c r="V853" s="1694">
        <f t="shared" si="170"/>
        <v>0</v>
      </c>
      <c r="W853" s="1694">
        <f t="shared" si="170"/>
        <v>0</v>
      </c>
      <c r="X853" s="1694">
        <f t="shared" si="170"/>
        <v>0</v>
      </c>
    </row>
    <row r="854" spans="1:24" x14ac:dyDescent="0.25">
      <c r="A854" t="s">
        <v>1914</v>
      </c>
      <c r="B854" t="s">
        <v>956</v>
      </c>
      <c r="C854" t="str">
        <f>EXPENSES!C40</f>
        <v>Exterminating Supplies</v>
      </c>
      <c r="D854" s="314">
        <f t="shared" si="171"/>
        <v>0.03</v>
      </c>
      <c r="E854" s="1694">
        <f>EXPENSES!K40</f>
        <v>0</v>
      </c>
      <c r="F854" s="1694">
        <f t="shared" si="169"/>
        <v>0</v>
      </c>
      <c r="G854" s="1694">
        <f t="shared" si="170"/>
        <v>0</v>
      </c>
      <c r="H854" s="1694">
        <f t="shared" si="170"/>
        <v>0</v>
      </c>
      <c r="I854" s="1694">
        <f t="shared" si="170"/>
        <v>0</v>
      </c>
      <c r="J854" s="1694">
        <f t="shared" si="170"/>
        <v>0</v>
      </c>
      <c r="K854" s="1694">
        <f t="shared" si="170"/>
        <v>0</v>
      </c>
      <c r="L854" s="1694">
        <f t="shared" si="170"/>
        <v>0</v>
      </c>
      <c r="M854" s="1694">
        <f t="shared" si="170"/>
        <v>0</v>
      </c>
      <c r="N854" s="1694">
        <f t="shared" si="170"/>
        <v>0</v>
      </c>
      <c r="O854" s="1694">
        <f t="shared" si="170"/>
        <v>0</v>
      </c>
      <c r="P854" s="1694">
        <f t="shared" si="170"/>
        <v>0</v>
      </c>
      <c r="Q854" s="1694">
        <f t="shared" si="170"/>
        <v>0</v>
      </c>
      <c r="R854" s="1694">
        <f t="shared" si="170"/>
        <v>0</v>
      </c>
      <c r="S854" s="1694">
        <f t="shared" si="170"/>
        <v>0</v>
      </c>
      <c r="T854" s="1694">
        <f t="shared" si="170"/>
        <v>0</v>
      </c>
      <c r="U854" s="1694">
        <f t="shared" si="170"/>
        <v>0</v>
      </c>
      <c r="V854" s="1694">
        <f t="shared" si="170"/>
        <v>0</v>
      </c>
      <c r="W854" s="1694">
        <f t="shared" si="170"/>
        <v>0</v>
      </c>
      <c r="X854" s="1694">
        <f t="shared" si="170"/>
        <v>0</v>
      </c>
    </row>
    <row r="855" spans="1:24" x14ac:dyDescent="0.25">
      <c r="A855" t="s">
        <v>1914</v>
      </c>
      <c r="B855" t="s">
        <v>956</v>
      </c>
      <c r="C855" t="str">
        <f>EXPENSES!C41</f>
        <v>Garbage and Trash Removal</v>
      </c>
      <c r="D855" s="314">
        <f t="shared" si="171"/>
        <v>0.03</v>
      </c>
      <c r="E855" s="1694">
        <f>EXPENSES!K41</f>
        <v>0</v>
      </c>
      <c r="F855" s="1694">
        <f t="shared" si="169"/>
        <v>0</v>
      </c>
      <c r="G855" s="1694">
        <f t="shared" si="170"/>
        <v>0</v>
      </c>
      <c r="H855" s="1694">
        <f t="shared" si="170"/>
        <v>0</v>
      </c>
      <c r="I855" s="1694">
        <f t="shared" si="170"/>
        <v>0</v>
      </c>
      <c r="J855" s="1694">
        <f t="shared" si="170"/>
        <v>0</v>
      </c>
      <c r="K855" s="1694">
        <f t="shared" si="170"/>
        <v>0</v>
      </c>
      <c r="L855" s="1694">
        <f t="shared" si="170"/>
        <v>0</v>
      </c>
      <c r="M855" s="1694">
        <f t="shared" si="170"/>
        <v>0</v>
      </c>
      <c r="N855" s="1694">
        <f t="shared" si="170"/>
        <v>0</v>
      </c>
      <c r="O855" s="1694">
        <f t="shared" si="170"/>
        <v>0</v>
      </c>
      <c r="P855" s="1694">
        <f t="shared" si="170"/>
        <v>0</v>
      </c>
      <c r="Q855" s="1694">
        <f t="shared" si="170"/>
        <v>0</v>
      </c>
      <c r="R855" s="1694">
        <f t="shared" si="170"/>
        <v>0</v>
      </c>
      <c r="S855" s="1694">
        <f t="shared" si="170"/>
        <v>0</v>
      </c>
      <c r="T855" s="1694">
        <f t="shared" si="170"/>
        <v>0</v>
      </c>
      <c r="U855" s="1694">
        <f t="shared" si="170"/>
        <v>0</v>
      </c>
      <c r="V855" s="1694">
        <f t="shared" si="170"/>
        <v>0</v>
      </c>
      <c r="W855" s="1694">
        <f t="shared" si="170"/>
        <v>0</v>
      </c>
      <c r="X855" s="1694">
        <f t="shared" si="170"/>
        <v>0</v>
      </c>
    </row>
    <row r="856" spans="1:24" x14ac:dyDescent="0.25">
      <c r="A856" t="s">
        <v>1914</v>
      </c>
      <c r="B856" t="s">
        <v>956</v>
      </c>
      <c r="C856" t="str">
        <f>EXPENSES!C42</f>
        <v>Security Payroll or Contract</v>
      </c>
      <c r="D856" s="314">
        <f t="shared" si="171"/>
        <v>0.03</v>
      </c>
      <c r="E856" s="1694">
        <f>EXPENSES!K42</f>
        <v>0</v>
      </c>
      <c r="F856" s="1694">
        <f t="shared" si="169"/>
        <v>0</v>
      </c>
      <c r="G856" s="1694">
        <f t="shared" si="170"/>
        <v>0</v>
      </c>
      <c r="H856" s="1694">
        <f t="shared" si="170"/>
        <v>0</v>
      </c>
      <c r="I856" s="1694">
        <f t="shared" si="170"/>
        <v>0</v>
      </c>
      <c r="J856" s="1694">
        <f t="shared" si="170"/>
        <v>0</v>
      </c>
      <c r="K856" s="1694">
        <f t="shared" si="170"/>
        <v>0</v>
      </c>
      <c r="L856" s="1694">
        <f t="shared" si="170"/>
        <v>0</v>
      </c>
      <c r="M856" s="1694">
        <f t="shared" si="170"/>
        <v>0</v>
      </c>
      <c r="N856" s="1694">
        <f t="shared" si="170"/>
        <v>0</v>
      </c>
      <c r="O856" s="1694">
        <f t="shared" si="170"/>
        <v>0</v>
      </c>
      <c r="P856" s="1694">
        <f t="shared" si="170"/>
        <v>0</v>
      </c>
      <c r="Q856" s="1694">
        <f t="shared" si="170"/>
        <v>0</v>
      </c>
      <c r="R856" s="1694">
        <f t="shared" si="170"/>
        <v>0</v>
      </c>
      <c r="S856" s="1694">
        <f t="shared" si="170"/>
        <v>0</v>
      </c>
      <c r="T856" s="1694">
        <f t="shared" si="170"/>
        <v>0</v>
      </c>
      <c r="U856" s="1694">
        <f t="shared" si="170"/>
        <v>0</v>
      </c>
      <c r="V856" s="1694">
        <f t="shared" si="170"/>
        <v>0</v>
      </c>
      <c r="W856" s="1694">
        <f t="shared" si="170"/>
        <v>0</v>
      </c>
      <c r="X856" s="1694">
        <f t="shared" si="170"/>
        <v>0</v>
      </c>
    </row>
    <row r="857" spans="1:24" x14ac:dyDescent="0.25">
      <c r="A857" t="s">
        <v>1914</v>
      </c>
      <c r="B857" t="s">
        <v>956</v>
      </c>
      <c r="C857" t="str">
        <f>EXPENSES!C43</f>
        <v>Grounds Payroll</v>
      </c>
      <c r="D857" s="314">
        <f t="shared" si="171"/>
        <v>0.03</v>
      </c>
      <c r="E857" s="1694">
        <f>EXPENSES!K43</f>
        <v>0</v>
      </c>
      <c r="F857" s="1694">
        <f t="shared" si="169"/>
        <v>0</v>
      </c>
      <c r="G857" s="1694">
        <f t="shared" si="170"/>
        <v>0</v>
      </c>
      <c r="H857" s="1694">
        <f t="shared" si="170"/>
        <v>0</v>
      </c>
      <c r="I857" s="1694">
        <f t="shared" si="170"/>
        <v>0</v>
      </c>
      <c r="J857" s="1694">
        <f t="shared" si="170"/>
        <v>0</v>
      </c>
      <c r="K857" s="1694">
        <f t="shared" si="170"/>
        <v>0</v>
      </c>
      <c r="L857" s="1694">
        <f t="shared" si="170"/>
        <v>0</v>
      </c>
      <c r="M857" s="1694">
        <f t="shared" si="170"/>
        <v>0</v>
      </c>
      <c r="N857" s="1694">
        <f t="shared" si="170"/>
        <v>0</v>
      </c>
      <c r="O857" s="1694">
        <f t="shared" si="170"/>
        <v>0</v>
      </c>
      <c r="P857" s="1694">
        <f t="shared" si="170"/>
        <v>0</v>
      </c>
      <c r="Q857" s="1694">
        <f t="shared" si="170"/>
        <v>0</v>
      </c>
      <c r="R857" s="1694">
        <f t="shared" si="170"/>
        <v>0</v>
      </c>
      <c r="S857" s="1694">
        <f t="shared" si="170"/>
        <v>0</v>
      </c>
      <c r="T857" s="1694">
        <f t="shared" si="170"/>
        <v>0</v>
      </c>
      <c r="U857" s="1694">
        <f t="shared" si="170"/>
        <v>0</v>
      </c>
      <c r="V857" s="1694">
        <f t="shared" si="170"/>
        <v>0</v>
      </c>
      <c r="W857" s="1694">
        <f t="shared" si="170"/>
        <v>0</v>
      </c>
      <c r="X857" s="1694">
        <f t="shared" si="170"/>
        <v>0</v>
      </c>
    </row>
    <row r="858" spans="1:24" x14ac:dyDescent="0.25">
      <c r="A858" t="s">
        <v>1914</v>
      </c>
      <c r="B858" t="s">
        <v>956</v>
      </c>
      <c r="C858" t="str">
        <f>EXPENSES!C44</f>
        <v>Grounds Supplies</v>
      </c>
      <c r="D858" s="314">
        <f t="shared" si="171"/>
        <v>0.03</v>
      </c>
      <c r="E858" s="1694">
        <f>EXPENSES!K44</f>
        <v>0</v>
      </c>
      <c r="F858" s="1694">
        <f t="shared" si="169"/>
        <v>0</v>
      </c>
      <c r="G858" s="1694">
        <f t="shared" si="170"/>
        <v>0</v>
      </c>
      <c r="H858" s="1694">
        <f t="shared" si="170"/>
        <v>0</v>
      </c>
      <c r="I858" s="1694">
        <f t="shared" si="170"/>
        <v>0</v>
      </c>
      <c r="J858" s="1694">
        <f t="shared" si="170"/>
        <v>0</v>
      </c>
      <c r="K858" s="1694">
        <f t="shared" si="170"/>
        <v>0</v>
      </c>
      <c r="L858" s="1694">
        <f t="shared" si="170"/>
        <v>0</v>
      </c>
      <c r="M858" s="1694">
        <f t="shared" si="170"/>
        <v>0</v>
      </c>
      <c r="N858" s="1694">
        <f t="shared" si="170"/>
        <v>0</v>
      </c>
      <c r="O858" s="1694">
        <f t="shared" si="170"/>
        <v>0</v>
      </c>
      <c r="P858" s="1694">
        <f t="shared" si="170"/>
        <v>0</v>
      </c>
      <c r="Q858" s="1694">
        <f t="shared" si="170"/>
        <v>0</v>
      </c>
      <c r="R858" s="1694">
        <f t="shared" si="170"/>
        <v>0</v>
      </c>
      <c r="S858" s="1694">
        <f t="shared" si="170"/>
        <v>0</v>
      </c>
      <c r="T858" s="1694">
        <f t="shared" si="170"/>
        <v>0</v>
      </c>
      <c r="U858" s="1694">
        <f t="shared" si="170"/>
        <v>0</v>
      </c>
      <c r="V858" s="1694">
        <f t="shared" si="170"/>
        <v>0</v>
      </c>
      <c r="W858" s="1694">
        <f t="shared" si="170"/>
        <v>0</v>
      </c>
      <c r="X858" s="1694">
        <f t="shared" si="170"/>
        <v>0</v>
      </c>
    </row>
    <row r="859" spans="1:24" x14ac:dyDescent="0.25">
      <c r="A859" t="s">
        <v>1914</v>
      </c>
      <c r="B859" t="s">
        <v>956</v>
      </c>
      <c r="C859" t="str">
        <f>EXPENSES!C45</f>
        <v>Grounds Contract</v>
      </c>
      <c r="D859" s="314">
        <f t="shared" si="171"/>
        <v>0.03</v>
      </c>
      <c r="E859" s="1694">
        <f>EXPENSES!K45</f>
        <v>0</v>
      </c>
      <c r="F859" s="1694">
        <f t="shared" si="169"/>
        <v>0</v>
      </c>
      <c r="G859" s="1694">
        <f t="shared" si="170"/>
        <v>0</v>
      </c>
      <c r="H859" s="1694">
        <f t="shared" si="170"/>
        <v>0</v>
      </c>
      <c r="I859" s="1694">
        <f t="shared" si="170"/>
        <v>0</v>
      </c>
      <c r="J859" s="1694">
        <f t="shared" ref="G859:X873" si="172">I859*(1+$D859)</f>
        <v>0</v>
      </c>
      <c r="K859" s="1694">
        <f t="shared" si="172"/>
        <v>0</v>
      </c>
      <c r="L859" s="1694">
        <f t="shared" si="172"/>
        <v>0</v>
      </c>
      <c r="M859" s="1694">
        <f t="shared" si="172"/>
        <v>0</v>
      </c>
      <c r="N859" s="1694">
        <f t="shared" si="172"/>
        <v>0</v>
      </c>
      <c r="O859" s="1694">
        <f t="shared" si="172"/>
        <v>0</v>
      </c>
      <c r="P859" s="1694">
        <f t="shared" si="172"/>
        <v>0</v>
      </c>
      <c r="Q859" s="1694">
        <f t="shared" si="172"/>
        <v>0</v>
      </c>
      <c r="R859" s="1694">
        <f t="shared" si="172"/>
        <v>0</v>
      </c>
      <c r="S859" s="1694">
        <f t="shared" si="172"/>
        <v>0</v>
      </c>
      <c r="T859" s="1694">
        <f t="shared" si="172"/>
        <v>0</v>
      </c>
      <c r="U859" s="1694">
        <f t="shared" si="172"/>
        <v>0</v>
      </c>
      <c r="V859" s="1694">
        <f t="shared" si="172"/>
        <v>0</v>
      </c>
      <c r="W859" s="1694">
        <f t="shared" si="172"/>
        <v>0</v>
      </c>
      <c r="X859" s="1694">
        <f t="shared" si="172"/>
        <v>0</v>
      </c>
    </row>
    <row r="860" spans="1:24" x14ac:dyDescent="0.25">
      <c r="A860" t="s">
        <v>1914</v>
      </c>
      <c r="B860" t="s">
        <v>956</v>
      </c>
      <c r="C860" t="str">
        <f>EXPENSES!C46</f>
        <v>Repairs Payroll</v>
      </c>
      <c r="D860" s="314">
        <f t="shared" si="171"/>
        <v>0.03</v>
      </c>
      <c r="E860" s="1694">
        <f>EXPENSES!K46</f>
        <v>0</v>
      </c>
      <c r="F860" s="1694">
        <f t="shared" si="169"/>
        <v>0</v>
      </c>
      <c r="G860" s="1694">
        <f t="shared" si="172"/>
        <v>0</v>
      </c>
      <c r="H860" s="1694">
        <f t="shared" si="172"/>
        <v>0</v>
      </c>
      <c r="I860" s="1694">
        <f t="shared" si="172"/>
        <v>0</v>
      </c>
      <c r="J860" s="1694">
        <f t="shared" si="172"/>
        <v>0</v>
      </c>
      <c r="K860" s="1694">
        <f t="shared" si="172"/>
        <v>0</v>
      </c>
      <c r="L860" s="1694">
        <f t="shared" si="172"/>
        <v>0</v>
      </c>
      <c r="M860" s="1694">
        <f t="shared" si="172"/>
        <v>0</v>
      </c>
      <c r="N860" s="1694">
        <f t="shared" si="172"/>
        <v>0</v>
      </c>
      <c r="O860" s="1694">
        <f t="shared" si="172"/>
        <v>0</v>
      </c>
      <c r="P860" s="1694">
        <f t="shared" si="172"/>
        <v>0</v>
      </c>
      <c r="Q860" s="1694">
        <f t="shared" si="172"/>
        <v>0</v>
      </c>
      <c r="R860" s="1694">
        <f t="shared" si="172"/>
        <v>0</v>
      </c>
      <c r="S860" s="1694">
        <f t="shared" si="172"/>
        <v>0</v>
      </c>
      <c r="T860" s="1694">
        <f t="shared" si="172"/>
        <v>0</v>
      </c>
      <c r="U860" s="1694">
        <f t="shared" si="172"/>
        <v>0</v>
      </c>
      <c r="V860" s="1694">
        <f t="shared" si="172"/>
        <v>0</v>
      </c>
      <c r="W860" s="1694">
        <f t="shared" si="172"/>
        <v>0</v>
      </c>
      <c r="X860" s="1694">
        <f t="shared" si="172"/>
        <v>0</v>
      </c>
    </row>
    <row r="861" spans="1:24" x14ac:dyDescent="0.25">
      <c r="A861" t="s">
        <v>1914</v>
      </c>
      <c r="B861" t="s">
        <v>956</v>
      </c>
      <c r="C861" t="str">
        <f>EXPENSES!C47</f>
        <v>Repairs Material</v>
      </c>
      <c r="D861" s="314">
        <f t="shared" si="171"/>
        <v>0.03</v>
      </c>
      <c r="E861" s="1694">
        <f>EXPENSES!K47</f>
        <v>0</v>
      </c>
      <c r="F861" s="1694">
        <f t="shared" si="169"/>
        <v>0</v>
      </c>
      <c r="G861" s="1694">
        <f t="shared" si="172"/>
        <v>0</v>
      </c>
      <c r="H861" s="1694">
        <f t="shared" si="172"/>
        <v>0</v>
      </c>
      <c r="I861" s="1694">
        <f t="shared" si="172"/>
        <v>0</v>
      </c>
      <c r="J861" s="1694">
        <f t="shared" si="172"/>
        <v>0</v>
      </c>
      <c r="K861" s="1694">
        <f t="shared" si="172"/>
        <v>0</v>
      </c>
      <c r="L861" s="1694">
        <f t="shared" si="172"/>
        <v>0</v>
      </c>
      <c r="M861" s="1694">
        <f t="shared" si="172"/>
        <v>0</v>
      </c>
      <c r="N861" s="1694">
        <f t="shared" si="172"/>
        <v>0</v>
      </c>
      <c r="O861" s="1694">
        <f t="shared" si="172"/>
        <v>0</v>
      </c>
      <c r="P861" s="1694">
        <f t="shared" si="172"/>
        <v>0</v>
      </c>
      <c r="Q861" s="1694">
        <f t="shared" si="172"/>
        <v>0</v>
      </c>
      <c r="R861" s="1694">
        <f t="shared" si="172"/>
        <v>0</v>
      </c>
      <c r="S861" s="1694">
        <f t="shared" si="172"/>
        <v>0</v>
      </c>
      <c r="T861" s="1694">
        <f t="shared" si="172"/>
        <v>0</v>
      </c>
      <c r="U861" s="1694">
        <f t="shared" si="172"/>
        <v>0</v>
      </c>
      <c r="V861" s="1694">
        <f t="shared" si="172"/>
        <v>0</v>
      </c>
      <c r="W861" s="1694">
        <f t="shared" si="172"/>
        <v>0</v>
      </c>
      <c r="X861" s="1694">
        <f t="shared" si="172"/>
        <v>0</v>
      </c>
    </row>
    <row r="862" spans="1:24" x14ac:dyDescent="0.25">
      <c r="A862" t="s">
        <v>1914</v>
      </c>
      <c r="B862" t="s">
        <v>956</v>
      </c>
      <c r="C862" t="str">
        <f>EXPENSES!C48</f>
        <v>Repairs Contract</v>
      </c>
      <c r="D862" s="314">
        <f t="shared" si="171"/>
        <v>0.03</v>
      </c>
      <c r="E862" s="1694">
        <f>EXPENSES!K48</f>
        <v>0</v>
      </c>
      <c r="F862" s="1694">
        <f t="shared" si="169"/>
        <v>0</v>
      </c>
      <c r="G862" s="1694">
        <f t="shared" si="172"/>
        <v>0</v>
      </c>
      <c r="H862" s="1694">
        <f t="shared" si="172"/>
        <v>0</v>
      </c>
      <c r="I862" s="1694">
        <f t="shared" si="172"/>
        <v>0</v>
      </c>
      <c r="J862" s="1694">
        <f t="shared" si="172"/>
        <v>0</v>
      </c>
      <c r="K862" s="1694">
        <f t="shared" si="172"/>
        <v>0</v>
      </c>
      <c r="L862" s="1694">
        <f t="shared" si="172"/>
        <v>0</v>
      </c>
      <c r="M862" s="1694">
        <f t="shared" si="172"/>
        <v>0</v>
      </c>
      <c r="N862" s="1694">
        <f t="shared" si="172"/>
        <v>0</v>
      </c>
      <c r="O862" s="1694">
        <f t="shared" si="172"/>
        <v>0</v>
      </c>
      <c r="P862" s="1694">
        <f t="shared" si="172"/>
        <v>0</v>
      </c>
      <c r="Q862" s="1694">
        <f t="shared" si="172"/>
        <v>0</v>
      </c>
      <c r="R862" s="1694">
        <f t="shared" si="172"/>
        <v>0</v>
      </c>
      <c r="S862" s="1694">
        <f t="shared" si="172"/>
        <v>0</v>
      </c>
      <c r="T862" s="1694">
        <f t="shared" si="172"/>
        <v>0</v>
      </c>
      <c r="U862" s="1694">
        <f t="shared" si="172"/>
        <v>0</v>
      </c>
      <c r="V862" s="1694">
        <f t="shared" si="172"/>
        <v>0</v>
      </c>
      <c r="W862" s="1694">
        <f t="shared" si="172"/>
        <v>0</v>
      </c>
      <c r="X862" s="1694">
        <f t="shared" si="172"/>
        <v>0</v>
      </c>
    </row>
    <row r="863" spans="1:24" x14ac:dyDescent="0.25">
      <c r="A863" t="s">
        <v>1914</v>
      </c>
      <c r="B863" t="s">
        <v>956</v>
      </c>
      <c r="C863" t="str">
        <f>EXPENSES!C49</f>
        <v>Elevator Maintenance or Contract</v>
      </c>
      <c r="D863" s="314">
        <f t="shared" si="171"/>
        <v>0.03</v>
      </c>
      <c r="E863" s="1694">
        <f>EXPENSES!K49</f>
        <v>0</v>
      </c>
      <c r="F863" s="1694">
        <f t="shared" si="169"/>
        <v>0</v>
      </c>
      <c r="G863" s="1694">
        <f t="shared" si="172"/>
        <v>0</v>
      </c>
      <c r="H863" s="1694">
        <f t="shared" si="172"/>
        <v>0</v>
      </c>
      <c r="I863" s="1694">
        <f t="shared" si="172"/>
        <v>0</v>
      </c>
      <c r="J863" s="1694">
        <f t="shared" si="172"/>
        <v>0</v>
      </c>
      <c r="K863" s="1694">
        <f t="shared" si="172"/>
        <v>0</v>
      </c>
      <c r="L863" s="1694">
        <f t="shared" si="172"/>
        <v>0</v>
      </c>
      <c r="M863" s="1694">
        <f t="shared" si="172"/>
        <v>0</v>
      </c>
      <c r="N863" s="1694">
        <f t="shared" si="172"/>
        <v>0</v>
      </c>
      <c r="O863" s="1694">
        <f t="shared" si="172"/>
        <v>0</v>
      </c>
      <c r="P863" s="1694">
        <f t="shared" si="172"/>
        <v>0</v>
      </c>
      <c r="Q863" s="1694">
        <f t="shared" si="172"/>
        <v>0</v>
      </c>
      <c r="R863" s="1694">
        <f t="shared" si="172"/>
        <v>0</v>
      </c>
      <c r="S863" s="1694">
        <f t="shared" si="172"/>
        <v>0</v>
      </c>
      <c r="T863" s="1694">
        <f t="shared" si="172"/>
        <v>0</v>
      </c>
      <c r="U863" s="1694">
        <f t="shared" si="172"/>
        <v>0</v>
      </c>
      <c r="V863" s="1694">
        <f t="shared" si="172"/>
        <v>0</v>
      </c>
      <c r="W863" s="1694">
        <f t="shared" si="172"/>
        <v>0</v>
      </c>
      <c r="X863" s="1694">
        <f t="shared" si="172"/>
        <v>0</v>
      </c>
    </row>
    <row r="864" spans="1:24" x14ac:dyDescent="0.25">
      <c r="A864" t="s">
        <v>1914</v>
      </c>
      <c r="B864" t="s">
        <v>956</v>
      </c>
      <c r="C864" t="str">
        <f>EXPENSES!C50</f>
        <v>Heating and Air Conditioning Maintenance or Contract</v>
      </c>
      <c r="D864" s="314">
        <f t="shared" si="171"/>
        <v>0.03</v>
      </c>
      <c r="E864" s="1694">
        <f>EXPENSES!K50</f>
        <v>0</v>
      </c>
      <c r="F864" s="1694">
        <f t="shared" si="169"/>
        <v>0</v>
      </c>
      <c r="G864" s="1694">
        <f t="shared" si="172"/>
        <v>0</v>
      </c>
      <c r="H864" s="1694">
        <f t="shared" si="172"/>
        <v>0</v>
      </c>
      <c r="I864" s="1694">
        <f t="shared" si="172"/>
        <v>0</v>
      </c>
      <c r="J864" s="1694">
        <f t="shared" si="172"/>
        <v>0</v>
      </c>
      <c r="K864" s="1694">
        <f t="shared" si="172"/>
        <v>0</v>
      </c>
      <c r="L864" s="1694">
        <f t="shared" si="172"/>
        <v>0</v>
      </c>
      <c r="M864" s="1694">
        <f t="shared" si="172"/>
        <v>0</v>
      </c>
      <c r="N864" s="1694">
        <f t="shared" si="172"/>
        <v>0</v>
      </c>
      <c r="O864" s="1694">
        <f t="shared" si="172"/>
        <v>0</v>
      </c>
      <c r="P864" s="1694">
        <f t="shared" si="172"/>
        <v>0</v>
      </c>
      <c r="Q864" s="1694">
        <f t="shared" si="172"/>
        <v>0</v>
      </c>
      <c r="R864" s="1694">
        <f t="shared" si="172"/>
        <v>0</v>
      </c>
      <c r="S864" s="1694">
        <f t="shared" si="172"/>
        <v>0</v>
      </c>
      <c r="T864" s="1694">
        <f t="shared" si="172"/>
        <v>0</v>
      </c>
      <c r="U864" s="1694">
        <f t="shared" si="172"/>
        <v>0</v>
      </c>
      <c r="V864" s="1694">
        <f t="shared" si="172"/>
        <v>0</v>
      </c>
      <c r="W864" s="1694">
        <f t="shared" si="172"/>
        <v>0</v>
      </c>
      <c r="X864" s="1694">
        <f t="shared" si="172"/>
        <v>0</v>
      </c>
    </row>
    <row r="865" spans="1:24" x14ac:dyDescent="0.25">
      <c r="A865" t="s">
        <v>1914</v>
      </c>
      <c r="B865" t="s">
        <v>956</v>
      </c>
      <c r="C865" t="str">
        <f>EXPENSES!C51</f>
        <v>Swimming Pool Maintenance or Contract</v>
      </c>
      <c r="D865" s="314">
        <f t="shared" si="171"/>
        <v>0.03</v>
      </c>
      <c r="E865" s="1694">
        <f>EXPENSES!K51</f>
        <v>0</v>
      </c>
      <c r="F865" s="1694">
        <f t="shared" si="169"/>
        <v>0</v>
      </c>
      <c r="G865" s="1694">
        <f t="shared" si="172"/>
        <v>0</v>
      </c>
      <c r="H865" s="1694">
        <f t="shared" si="172"/>
        <v>0</v>
      </c>
      <c r="I865" s="1694">
        <f t="shared" si="172"/>
        <v>0</v>
      </c>
      <c r="J865" s="1694">
        <f t="shared" si="172"/>
        <v>0</v>
      </c>
      <c r="K865" s="1694">
        <f t="shared" si="172"/>
        <v>0</v>
      </c>
      <c r="L865" s="1694">
        <f t="shared" si="172"/>
        <v>0</v>
      </c>
      <c r="M865" s="1694">
        <f t="shared" si="172"/>
        <v>0</v>
      </c>
      <c r="N865" s="1694">
        <f t="shared" si="172"/>
        <v>0</v>
      </c>
      <c r="O865" s="1694">
        <f t="shared" si="172"/>
        <v>0</v>
      </c>
      <c r="P865" s="1694">
        <f t="shared" si="172"/>
        <v>0</v>
      </c>
      <c r="Q865" s="1694">
        <f t="shared" si="172"/>
        <v>0</v>
      </c>
      <c r="R865" s="1694">
        <f t="shared" si="172"/>
        <v>0</v>
      </c>
      <c r="S865" s="1694">
        <f t="shared" si="172"/>
        <v>0</v>
      </c>
      <c r="T865" s="1694">
        <f t="shared" si="172"/>
        <v>0</v>
      </c>
      <c r="U865" s="1694">
        <f t="shared" si="172"/>
        <v>0</v>
      </c>
      <c r="V865" s="1694">
        <f t="shared" si="172"/>
        <v>0</v>
      </c>
      <c r="W865" s="1694">
        <f t="shared" si="172"/>
        <v>0</v>
      </c>
      <c r="X865" s="1694">
        <f t="shared" si="172"/>
        <v>0</v>
      </c>
    </row>
    <row r="866" spans="1:24" x14ac:dyDescent="0.25">
      <c r="A866" t="s">
        <v>1914</v>
      </c>
      <c r="B866" t="s">
        <v>956</v>
      </c>
      <c r="C866" t="str">
        <f>EXPENSES!C52</f>
        <v>Snow Removal</v>
      </c>
      <c r="D866" s="314">
        <f t="shared" si="171"/>
        <v>0.03</v>
      </c>
      <c r="E866" s="1694">
        <f>EXPENSES!K52</f>
        <v>0</v>
      </c>
      <c r="F866" s="1694">
        <f t="shared" si="169"/>
        <v>0</v>
      </c>
      <c r="G866" s="1694">
        <f t="shared" si="172"/>
        <v>0</v>
      </c>
      <c r="H866" s="1694">
        <f t="shared" si="172"/>
        <v>0</v>
      </c>
      <c r="I866" s="1694">
        <f t="shared" si="172"/>
        <v>0</v>
      </c>
      <c r="J866" s="1694">
        <f t="shared" si="172"/>
        <v>0</v>
      </c>
      <c r="K866" s="1694">
        <f t="shared" si="172"/>
        <v>0</v>
      </c>
      <c r="L866" s="1694">
        <f t="shared" si="172"/>
        <v>0</v>
      </c>
      <c r="M866" s="1694">
        <f t="shared" si="172"/>
        <v>0</v>
      </c>
      <c r="N866" s="1694">
        <f t="shared" si="172"/>
        <v>0</v>
      </c>
      <c r="O866" s="1694">
        <f t="shared" si="172"/>
        <v>0</v>
      </c>
      <c r="P866" s="1694">
        <f t="shared" si="172"/>
        <v>0</v>
      </c>
      <c r="Q866" s="1694">
        <f t="shared" si="172"/>
        <v>0</v>
      </c>
      <c r="R866" s="1694">
        <f t="shared" si="172"/>
        <v>0</v>
      </c>
      <c r="S866" s="1694">
        <f t="shared" si="172"/>
        <v>0</v>
      </c>
      <c r="T866" s="1694">
        <f t="shared" si="172"/>
        <v>0</v>
      </c>
      <c r="U866" s="1694">
        <f t="shared" si="172"/>
        <v>0</v>
      </c>
      <c r="V866" s="1694">
        <f t="shared" si="172"/>
        <v>0</v>
      </c>
      <c r="W866" s="1694">
        <f t="shared" si="172"/>
        <v>0</v>
      </c>
      <c r="X866" s="1694">
        <f t="shared" si="172"/>
        <v>0</v>
      </c>
    </row>
    <row r="867" spans="1:24" x14ac:dyDescent="0.25">
      <c r="A867" t="s">
        <v>1914</v>
      </c>
      <c r="B867" t="s">
        <v>956</v>
      </c>
      <c r="C867" t="str">
        <f>EXPENSES!C53</f>
        <v>Decorating Payroll or Contract</v>
      </c>
      <c r="D867" s="314">
        <f t="shared" si="171"/>
        <v>0.03</v>
      </c>
      <c r="E867" s="1694">
        <f>EXPENSES!K53</f>
        <v>0</v>
      </c>
      <c r="F867" s="1694">
        <f t="shared" si="169"/>
        <v>0</v>
      </c>
      <c r="G867" s="1694">
        <f t="shared" si="172"/>
        <v>0</v>
      </c>
      <c r="H867" s="1694">
        <f t="shared" si="172"/>
        <v>0</v>
      </c>
      <c r="I867" s="1694">
        <f t="shared" si="172"/>
        <v>0</v>
      </c>
      <c r="J867" s="1694">
        <f t="shared" si="172"/>
        <v>0</v>
      </c>
      <c r="K867" s="1694">
        <f t="shared" si="172"/>
        <v>0</v>
      </c>
      <c r="L867" s="1694">
        <f t="shared" si="172"/>
        <v>0</v>
      </c>
      <c r="M867" s="1694">
        <f t="shared" si="172"/>
        <v>0</v>
      </c>
      <c r="N867" s="1694">
        <f t="shared" si="172"/>
        <v>0</v>
      </c>
      <c r="O867" s="1694">
        <f t="shared" si="172"/>
        <v>0</v>
      </c>
      <c r="P867" s="1694">
        <f t="shared" si="172"/>
        <v>0</v>
      </c>
      <c r="Q867" s="1694">
        <f t="shared" si="172"/>
        <v>0</v>
      </c>
      <c r="R867" s="1694">
        <f t="shared" si="172"/>
        <v>0</v>
      </c>
      <c r="S867" s="1694">
        <f t="shared" si="172"/>
        <v>0</v>
      </c>
      <c r="T867" s="1694">
        <f t="shared" si="172"/>
        <v>0</v>
      </c>
      <c r="U867" s="1694">
        <f t="shared" si="172"/>
        <v>0</v>
      </c>
      <c r="V867" s="1694">
        <f t="shared" si="172"/>
        <v>0</v>
      </c>
      <c r="W867" s="1694">
        <f t="shared" si="172"/>
        <v>0</v>
      </c>
      <c r="X867" s="1694">
        <f t="shared" si="172"/>
        <v>0</v>
      </c>
    </row>
    <row r="868" spans="1:24" x14ac:dyDescent="0.25">
      <c r="A868" t="s">
        <v>1914</v>
      </c>
      <c r="B868" t="s">
        <v>956</v>
      </c>
      <c r="C868" t="str">
        <f>EXPENSES!C54</f>
        <v>Decorating Supplies</v>
      </c>
      <c r="D868" s="314">
        <f t="shared" si="171"/>
        <v>0.03</v>
      </c>
      <c r="E868" s="1694">
        <f>EXPENSES!K54</f>
        <v>0</v>
      </c>
      <c r="F868" s="1694">
        <f t="shared" si="169"/>
        <v>0</v>
      </c>
      <c r="G868" s="1694">
        <f t="shared" si="172"/>
        <v>0</v>
      </c>
      <c r="H868" s="1694">
        <f t="shared" si="172"/>
        <v>0</v>
      </c>
      <c r="I868" s="1694">
        <f t="shared" si="172"/>
        <v>0</v>
      </c>
      <c r="J868" s="1694">
        <f t="shared" si="172"/>
        <v>0</v>
      </c>
      <c r="K868" s="1694">
        <f t="shared" si="172"/>
        <v>0</v>
      </c>
      <c r="L868" s="1694">
        <f t="shared" si="172"/>
        <v>0</v>
      </c>
      <c r="M868" s="1694">
        <f t="shared" si="172"/>
        <v>0</v>
      </c>
      <c r="N868" s="1694">
        <f t="shared" si="172"/>
        <v>0</v>
      </c>
      <c r="O868" s="1694">
        <f t="shared" si="172"/>
        <v>0</v>
      </c>
      <c r="P868" s="1694">
        <f t="shared" si="172"/>
        <v>0</v>
      </c>
      <c r="Q868" s="1694">
        <f t="shared" si="172"/>
        <v>0</v>
      </c>
      <c r="R868" s="1694">
        <f t="shared" si="172"/>
        <v>0</v>
      </c>
      <c r="S868" s="1694">
        <f t="shared" si="172"/>
        <v>0</v>
      </c>
      <c r="T868" s="1694">
        <f t="shared" si="172"/>
        <v>0</v>
      </c>
      <c r="U868" s="1694">
        <f t="shared" si="172"/>
        <v>0</v>
      </c>
      <c r="V868" s="1694">
        <f t="shared" si="172"/>
        <v>0</v>
      </c>
      <c r="W868" s="1694">
        <f t="shared" si="172"/>
        <v>0</v>
      </c>
      <c r="X868" s="1694">
        <f t="shared" si="172"/>
        <v>0</v>
      </c>
    </row>
    <row r="869" spans="1:24" x14ac:dyDescent="0.25">
      <c r="A869" t="s">
        <v>1914</v>
      </c>
      <c r="B869" t="s">
        <v>956</v>
      </c>
      <c r="C869" t="str">
        <f>EXPENSES!C55</f>
        <v>Other Operating and Maintenance Expenses</v>
      </c>
      <c r="D869" s="314">
        <f t="shared" si="171"/>
        <v>0.03</v>
      </c>
      <c r="E869" s="1694">
        <f>EXPENSES!K55</f>
        <v>0</v>
      </c>
      <c r="F869" s="1694">
        <f t="shared" si="169"/>
        <v>0</v>
      </c>
      <c r="G869" s="1694">
        <f t="shared" si="172"/>
        <v>0</v>
      </c>
      <c r="H869" s="1694">
        <f t="shared" si="172"/>
        <v>0</v>
      </c>
      <c r="I869" s="1694">
        <f t="shared" si="172"/>
        <v>0</v>
      </c>
      <c r="J869" s="1694">
        <f t="shared" si="172"/>
        <v>0</v>
      </c>
      <c r="K869" s="1694">
        <f t="shared" si="172"/>
        <v>0</v>
      </c>
      <c r="L869" s="1694">
        <f t="shared" si="172"/>
        <v>0</v>
      </c>
      <c r="M869" s="1694">
        <f t="shared" si="172"/>
        <v>0</v>
      </c>
      <c r="N869" s="1694">
        <f t="shared" si="172"/>
        <v>0</v>
      </c>
      <c r="O869" s="1694">
        <f t="shared" si="172"/>
        <v>0</v>
      </c>
      <c r="P869" s="1694">
        <f t="shared" si="172"/>
        <v>0</v>
      </c>
      <c r="Q869" s="1694">
        <f t="shared" si="172"/>
        <v>0</v>
      </c>
      <c r="R869" s="1694">
        <f t="shared" si="172"/>
        <v>0</v>
      </c>
      <c r="S869" s="1694">
        <f t="shared" si="172"/>
        <v>0</v>
      </c>
      <c r="T869" s="1694">
        <f t="shared" si="172"/>
        <v>0</v>
      </c>
      <c r="U869" s="1694">
        <f t="shared" si="172"/>
        <v>0</v>
      </c>
      <c r="V869" s="1694">
        <f t="shared" si="172"/>
        <v>0</v>
      </c>
      <c r="W869" s="1694">
        <f t="shared" si="172"/>
        <v>0</v>
      </c>
      <c r="X869" s="1694">
        <f t="shared" si="172"/>
        <v>0</v>
      </c>
    </row>
    <row r="870" spans="1:24" x14ac:dyDescent="0.25">
      <c r="A870" t="s">
        <v>1914</v>
      </c>
      <c r="B870" t="s">
        <v>956</v>
      </c>
      <c r="C870" t="str">
        <f>EXPENSES!C56</f>
        <v>Miscellaneous Operating and Maintenance Expenses</v>
      </c>
      <c r="D870" s="314">
        <f t="shared" si="171"/>
        <v>0.03</v>
      </c>
      <c r="E870" s="1694">
        <f>EXPENSES!K56</f>
        <v>0</v>
      </c>
      <c r="F870" s="1694">
        <f t="shared" si="169"/>
        <v>0</v>
      </c>
      <c r="G870" s="1694">
        <f t="shared" si="172"/>
        <v>0</v>
      </c>
      <c r="H870" s="1694">
        <f t="shared" si="172"/>
        <v>0</v>
      </c>
      <c r="I870" s="1694">
        <f t="shared" si="172"/>
        <v>0</v>
      </c>
      <c r="J870" s="1694">
        <f t="shared" si="172"/>
        <v>0</v>
      </c>
      <c r="K870" s="1694">
        <f t="shared" si="172"/>
        <v>0</v>
      </c>
      <c r="L870" s="1694">
        <f t="shared" si="172"/>
        <v>0</v>
      </c>
      <c r="M870" s="1694">
        <f t="shared" si="172"/>
        <v>0</v>
      </c>
      <c r="N870" s="1694">
        <f t="shared" si="172"/>
        <v>0</v>
      </c>
      <c r="O870" s="1694">
        <f t="shared" si="172"/>
        <v>0</v>
      </c>
      <c r="P870" s="1694">
        <f t="shared" si="172"/>
        <v>0</v>
      </c>
      <c r="Q870" s="1694">
        <f t="shared" si="172"/>
        <v>0</v>
      </c>
      <c r="R870" s="1694">
        <f t="shared" si="172"/>
        <v>0</v>
      </c>
      <c r="S870" s="1694">
        <f t="shared" si="172"/>
        <v>0</v>
      </c>
      <c r="T870" s="1694">
        <f t="shared" si="172"/>
        <v>0</v>
      </c>
      <c r="U870" s="1694">
        <f t="shared" si="172"/>
        <v>0</v>
      </c>
      <c r="V870" s="1694">
        <f t="shared" si="172"/>
        <v>0</v>
      </c>
      <c r="W870" s="1694">
        <f t="shared" si="172"/>
        <v>0</v>
      </c>
      <c r="X870" s="1694">
        <f t="shared" si="172"/>
        <v>0</v>
      </c>
    </row>
    <row r="871" spans="1:24" x14ac:dyDescent="0.25">
      <c r="A871" t="s">
        <v>1914</v>
      </c>
      <c r="B871" t="s">
        <v>1589</v>
      </c>
      <c r="C871" t="str">
        <f>EXPENSES!C61</f>
        <v>Real Estate Taxes</v>
      </c>
      <c r="D871" s="314">
        <f>SUM_TrendRealEstateTaxes</f>
        <v>0.03</v>
      </c>
      <c r="E871" s="1694">
        <f>EXPENSES!K61</f>
        <v>0</v>
      </c>
      <c r="F871" s="1694">
        <f t="shared" si="169"/>
        <v>0</v>
      </c>
      <c r="G871" s="1694">
        <f t="shared" si="172"/>
        <v>0</v>
      </c>
      <c r="H871" s="1694">
        <f t="shared" si="172"/>
        <v>0</v>
      </c>
      <c r="I871" s="1694">
        <f t="shared" si="172"/>
        <v>0</v>
      </c>
      <c r="J871" s="1694">
        <f t="shared" si="172"/>
        <v>0</v>
      </c>
      <c r="K871" s="1694">
        <f t="shared" si="172"/>
        <v>0</v>
      </c>
      <c r="L871" s="1694">
        <f t="shared" si="172"/>
        <v>0</v>
      </c>
      <c r="M871" s="1694">
        <f t="shared" si="172"/>
        <v>0</v>
      </c>
      <c r="N871" s="1694">
        <f t="shared" si="172"/>
        <v>0</v>
      </c>
      <c r="O871" s="1694">
        <f t="shared" si="172"/>
        <v>0</v>
      </c>
      <c r="P871" s="1694">
        <f t="shared" si="172"/>
        <v>0</v>
      </c>
      <c r="Q871" s="1694">
        <f t="shared" si="172"/>
        <v>0</v>
      </c>
      <c r="R871" s="1694">
        <f t="shared" si="172"/>
        <v>0</v>
      </c>
      <c r="S871" s="1694">
        <f t="shared" si="172"/>
        <v>0</v>
      </c>
      <c r="T871" s="1694">
        <f t="shared" si="172"/>
        <v>0</v>
      </c>
      <c r="U871" s="1694">
        <f t="shared" si="172"/>
        <v>0</v>
      </c>
      <c r="V871" s="1694">
        <f t="shared" si="172"/>
        <v>0</v>
      </c>
      <c r="W871" s="1694">
        <f t="shared" si="172"/>
        <v>0</v>
      </c>
      <c r="X871" s="1694">
        <f t="shared" si="172"/>
        <v>0</v>
      </c>
    </row>
    <row r="872" spans="1:24" x14ac:dyDescent="0.25">
      <c r="A872" t="s">
        <v>1914</v>
      </c>
      <c r="B872" t="s">
        <v>1589</v>
      </c>
      <c r="C872" t="str">
        <f>EXPENSES!C62</f>
        <v>Payment in Lieu of Real Estate Taxes</v>
      </c>
      <c r="D872" s="314">
        <f>SUM_TrendPaymentinLieuofRETax</f>
        <v>0.03</v>
      </c>
      <c r="E872" s="1694">
        <f>EXPENSES!K62</f>
        <v>0</v>
      </c>
      <c r="F872" s="1694">
        <f t="shared" si="169"/>
        <v>0</v>
      </c>
      <c r="G872" s="1694">
        <f t="shared" si="172"/>
        <v>0</v>
      </c>
      <c r="H872" s="1694">
        <f t="shared" si="172"/>
        <v>0</v>
      </c>
      <c r="I872" s="1694">
        <f t="shared" si="172"/>
        <v>0</v>
      </c>
      <c r="J872" s="1694">
        <f t="shared" si="172"/>
        <v>0</v>
      </c>
      <c r="K872" s="1694">
        <f t="shared" si="172"/>
        <v>0</v>
      </c>
      <c r="L872" s="1694">
        <f t="shared" si="172"/>
        <v>0</v>
      </c>
      <c r="M872" s="1694">
        <f t="shared" si="172"/>
        <v>0</v>
      </c>
      <c r="N872" s="1694">
        <f t="shared" si="172"/>
        <v>0</v>
      </c>
      <c r="O872" s="1694">
        <f t="shared" si="172"/>
        <v>0</v>
      </c>
      <c r="P872" s="1694">
        <f t="shared" si="172"/>
        <v>0</v>
      </c>
      <c r="Q872" s="1694">
        <f t="shared" si="172"/>
        <v>0</v>
      </c>
      <c r="R872" s="1694">
        <f t="shared" si="172"/>
        <v>0</v>
      </c>
      <c r="S872" s="1694">
        <f t="shared" si="172"/>
        <v>0</v>
      </c>
      <c r="T872" s="1694">
        <f t="shared" si="172"/>
        <v>0</v>
      </c>
      <c r="U872" s="1694">
        <f t="shared" si="172"/>
        <v>0</v>
      </c>
      <c r="V872" s="1694">
        <f t="shared" si="172"/>
        <v>0</v>
      </c>
      <c r="W872" s="1694">
        <f t="shared" si="172"/>
        <v>0</v>
      </c>
      <c r="X872" s="1694">
        <f t="shared" si="172"/>
        <v>0</v>
      </c>
    </row>
    <row r="873" spans="1:24" x14ac:dyDescent="0.25">
      <c r="A873" t="s">
        <v>1914</v>
      </c>
      <c r="B873" t="s">
        <v>1589</v>
      </c>
      <c r="C873" t="str">
        <f>EXPENSES!C63</f>
        <v>Payroll Taxes (FICA)</v>
      </c>
      <c r="D873" s="314">
        <f t="shared" ref="D873:D880" si="173">SUM_TrendOtherTaxesInsurance</f>
        <v>0.03</v>
      </c>
      <c r="E873" s="1694">
        <f>EXPENSES!K63</f>
        <v>0</v>
      </c>
      <c r="F873" s="1694">
        <f t="shared" si="169"/>
        <v>0</v>
      </c>
      <c r="G873" s="1694">
        <f t="shared" si="172"/>
        <v>0</v>
      </c>
      <c r="H873" s="1694">
        <f t="shared" si="172"/>
        <v>0</v>
      </c>
      <c r="I873" s="1694">
        <f t="shared" si="172"/>
        <v>0</v>
      </c>
      <c r="J873" s="1694">
        <f t="shared" si="172"/>
        <v>0</v>
      </c>
      <c r="K873" s="1694">
        <f t="shared" si="172"/>
        <v>0</v>
      </c>
      <c r="L873" s="1694">
        <f t="shared" si="172"/>
        <v>0</v>
      </c>
      <c r="M873" s="1694">
        <f t="shared" ref="G873:X881" si="174">L873*(1+$D873)</f>
        <v>0</v>
      </c>
      <c r="N873" s="1694">
        <f t="shared" si="174"/>
        <v>0</v>
      </c>
      <c r="O873" s="1694">
        <f t="shared" si="174"/>
        <v>0</v>
      </c>
      <c r="P873" s="1694">
        <f t="shared" si="174"/>
        <v>0</v>
      </c>
      <c r="Q873" s="1694">
        <f t="shared" si="174"/>
        <v>0</v>
      </c>
      <c r="R873" s="1694">
        <f t="shared" si="174"/>
        <v>0</v>
      </c>
      <c r="S873" s="1694">
        <f t="shared" si="174"/>
        <v>0</v>
      </c>
      <c r="T873" s="1694">
        <f t="shared" si="174"/>
        <v>0</v>
      </c>
      <c r="U873" s="1694">
        <f t="shared" si="174"/>
        <v>0</v>
      </c>
      <c r="V873" s="1694">
        <f t="shared" si="174"/>
        <v>0</v>
      </c>
      <c r="W873" s="1694">
        <f t="shared" si="174"/>
        <v>0</v>
      </c>
      <c r="X873" s="1694">
        <f t="shared" si="174"/>
        <v>0</v>
      </c>
    </row>
    <row r="874" spans="1:24" x14ac:dyDescent="0.25">
      <c r="A874" t="s">
        <v>1914</v>
      </c>
      <c r="B874" t="s">
        <v>1589</v>
      </c>
      <c r="C874" t="str">
        <f>EXPENSES!C64</f>
        <v>Miscellaneous Taxes, Licenses and Permits</v>
      </c>
      <c r="D874" s="314">
        <f t="shared" si="173"/>
        <v>0.03</v>
      </c>
      <c r="E874" s="1694">
        <f>EXPENSES!K64</f>
        <v>0</v>
      </c>
      <c r="F874" s="1694">
        <f t="shared" si="169"/>
        <v>0</v>
      </c>
      <c r="G874" s="1694">
        <f t="shared" si="174"/>
        <v>0</v>
      </c>
      <c r="H874" s="1694">
        <f t="shared" si="174"/>
        <v>0</v>
      </c>
      <c r="I874" s="1694">
        <f t="shared" si="174"/>
        <v>0</v>
      </c>
      <c r="J874" s="1694">
        <f t="shared" si="174"/>
        <v>0</v>
      </c>
      <c r="K874" s="1694">
        <f t="shared" si="174"/>
        <v>0</v>
      </c>
      <c r="L874" s="1694">
        <f t="shared" si="174"/>
        <v>0</v>
      </c>
      <c r="M874" s="1694">
        <f t="shared" si="174"/>
        <v>0</v>
      </c>
      <c r="N874" s="1694">
        <f t="shared" si="174"/>
        <v>0</v>
      </c>
      <c r="O874" s="1694">
        <f t="shared" si="174"/>
        <v>0</v>
      </c>
      <c r="P874" s="1694">
        <f t="shared" si="174"/>
        <v>0</v>
      </c>
      <c r="Q874" s="1694">
        <f t="shared" si="174"/>
        <v>0</v>
      </c>
      <c r="R874" s="1694">
        <f t="shared" si="174"/>
        <v>0</v>
      </c>
      <c r="S874" s="1694">
        <f t="shared" si="174"/>
        <v>0</v>
      </c>
      <c r="T874" s="1694">
        <f t="shared" si="174"/>
        <v>0</v>
      </c>
      <c r="U874" s="1694">
        <f t="shared" si="174"/>
        <v>0</v>
      </c>
      <c r="V874" s="1694">
        <f t="shared" si="174"/>
        <v>0</v>
      </c>
      <c r="W874" s="1694">
        <f t="shared" si="174"/>
        <v>0</v>
      </c>
      <c r="X874" s="1694">
        <f t="shared" si="174"/>
        <v>0</v>
      </c>
    </row>
    <row r="875" spans="1:24" x14ac:dyDescent="0.25">
      <c r="A875" t="s">
        <v>1914</v>
      </c>
      <c r="B875" t="s">
        <v>1589</v>
      </c>
      <c r="C875" t="str">
        <f>EXPENSES!C65</f>
        <v>Property Insurance (hazard)</v>
      </c>
      <c r="D875" s="314">
        <f t="shared" si="173"/>
        <v>0.03</v>
      </c>
      <c r="E875" s="1694">
        <f>EXPENSES!K65</f>
        <v>0</v>
      </c>
      <c r="F875" s="1694">
        <f t="shared" si="169"/>
        <v>0</v>
      </c>
      <c r="G875" s="1694">
        <f t="shared" si="174"/>
        <v>0</v>
      </c>
      <c r="H875" s="1694">
        <f t="shared" si="174"/>
        <v>0</v>
      </c>
      <c r="I875" s="1694">
        <f t="shared" si="174"/>
        <v>0</v>
      </c>
      <c r="J875" s="1694">
        <f t="shared" si="174"/>
        <v>0</v>
      </c>
      <c r="K875" s="1694">
        <f t="shared" si="174"/>
        <v>0</v>
      </c>
      <c r="L875" s="1694">
        <f t="shared" si="174"/>
        <v>0</v>
      </c>
      <c r="M875" s="1694">
        <f t="shared" si="174"/>
        <v>0</v>
      </c>
      <c r="N875" s="1694">
        <f t="shared" si="174"/>
        <v>0</v>
      </c>
      <c r="O875" s="1694">
        <f t="shared" si="174"/>
        <v>0</v>
      </c>
      <c r="P875" s="1694">
        <f t="shared" si="174"/>
        <v>0</v>
      </c>
      <c r="Q875" s="1694">
        <f t="shared" si="174"/>
        <v>0</v>
      </c>
      <c r="R875" s="1694">
        <f t="shared" si="174"/>
        <v>0</v>
      </c>
      <c r="S875" s="1694">
        <f t="shared" si="174"/>
        <v>0</v>
      </c>
      <c r="T875" s="1694">
        <f t="shared" si="174"/>
        <v>0</v>
      </c>
      <c r="U875" s="1694">
        <f t="shared" si="174"/>
        <v>0</v>
      </c>
      <c r="V875" s="1694">
        <f t="shared" si="174"/>
        <v>0</v>
      </c>
      <c r="W875" s="1694">
        <f t="shared" si="174"/>
        <v>0</v>
      </c>
      <c r="X875" s="1694">
        <f t="shared" si="174"/>
        <v>0</v>
      </c>
    </row>
    <row r="876" spans="1:24" x14ac:dyDescent="0.25">
      <c r="A876" t="s">
        <v>1914</v>
      </c>
      <c r="B876" t="s">
        <v>1589</v>
      </c>
      <c r="C876" t="str">
        <f>EXPENSES!C66</f>
        <v>Liability Insurance</v>
      </c>
      <c r="D876" s="314">
        <f t="shared" si="173"/>
        <v>0.03</v>
      </c>
      <c r="E876" s="1694">
        <f>EXPENSES!K66</f>
        <v>0</v>
      </c>
      <c r="F876" s="1694">
        <f t="shared" si="169"/>
        <v>0</v>
      </c>
      <c r="G876" s="1694">
        <f t="shared" si="174"/>
        <v>0</v>
      </c>
      <c r="H876" s="1694">
        <f t="shared" si="174"/>
        <v>0</v>
      </c>
      <c r="I876" s="1694">
        <f t="shared" si="174"/>
        <v>0</v>
      </c>
      <c r="J876" s="1694">
        <f t="shared" si="174"/>
        <v>0</v>
      </c>
      <c r="K876" s="1694">
        <f t="shared" si="174"/>
        <v>0</v>
      </c>
      <c r="L876" s="1694">
        <f t="shared" si="174"/>
        <v>0</v>
      </c>
      <c r="M876" s="1694">
        <f t="shared" si="174"/>
        <v>0</v>
      </c>
      <c r="N876" s="1694">
        <f t="shared" si="174"/>
        <v>0</v>
      </c>
      <c r="O876" s="1694">
        <f t="shared" si="174"/>
        <v>0</v>
      </c>
      <c r="P876" s="1694">
        <f t="shared" si="174"/>
        <v>0</v>
      </c>
      <c r="Q876" s="1694">
        <f t="shared" si="174"/>
        <v>0</v>
      </c>
      <c r="R876" s="1694">
        <f t="shared" si="174"/>
        <v>0</v>
      </c>
      <c r="S876" s="1694">
        <f t="shared" si="174"/>
        <v>0</v>
      </c>
      <c r="T876" s="1694">
        <f t="shared" si="174"/>
        <v>0</v>
      </c>
      <c r="U876" s="1694">
        <f t="shared" si="174"/>
        <v>0</v>
      </c>
      <c r="V876" s="1694">
        <f t="shared" si="174"/>
        <v>0</v>
      </c>
      <c r="W876" s="1694">
        <f t="shared" si="174"/>
        <v>0</v>
      </c>
      <c r="X876" s="1694">
        <f t="shared" si="174"/>
        <v>0</v>
      </c>
    </row>
    <row r="877" spans="1:24" x14ac:dyDescent="0.25">
      <c r="A877" t="s">
        <v>1914</v>
      </c>
      <c r="B877" t="s">
        <v>1589</v>
      </c>
      <c r="C877" t="str">
        <f>EXPENSES!C67</f>
        <v>Fidelity Bond Insurance</v>
      </c>
      <c r="D877" s="314">
        <f t="shared" si="173"/>
        <v>0.03</v>
      </c>
      <c r="E877" s="1694">
        <f>EXPENSES!K67</f>
        <v>0</v>
      </c>
      <c r="F877" s="1694">
        <f t="shared" si="169"/>
        <v>0</v>
      </c>
      <c r="G877" s="1694">
        <f t="shared" si="174"/>
        <v>0</v>
      </c>
      <c r="H877" s="1694">
        <f t="shared" si="174"/>
        <v>0</v>
      </c>
      <c r="I877" s="1694">
        <f t="shared" si="174"/>
        <v>0</v>
      </c>
      <c r="J877" s="1694">
        <f t="shared" si="174"/>
        <v>0</v>
      </c>
      <c r="K877" s="1694">
        <f t="shared" si="174"/>
        <v>0</v>
      </c>
      <c r="L877" s="1694">
        <f t="shared" si="174"/>
        <v>0</v>
      </c>
      <c r="M877" s="1694">
        <f t="shared" si="174"/>
        <v>0</v>
      </c>
      <c r="N877" s="1694">
        <f t="shared" si="174"/>
        <v>0</v>
      </c>
      <c r="O877" s="1694">
        <f t="shared" si="174"/>
        <v>0</v>
      </c>
      <c r="P877" s="1694">
        <f t="shared" si="174"/>
        <v>0</v>
      </c>
      <c r="Q877" s="1694">
        <f t="shared" si="174"/>
        <v>0</v>
      </c>
      <c r="R877" s="1694">
        <f t="shared" si="174"/>
        <v>0</v>
      </c>
      <c r="S877" s="1694">
        <f t="shared" si="174"/>
        <v>0</v>
      </c>
      <c r="T877" s="1694">
        <f t="shared" si="174"/>
        <v>0</v>
      </c>
      <c r="U877" s="1694">
        <f t="shared" si="174"/>
        <v>0</v>
      </c>
      <c r="V877" s="1694">
        <f t="shared" si="174"/>
        <v>0</v>
      </c>
      <c r="W877" s="1694">
        <f t="shared" si="174"/>
        <v>0</v>
      </c>
      <c r="X877" s="1694">
        <f t="shared" si="174"/>
        <v>0</v>
      </c>
    </row>
    <row r="878" spans="1:24" x14ac:dyDescent="0.25">
      <c r="A878" t="s">
        <v>1914</v>
      </c>
      <c r="B878" t="s">
        <v>1589</v>
      </c>
      <c r="C878" t="str">
        <f>EXPENSES!C68</f>
        <v>Workmen's Compensation</v>
      </c>
      <c r="D878" s="314">
        <f t="shared" si="173"/>
        <v>0.03</v>
      </c>
      <c r="E878" s="1694">
        <f>EXPENSES!K68</f>
        <v>0</v>
      </c>
      <c r="F878" s="1694">
        <f t="shared" si="169"/>
        <v>0</v>
      </c>
      <c r="G878" s="1694">
        <f t="shared" si="174"/>
        <v>0</v>
      </c>
      <c r="H878" s="1694">
        <f t="shared" si="174"/>
        <v>0</v>
      </c>
      <c r="I878" s="1694">
        <f t="shared" si="174"/>
        <v>0</v>
      </c>
      <c r="J878" s="1694">
        <f t="shared" si="174"/>
        <v>0</v>
      </c>
      <c r="K878" s="1694">
        <f t="shared" si="174"/>
        <v>0</v>
      </c>
      <c r="L878" s="1694">
        <f t="shared" si="174"/>
        <v>0</v>
      </c>
      <c r="M878" s="1694">
        <f t="shared" si="174"/>
        <v>0</v>
      </c>
      <c r="N878" s="1694">
        <f t="shared" si="174"/>
        <v>0</v>
      </c>
      <c r="O878" s="1694">
        <f t="shared" si="174"/>
        <v>0</v>
      </c>
      <c r="P878" s="1694">
        <f t="shared" si="174"/>
        <v>0</v>
      </c>
      <c r="Q878" s="1694">
        <f t="shared" si="174"/>
        <v>0</v>
      </c>
      <c r="R878" s="1694">
        <f t="shared" si="174"/>
        <v>0</v>
      </c>
      <c r="S878" s="1694">
        <f t="shared" si="174"/>
        <v>0</v>
      </c>
      <c r="T878" s="1694">
        <f t="shared" si="174"/>
        <v>0</v>
      </c>
      <c r="U878" s="1694">
        <f t="shared" si="174"/>
        <v>0</v>
      </c>
      <c r="V878" s="1694">
        <f t="shared" si="174"/>
        <v>0</v>
      </c>
      <c r="W878" s="1694">
        <f t="shared" si="174"/>
        <v>0</v>
      </c>
      <c r="X878" s="1694">
        <f t="shared" si="174"/>
        <v>0</v>
      </c>
    </row>
    <row r="879" spans="1:24" x14ac:dyDescent="0.25">
      <c r="A879" t="s">
        <v>1914</v>
      </c>
      <c r="B879" t="s">
        <v>1589</v>
      </c>
      <c r="C879" t="str">
        <f>EXPENSES!C69</f>
        <v>Health Insurance and Other Employee Benefits</v>
      </c>
      <c r="D879" s="314">
        <f t="shared" si="173"/>
        <v>0.03</v>
      </c>
      <c r="E879" s="1694">
        <f>EXPENSES!K69</f>
        <v>0</v>
      </c>
      <c r="F879" s="1694">
        <f t="shared" si="169"/>
        <v>0</v>
      </c>
      <c r="G879" s="1694">
        <f t="shared" si="174"/>
        <v>0</v>
      </c>
      <c r="H879" s="1694">
        <f t="shared" si="174"/>
        <v>0</v>
      </c>
      <c r="I879" s="1694">
        <f t="shared" si="174"/>
        <v>0</v>
      </c>
      <c r="J879" s="1694">
        <f t="shared" si="174"/>
        <v>0</v>
      </c>
      <c r="K879" s="1694">
        <f t="shared" si="174"/>
        <v>0</v>
      </c>
      <c r="L879" s="1694">
        <f t="shared" si="174"/>
        <v>0</v>
      </c>
      <c r="M879" s="1694">
        <f t="shared" si="174"/>
        <v>0</v>
      </c>
      <c r="N879" s="1694">
        <f t="shared" si="174"/>
        <v>0</v>
      </c>
      <c r="O879" s="1694">
        <f t="shared" si="174"/>
        <v>0</v>
      </c>
      <c r="P879" s="1694">
        <f t="shared" si="174"/>
        <v>0</v>
      </c>
      <c r="Q879" s="1694">
        <f t="shared" si="174"/>
        <v>0</v>
      </c>
      <c r="R879" s="1694">
        <f t="shared" si="174"/>
        <v>0</v>
      </c>
      <c r="S879" s="1694">
        <f t="shared" si="174"/>
        <v>0</v>
      </c>
      <c r="T879" s="1694">
        <f t="shared" si="174"/>
        <v>0</v>
      </c>
      <c r="U879" s="1694">
        <f t="shared" si="174"/>
        <v>0</v>
      </c>
      <c r="V879" s="1694">
        <f t="shared" si="174"/>
        <v>0</v>
      </c>
      <c r="W879" s="1694">
        <f t="shared" si="174"/>
        <v>0</v>
      </c>
      <c r="X879" s="1694">
        <f t="shared" si="174"/>
        <v>0</v>
      </c>
    </row>
    <row r="880" spans="1:24" x14ac:dyDescent="0.25">
      <c r="A880" t="s">
        <v>1914</v>
      </c>
      <c r="B880" t="s">
        <v>1589</v>
      </c>
      <c r="C880" t="str">
        <f>EXPENSES!C70</f>
        <v xml:space="preserve">Other Insurance </v>
      </c>
      <c r="D880" s="314">
        <f t="shared" si="173"/>
        <v>0.03</v>
      </c>
      <c r="E880" s="1694">
        <f>EXPENSES!K70</f>
        <v>0</v>
      </c>
      <c r="F880" s="1694">
        <f t="shared" si="169"/>
        <v>0</v>
      </c>
      <c r="G880" s="1694">
        <f t="shared" si="174"/>
        <v>0</v>
      </c>
      <c r="H880" s="1694">
        <f t="shared" si="174"/>
        <v>0</v>
      </c>
      <c r="I880" s="1694">
        <f t="shared" si="174"/>
        <v>0</v>
      </c>
      <c r="J880" s="1694">
        <f t="shared" si="174"/>
        <v>0</v>
      </c>
      <c r="K880" s="1694">
        <f t="shared" si="174"/>
        <v>0</v>
      </c>
      <c r="L880" s="1694">
        <f t="shared" si="174"/>
        <v>0</v>
      </c>
      <c r="M880" s="1694">
        <f t="shared" si="174"/>
        <v>0</v>
      </c>
      <c r="N880" s="1694">
        <f t="shared" si="174"/>
        <v>0</v>
      </c>
      <c r="O880" s="1694">
        <f t="shared" si="174"/>
        <v>0</v>
      </c>
      <c r="P880" s="1694">
        <f t="shared" si="174"/>
        <v>0</v>
      </c>
      <c r="Q880" s="1694">
        <f t="shared" si="174"/>
        <v>0</v>
      </c>
      <c r="R880" s="1694">
        <f t="shared" si="174"/>
        <v>0</v>
      </c>
      <c r="S880" s="1694">
        <f t="shared" si="174"/>
        <v>0</v>
      </c>
      <c r="T880" s="1694">
        <f t="shared" si="174"/>
        <v>0</v>
      </c>
      <c r="U880" s="1694">
        <f t="shared" si="174"/>
        <v>0</v>
      </c>
      <c r="V880" s="1694">
        <f t="shared" si="174"/>
        <v>0</v>
      </c>
      <c r="W880" s="1694">
        <f t="shared" si="174"/>
        <v>0</v>
      </c>
      <c r="X880" s="1694">
        <f t="shared" si="174"/>
        <v>0</v>
      </c>
    </row>
    <row r="881" spans="1:24" x14ac:dyDescent="0.25">
      <c r="A881" t="s">
        <v>1914</v>
      </c>
      <c r="B881" t="s">
        <v>682</v>
      </c>
      <c r="C881" t="str">
        <f>EXPENSES!C73</f>
        <v>Reserve for Replacement</v>
      </c>
      <c r="D881" s="314">
        <f>SUM_TrendReplacementReserve</f>
        <v>0.03</v>
      </c>
      <c r="E881" s="1694">
        <f>EXPENSES!K73</f>
        <v>0</v>
      </c>
      <c r="F881" s="1694">
        <f t="shared" si="169"/>
        <v>0</v>
      </c>
      <c r="G881" s="1694">
        <f t="shared" si="174"/>
        <v>0</v>
      </c>
      <c r="H881" s="1694">
        <f t="shared" si="174"/>
        <v>0</v>
      </c>
      <c r="I881" s="1694">
        <f t="shared" si="174"/>
        <v>0</v>
      </c>
      <c r="J881" s="1694">
        <f t="shared" si="174"/>
        <v>0</v>
      </c>
      <c r="K881" s="1694">
        <f t="shared" si="174"/>
        <v>0</v>
      </c>
      <c r="L881" s="1694">
        <f t="shared" si="174"/>
        <v>0</v>
      </c>
      <c r="M881" s="1694">
        <f t="shared" si="174"/>
        <v>0</v>
      </c>
      <c r="N881" s="1694">
        <f t="shared" si="174"/>
        <v>0</v>
      </c>
      <c r="O881" s="1694">
        <f t="shared" si="174"/>
        <v>0</v>
      </c>
      <c r="P881" s="1694">
        <f t="shared" si="174"/>
        <v>0</v>
      </c>
      <c r="Q881" s="1694">
        <f t="shared" si="174"/>
        <v>0</v>
      </c>
      <c r="R881" s="1694">
        <f t="shared" si="174"/>
        <v>0</v>
      </c>
      <c r="S881" s="1694">
        <f t="shared" si="174"/>
        <v>0</v>
      </c>
      <c r="T881" s="1694">
        <f t="shared" si="174"/>
        <v>0</v>
      </c>
      <c r="U881" s="1694">
        <f t="shared" si="174"/>
        <v>0</v>
      </c>
      <c r="V881" s="1694">
        <f t="shared" si="174"/>
        <v>0</v>
      </c>
      <c r="W881" s="1694">
        <f t="shared" si="174"/>
        <v>0</v>
      </c>
      <c r="X881" s="1694">
        <f t="shared" si="174"/>
        <v>0</v>
      </c>
    </row>
    <row r="883" spans="1:24" ht="13.8" x14ac:dyDescent="0.3">
      <c r="C883" s="674" t="s">
        <v>1916</v>
      </c>
      <c r="D883" s="440"/>
      <c r="E883" s="440"/>
      <c r="F883" s="440"/>
      <c r="G883" s="440"/>
      <c r="H883" s="440"/>
      <c r="I883" s="440"/>
      <c r="J883" s="440"/>
      <c r="K883" s="440"/>
      <c r="L883" s="440"/>
      <c r="M883" s="440"/>
      <c r="N883" s="440"/>
      <c r="O883" s="440"/>
      <c r="P883" s="440"/>
      <c r="Q883" s="440"/>
      <c r="R883" s="440"/>
      <c r="S883" s="440"/>
      <c r="T883" s="440"/>
      <c r="U883" s="440"/>
      <c r="V883" s="440"/>
      <c r="W883" s="440"/>
      <c r="X883" s="440"/>
    </row>
    <row r="884" spans="1:24" x14ac:dyDescent="0.25">
      <c r="C884" t="s">
        <v>1917</v>
      </c>
      <c r="E884">
        <f>'PRO FORMA'!E31</f>
        <v>0</v>
      </c>
      <c r="F884">
        <f>'PRO FORMA'!F31</f>
        <v>0</v>
      </c>
      <c r="G884">
        <f>'PRO FORMA'!G31</f>
        <v>0</v>
      </c>
      <c r="H884">
        <f>'PRO FORMA'!H31</f>
        <v>0</v>
      </c>
      <c r="I884">
        <f>'PRO FORMA'!I31</f>
        <v>0</v>
      </c>
      <c r="J884">
        <f>'PRO FORMA'!J31</f>
        <v>0</v>
      </c>
      <c r="K884">
        <f>'PRO FORMA'!K31</f>
        <v>0</v>
      </c>
      <c r="L884">
        <f>'PRO FORMA'!L31</f>
        <v>0</v>
      </c>
      <c r="M884">
        <f>'PRO FORMA'!M31</f>
        <v>0</v>
      </c>
      <c r="N884">
        <f>'PRO FORMA'!N31</f>
        <v>0</v>
      </c>
      <c r="O884">
        <f>'PRO FORMA'!O31</f>
        <v>0</v>
      </c>
      <c r="P884">
        <f>'PRO FORMA'!P31</f>
        <v>0</v>
      </c>
      <c r="Q884">
        <f>'PRO FORMA'!Q31</f>
        <v>0</v>
      </c>
      <c r="R884">
        <f>'PRO FORMA'!R31</f>
        <v>0</v>
      </c>
      <c r="S884">
        <f>'PRO FORMA'!S31</f>
        <v>0</v>
      </c>
      <c r="T884">
        <f>'PRO FORMA'!T31</f>
        <v>0</v>
      </c>
      <c r="U884">
        <f>'PRO FORMA'!U31</f>
        <v>0</v>
      </c>
      <c r="V884">
        <f>'PRO FORMA'!V31</f>
        <v>0</v>
      </c>
      <c r="W884">
        <f>'PRO FORMA'!W31</f>
        <v>0</v>
      </c>
      <c r="X884">
        <f>'PRO FORMA'!X31</f>
        <v>0</v>
      </c>
    </row>
    <row r="885" spans="1:24" x14ac:dyDescent="0.25">
      <c r="C885" t="s">
        <v>1918</v>
      </c>
      <c r="E885">
        <f>SUM(E821:E829)-SUM(E830:E881)</f>
        <v>0</v>
      </c>
      <c r="F885">
        <f t="shared" ref="F885:X885" si="175">SUM(F821:F829)-SUM(F830:F881)</f>
        <v>0</v>
      </c>
      <c r="G885">
        <f t="shared" si="175"/>
        <v>0</v>
      </c>
      <c r="H885">
        <f t="shared" si="175"/>
        <v>0</v>
      </c>
      <c r="I885">
        <f t="shared" si="175"/>
        <v>0</v>
      </c>
      <c r="J885">
        <f t="shared" si="175"/>
        <v>0</v>
      </c>
      <c r="K885">
        <f t="shared" si="175"/>
        <v>0</v>
      </c>
      <c r="L885">
        <f t="shared" si="175"/>
        <v>0</v>
      </c>
      <c r="M885">
        <f t="shared" si="175"/>
        <v>0</v>
      </c>
      <c r="N885">
        <f t="shared" si="175"/>
        <v>0</v>
      </c>
      <c r="O885">
        <f t="shared" si="175"/>
        <v>0</v>
      </c>
      <c r="P885">
        <f t="shared" si="175"/>
        <v>0</v>
      </c>
      <c r="Q885">
        <f t="shared" si="175"/>
        <v>0</v>
      </c>
      <c r="R885">
        <f t="shared" si="175"/>
        <v>0</v>
      </c>
      <c r="S885">
        <f t="shared" si="175"/>
        <v>0</v>
      </c>
      <c r="T885">
        <f t="shared" si="175"/>
        <v>0</v>
      </c>
      <c r="U885">
        <f t="shared" si="175"/>
        <v>0</v>
      </c>
      <c r="V885">
        <f t="shared" si="175"/>
        <v>0</v>
      </c>
      <c r="W885">
        <f t="shared" si="175"/>
        <v>0</v>
      </c>
      <c r="X885">
        <f t="shared" si="175"/>
        <v>0</v>
      </c>
    </row>
    <row r="886" spans="1:24" x14ac:dyDescent="0.25">
      <c r="C886" t="s">
        <v>1919</v>
      </c>
      <c r="E886">
        <f>E884-E885</f>
        <v>0</v>
      </c>
      <c r="F886">
        <f t="shared" ref="F886:X886" si="176">F884-F885</f>
        <v>0</v>
      </c>
      <c r="G886">
        <f t="shared" si="176"/>
        <v>0</v>
      </c>
      <c r="H886">
        <f t="shared" si="176"/>
        <v>0</v>
      </c>
      <c r="I886">
        <f t="shared" si="176"/>
        <v>0</v>
      </c>
      <c r="J886">
        <f t="shared" si="176"/>
        <v>0</v>
      </c>
      <c r="K886">
        <f t="shared" si="176"/>
        <v>0</v>
      </c>
      <c r="L886">
        <f t="shared" si="176"/>
        <v>0</v>
      </c>
      <c r="M886">
        <f t="shared" si="176"/>
        <v>0</v>
      </c>
      <c r="N886">
        <f t="shared" si="176"/>
        <v>0</v>
      </c>
      <c r="O886">
        <f t="shared" si="176"/>
        <v>0</v>
      </c>
      <c r="P886">
        <f t="shared" si="176"/>
        <v>0</v>
      </c>
      <c r="Q886">
        <f t="shared" si="176"/>
        <v>0</v>
      </c>
      <c r="R886">
        <f t="shared" si="176"/>
        <v>0</v>
      </c>
      <c r="S886">
        <f t="shared" si="176"/>
        <v>0</v>
      </c>
      <c r="T886">
        <f t="shared" si="176"/>
        <v>0</v>
      </c>
      <c r="U886">
        <f t="shared" si="176"/>
        <v>0</v>
      </c>
      <c r="V886">
        <f t="shared" si="176"/>
        <v>0</v>
      </c>
      <c r="W886">
        <f t="shared" si="176"/>
        <v>0</v>
      </c>
      <c r="X886">
        <f t="shared" si="176"/>
        <v>0</v>
      </c>
    </row>
    <row r="888" spans="1:24" x14ac:dyDescent="0.25">
      <c r="D888" t="s">
        <v>1920</v>
      </c>
      <c r="E888">
        <f>GENERAL!$L$200</f>
        <v>0</v>
      </c>
    </row>
    <row r="889" spans="1:24" x14ac:dyDescent="0.25">
      <c r="D889" t="s">
        <v>1921</v>
      </c>
      <c r="E889">
        <f>GENERAL!D7</f>
        <v>0</v>
      </c>
    </row>
    <row r="890" spans="1:24" x14ac:dyDescent="0.25">
      <c r="D890" t="s">
        <v>1922</v>
      </c>
      <c r="E890" s="1695">
        <f ca="1">TODAY()</f>
        <v>46188</v>
      </c>
    </row>
    <row r="891" spans="1:24" ht="13.8" x14ac:dyDescent="0.25">
      <c r="A891" s="1653" t="s">
        <v>1923</v>
      </c>
      <c r="B891" s="1653" t="s">
        <v>1924</v>
      </c>
      <c r="C891" s="1653"/>
      <c r="D891" s="1653"/>
      <c r="E891" s="1653"/>
      <c r="F891" s="1653"/>
      <c r="G891" s="1653"/>
      <c r="H891" s="1653"/>
      <c r="I891" s="1653"/>
      <c r="J891" s="1653"/>
      <c r="K891" s="1653"/>
      <c r="L891" s="1653"/>
      <c r="M891" s="1653"/>
      <c r="N891" s="1653"/>
      <c r="O891" s="1653"/>
      <c r="P891" s="1653"/>
      <c r="Q891" s="1653"/>
      <c r="R891" s="1653"/>
      <c r="S891" s="1653"/>
      <c r="T891" s="1653"/>
      <c r="U891" s="1653"/>
      <c r="V891" s="1653"/>
      <c r="W891" s="1653"/>
      <c r="X891" s="1653"/>
    </row>
    <row r="892" spans="1:24" x14ac:dyDescent="0.25">
      <c r="A892" s="4" t="s">
        <v>1902</v>
      </c>
      <c r="B892" s="4" t="s">
        <v>1903</v>
      </c>
      <c r="C892" s="4" t="s">
        <v>1904</v>
      </c>
      <c r="E892" s="316">
        <f ca="1">IF($E$888=0,IF(E889=0,DATE(YEAR($E$890),12,31),DATE(YEAR($E$889),12,31)),DATE(YEAR($E$888),12,31))</f>
        <v>46387</v>
      </c>
      <c r="F892" s="316">
        <f ca="1">DATE(YEAR(E892)+1,12,31)</f>
        <v>46752</v>
      </c>
      <c r="G892" s="316">
        <f t="shared" ref="G892:X892" ca="1" si="177">DATE(YEAR(F892)+1,12,31)</f>
        <v>47118</v>
      </c>
      <c r="H892" s="316">
        <f t="shared" ca="1" si="177"/>
        <v>47483</v>
      </c>
      <c r="I892" s="316">
        <f t="shared" ca="1" si="177"/>
        <v>47848</v>
      </c>
      <c r="J892" s="316">
        <f t="shared" ca="1" si="177"/>
        <v>48213</v>
      </c>
      <c r="K892" s="316">
        <f t="shared" ca="1" si="177"/>
        <v>48579</v>
      </c>
      <c r="L892" s="316">
        <f t="shared" ca="1" si="177"/>
        <v>48944</v>
      </c>
      <c r="M892" s="316">
        <f t="shared" ca="1" si="177"/>
        <v>49309</v>
      </c>
      <c r="N892" s="316">
        <f t="shared" ca="1" si="177"/>
        <v>49674</v>
      </c>
      <c r="O892" s="316">
        <f t="shared" ca="1" si="177"/>
        <v>50040</v>
      </c>
      <c r="P892" s="316">
        <f t="shared" ca="1" si="177"/>
        <v>50405</v>
      </c>
      <c r="Q892" s="316">
        <f t="shared" ca="1" si="177"/>
        <v>50770</v>
      </c>
      <c r="R892" s="316">
        <f t="shared" ca="1" si="177"/>
        <v>51135</v>
      </c>
      <c r="S892" s="316">
        <f t="shared" ca="1" si="177"/>
        <v>51501</v>
      </c>
      <c r="T892" s="316">
        <f t="shared" ca="1" si="177"/>
        <v>51866</v>
      </c>
      <c r="U892" s="316">
        <f t="shared" ca="1" si="177"/>
        <v>52231</v>
      </c>
      <c r="V892" s="316">
        <f t="shared" ca="1" si="177"/>
        <v>52596</v>
      </c>
      <c r="W892" s="316">
        <f t="shared" ca="1" si="177"/>
        <v>52962</v>
      </c>
      <c r="X892" s="316">
        <f t="shared" ca="1" si="177"/>
        <v>53327</v>
      </c>
    </row>
    <row r="893" spans="1:24" x14ac:dyDescent="0.25">
      <c r="A893" s="4"/>
      <c r="B893" s="4"/>
      <c r="C893" s="4" t="s">
        <v>1925</v>
      </c>
      <c r="E893" s="1696" t="s">
        <v>339</v>
      </c>
      <c r="F893" s="1696" t="s">
        <v>339</v>
      </c>
      <c r="G893" s="1696" t="s">
        <v>339</v>
      </c>
      <c r="H893" s="1696" t="s">
        <v>339</v>
      </c>
      <c r="I893" s="1696" t="s">
        <v>339</v>
      </c>
      <c r="J893" s="1696" t="s">
        <v>339</v>
      </c>
      <c r="K893" s="1696" t="s">
        <v>339</v>
      </c>
      <c r="L893" s="1696" t="s">
        <v>339</v>
      </c>
      <c r="M893" s="1696" t="s">
        <v>339</v>
      </c>
      <c r="N893" s="1696" t="s">
        <v>339</v>
      </c>
      <c r="O893" s="1696" t="s">
        <v>339</v>
      </c>
      <c r="P893" s="1696" t="s">
        <v>339</v>
      </c>
      <c r="Q893" s="1696" t="s">
        <v>339</v>
      </c>
      <c r="R893" s="1696" t="s">
        <v>339</v>
      </c>
      <c r="S893" s="1696" t="s">
        <v>339</v>
      </c>
      <c r="T893" s="1696" t="s">
        <v>339</v>
      </c>
      <c r="U893" s="1696" t="s">
        <v>339</v>
      </c>
      <c r="V893" s="1696" t="s">
        <v>339</v>
      </c>
      <c r="W893" s="1696" t="s">
        <v>339</v>
      </c>
      <c r="X893" s="1696" t="s">
        <v>339</v>
      </c>
    </row>
    <row r="894" spans="1:24" x14ac:dyDescent="0.25">
      <c r="A894" t="s">
        <v>1906</v>
      </c>
      <c r="B894" t="s">
        <v>1926</v>
      </c>
      <c r="C894" t="s">
        <v>1927</v>
      </c>
      <c r="E894" s="1694">
        <f>E821+E823</f>
        <v>0</v>
      </c>
      <c r="F894">
        <f t="shared" ref="F894:X894" si="178">F821+F823</f>
        <v>0</v>
      </c>
      <c r="G894">
        <f t="shared" si="178"/>
        <v>0</v>
      </c>
      <c r="H894">
        <f t="shared" si="178"/>
        <v>0</v>
      </c>
      <c r="I894">
        <f t="shared" si="178"/>
        <v>0</v>
      </c>
      <c r="J894">
        <f t="shared" si="178"/>
        <v>0</v>
      </c>
      <c r="K894">
        <f t="shared" si="178"/>
        <v>0</v>
      </c>
      <c r="L894">
        <f t="shared" si="178"/>
        <v>0</v>
      </c>
      <c r="M894">
        <f t="shared" si="178"/>
        <v>0</v>
      </c>
      <c r="N894">
        <f t="shared" si="178"/>
        <v>0</v>
      </c>
      <c r="O894">
        <f t="shared" si="178"/>
        <v>0</v>
      </c>
      <c r="P894">
        <f t="shared" si="178"/>
        <v>0</v>
      </c>
      <c r="Q894">
        <f t="shared" si="178"/>
        <v>0</v>
      </c>
      <c r="R894">
        <f t="shared" si="178"/>
        <v>0</v>
      </c>
      <c r="S894">
        <f t="shared" si="178"/>
        <v>0</v>
      </c>
      <c r="T894">
        <f t="shared" si="178"/>
        <v>0</v>
      </c>
      <c r="U894">
        <f t="shared" si="178"/>
        <v>0</v>
      </c>
      <c r="V894">
        <f t="shared" si="178"/>
        <v>0</v>
      </c>
      <c r="W894">
        <f t="shared" si="178"/>
        <v>0</v>
      </c>
      <c r="X894">
        <f t="shared" si="178"/>
        <v>0</v>
      </c>
    </row>
    <row r="895" spans="1:24" x14ac:dyDescent="0.25">
      <c r="A895" t="s">
        <v>1906</v>
      </c>
      <c r="B895" t="s">
        <v>1926</v>
      </c>
      <c r="C895" t="s">
        <v>1928</v>
      </c>
      <c r="E895" s="1694">
        <f>E822</f>
        <v>0</v>
      </c>
      <c r="F895" s="1694">
        <f t="shared" ref="F895:X895" si="179">F822</f>
        <v>0</v>
      </c>
      <c r="G895" s="1694">
        <f t="shared" si="179"/>
        <v>0</v>
      </c>
      <c r="H895" s="1694">
        <f t="shared" si="179"/>
        <v>0</v>
      </c>
      <c r="I895" s="1694">
        <f t="shared" si="179"/>
        <v>0</v>
      </c>
      <c r="J895" s="1694">
        <f t="shared" si="179"/>
        <v>0</v>
      </c>
      <c r="K895" s="1694">
        <f t="shared" si="179"/>
        <v>0</v>
      </c>
      <c r="L895" s="1694">
        <f t="shared" si="179"/>
        <v>0</v>
      </c>
      <c r="M895" s="1694">
        <f t="shared" si="179"/>
        <v>0</v>
      </c>
      <c r="N895" s="1694">
        <f t="shared" si="179"/>
        <v>0</v>
      </c>
      <c r="O895" s="1694">
        <f t="shared" si="179"/>
        <v>0</v>
      </c>
      <c r="P895" s="1694">
        <f t="shared" si="179"/>
        <v>0</v>
      </c>
      <c r="Q895" s="1694">
        <f t="shared" si="179"/>
        <v>0</v>
      </c>
      <c r="R895" s="1694">
        <f t="shared" si="179"/>
        <v>0</v>
      </c>
      <c r="S895" s="1694">
        <f t="shared" si="179"/>
        <v>0</v>
      </c>
      <c r="T895" s="1694">
        <f t="shared" si="179"/>
        <v>0</v>
      </c>
      <c r="U895" s="1694">
        <f t="shared" si="179"/>
        <v>0</v>
      </c>
      <c r="V895" s="1694">
        <f t="shared" si="179"/>
        <v>0</v>
      </c>
      <c r="W895" s="1694">
        <f t="shared" si="179"/>
        <v>0</v>
      </c>
      <c r="X895" s="1694">
        <f t="shared" si="179"/>
        <v>0</v>
      </c>
    </row>
    <row r="896" spans="1:24" x14ac:dyDescent="0.25">
      <c r="A896" t="s">
        <v>1906</v>
      </c>
      <c r="B896" t="s">
        <v>1929</v>
      </c>
      <c r="C896" t="s">
        <v>1930</v>
      </c>
      <c r="E896" s="1694">
        <f>E824+E828</f>
        <v>0</v>
      </c>
      <c r="F896" s="1694">
        <f t="shared" ref="F896:X896" si="180">F824+F828</f>
        <v>0</v>
      </c>
      <c r="G896" s="1694">
        <f t="shared" si="180"/>
        <v>0</v>
      </c>
      <c r="H896" s="1694">
        <f t="shared" si="180"/>
        <v>0</v>
      </c>
      <c r="I896" s="1694">
        <f t="shared" si="180"/>
        <v>0</v>
      </c>
      <c r="J896" s="1694">
        <f t="shared" si="180"/>
        <v>0</v>
      </c>
      <c r="K896" s="1694">
        <f t="shared" si="180"/>
        <v>0</v>
      </c>
      <c r="L896" s="1694">
        <f t="shared" si="180"/>
        <v>0</v>
      </c>
      <c r="M896" s="1694">
        <f t="shared" si="180"/>
        <v>0</v>
      </c>
      <c r="N896" s="1694">
        <f t="shared" si="180"/>
        <v>0</v>
      </c>
      <c r="O896" s="1694">
        <f t="shared" si="180"/>
        <v>0</v>
      </c>
      <c r="P896" s="1694">
        <f t="shared" si="180"/>
        <v>0</v>
      </c>
      <c r="Q896" s="1694">
        <f t="shared" si="180"/>
        <v>0</v>
      </c>
      <c r="R896" s="1694">
        <f t="shared" si="180"/>
        <v>0</v>
      </c>
      <c r="S896" s="1694">
        <f t="shared" si="180"/>
        <v>0</v>
      </c>
      <c r="T896" s="1694">
        <f t="shared" si="180"/>
        <v>0</v>
      </c>
      <c r="U896" s="1694">
        <f t="shared" si="180"/>
        <v>0</v>
      </c>
      <c r="V896" s="1694">
        <f t="shared" si="180"/>
        <v>0</v>
      </c>
      <c r="W896" s="1694">
        <f t="shared" si="180"/>
        <v>0</v>
      </c>
      <c r="X896" s="1694">
        <f t="shared" si="180"/>
        <v>0</v>
      </c>
    </row>
    <row r="897" spans="1:24" x14ac:dyDescent="0.25">
      <c r="A897" t="s">
        <v>1906</v>
      </c>
      <c r="B897" t="s">
        <v>1926</v>
      </c>
      <c r="C897" t="s">
        <v>1931</v>
      </c>
      <c r="E897" s="1694">
        <f>E825</f>
        <v>0</v>
      </c>
      <c r="F897" s="1694">
        <f t="shared" ref="F897:X897" si="181">F825</f>
        <v>0</v>
      </c>
      <c r="G897" s="1694">
        <f t="shared" si="181"/>
        <v>0</v>
      </c>
      <c r="H897" s="1694">
        <f t="shared" si="181"/>
        <v>0</v>
      </c>
      <c r="I897" s="1694">
        <f t="shared" si="181"/>
        <v>0</v>
      </c>
      <c r="J897" s="1694">
        <f t="shared" si="181"/>
        <v>0</v>
      </c>
      <c r="K897" s="1694">
        <f t="shared" si="181"/>
        <v>0</v>
      </c>
      <c r="L897" s="1694">
        <f t="shared" si="181"/>
        <v>0</v>
      </c>
      <c r="M897" s="1694">
        <f t="shared" si="181"/>
        <v>0</v>
      </c>
      <c r="N897" s="1694">
        <f t="shared" si="181"/>
        <v>0</v>
      </c>
      <c r="O897" s="1694">
        <f t="shared" si="181"/>
        <v>0</v>
      </c>
      <c r="P897" s="1694">
        <f t="shared" si="181"/>
        <v>0</v>
      </c>
      <c r="Q897" s="1694">
        <f t="shared" si="181"/>
        <v>0</v>
      </c>
      <c r="R897" s="1694">
        <f t="shared" si="181"/>
        <v>0</v>
      </c>
      <c r="S897" s="1694">
        <f t="shared" si="181"/>
        <v>0</v>
      </c>
      <c r="T897" s="1694">
        <f t="shared" si="181"/>
        <v>0</v>
      </c>
      <c r="U897" s="1694">
        <f t="shared" si="181"/>
        <v>0</v>
      </c>
      <c r="V897" s="1694">
        <f t="shared" si="181"/>
        <v>0</v>
      </c>
      <c r="W897" s="1694">
        <f t="shared" si="181"/>
        <v>0</v>
      </c>
      <c r="X897" s="1694">
        <f t="shared" si="181"/>
        <v>0</v>
      </c>
    </row>
    <row r="898" spans="1:24" x14ac:dyDescent="0.25">
      <c r="A898" t="s">
        <v>1906</v>
      </c>
      <c r="B898" t="s">
        <v>1483</v>
      </c>
      <c r="C898" t="s">
        <v>1932</v>
      </c>
      <c r="E898" s="1694">
        <f>E826+E827</f>
        <v>0</v>
      </c>
      <c r="F898" s="1694">
        <f t="shared" ref="F898:X898" si="182">F826+F827</f>
        <v>0</v>
      </c>
      <c r="G898" s="1694">
        <f t="shared" si="182"/>
        <v>0</v>
      </c>
      <c r="H898" s="1694">
        <f t="shared" si="182"/>
        <v>0</v>
      </c>
      <c r="I898" s="1694">
        <f t="shared" si="182"/>
        <v>0</v>
      </c>
      <c r="J898" s="1694">
        <f t="shared" si="182"/>
        <v>0</v>
      </c>
      <c r="K898" s="1694">
        <f t="shared" si="182"/>
        <v>0</v>
      </c>
      <c r="L898" s="1694">
        <f t="shared" si="182"/>
        <v>0</v>
      </c>
      <c r="M898" s="1694">
        <f t="shared" si="182"/>
        <v>0</v>
      </c>
      <c r="N898" s="1694">
        <f t="shared" si="182"/>
        <v>0</v>
      </c>
      <c r="O898" s="1694">
        <f t="shared" si="182"/>
        <v>0</v>
      </c>
      <c r="P898" s="1694">
        <f t="shared" si="182"/>
        <v>0</v>
      </c>
      <c r="Q898" s="1694">
        <f t="shared" si="182"/>
        <v>0</v>
      </c>
      <c r="R898" s="1694">
        <f t="shared" si="182"/>
        <v>0</v>
      </c>
      <c r="S898" s="1694">
        <f t="shared" si="182"/>
        <v>0</v>
      </c>
      <c r="T898" s="1694">
        <f t="shared" si="182"/>
        <v>0</v>
      </c>
      <c r="U898" s="1694">
        <f t="shared" si="182"/>
        <v>0</v>
      </c>
      <c r="V898" s="1694">
        <f t="shared" si="182"/>
        <v>0</v>
      </c>
      <c r="W898" s="1694">
        <f t="shared" si="182"/>
        <v>0</v>
      </c>
      <c r="X898" s="1694">
        <f t="shared" si="182"/>
        <v>0</v>
      </c>
    </row>
    <row r="899" spans="1:24" x14ac:dyDescent="0.25">
      <c r="A899" t="s">
        <v>1906</v>
      </c>
      <c r="B899" t="s">
        <v>1483</v>
      </c>
      <c r="C899" t="s">
        <v>1933</v>
      </c>
      <c r="E899" s="1694">
        <f t="shared" ref="E899:E910" si="183">E829</f>
        <v>0</v>
      </c>
      <c r="F899" s="1694">
        <f t="shared" ref="F899:X899" si="184">F829</f>
        <v>0</v>
      </c>
      <c r="G899" s="1694">
        <f t="shared" si="184"/>
        <v>0</v>
      </c>
      <c r="H899" s="1694">
        <f t="shared" si="184"/>
        <v>0</v>
      </c>
      <c r="I899" s="1694">
        <f t="shared" si="184"/>
        <v>0</v>
      </c>
      <c r="J899" s="1694">
        <f t="shared" si="184"/>
        <v>0</v>
      </c>
      <c r="K899" s="1694">
        <f t="shared" si="184"/>
        <v>0</v>
      </c>
      <c r="L899" s="1694">
        <f t="shared" si="184"/>
        <v>0</v>
      </c>
      <c r="M899" s="1694">
        <f t="shared" si="184"/>
        <v>0</v>
      </c>
      <c r="N899" s="1694">
        <f t="shared" si="184"/>
        <v>0</v>
      </c>
      <c r="O899" s="1694">
        <f t="shared" si="184"/>
        <v>0</v>
      </c>
      <c r="P899" s="1694">
        <f t="shared" si="184"/>
        <v>0</v>
      </c>
      <c r="Q899" s="1694">
        <f t="shared" si="184"/>
        <v>0</v>
      </c>
      <c r="R899" s="1694">
        <f t="shared" si="184"/>
        <v>0</v>
      </c>
      <c r="S899" s="1694">
        <f t="shared" si="184"/>
        <v>0</v>
      </c>
      <c r="T899" s="1694">
        <f t="shared" si="184"/>
        <v>0</v>
      </c>
      <c r="U899" s="1694">
        <f t="shared" si="184"/>
        <v>0</v>
      </c>
      <c r="V899" s="1694">
        <f t="shared" si="184"/>
        <v>0</v>
      </c>
      <c r="W899" s="1694">
        <f t="shared" si="184"/>
        <v>0</v>
      </c>
      <c r="X899" s="1694">
        <f t="shared" si="184"/>
        <v>0</v>
      </c>
    </row>
    <row r="900" spans="1:24" x14ac:dyDescent="0.25">
      <c r="A900" t="s">
        <v>1914</v>
      </c>
      <c r="B900" t="s">
        <v>1934</v>
      </c>
      <c r="C900" t="s">
        <v>1935</v>
      </c>
      <c r="E900" s="1694">
        <f t="shared" si="183"/>
        <v>0</v>
      </c>
      <c r="F900" s="1694">
        <f t="shared" ref="F900:X900" si="185">F830</f>
        <v>0</v>
      </c>
      <c r="G900" s="1694">
        <f t="shared" si="185"/>
        <v>0</v>
      </c>
      <c r="H900" s="1694">
        <f t="shared" si="185"/>
        <v>0</v>
      </c>
      <c r="I900" s="1694">
        <f t="shared" si="185"/>
        <v>0</v>
      </c>
      <c r="J900" s="1694">
        <f t="shared" si="185"/>
        <v>0</v>
      </c>
      <c r="K900" s="1694">
        <f t="shared" si="185"/>
        <v>0</v>
      </c>
      <c r="L900" s="1694">
        <f t="shared" si="185"/>
        <v>0</v>
      </c>
      <c r="M900" s="1694">
        <f t="shared" si="185"/>
        <v>0</v>
      </c>
      <c r="N900" s="1694">
        <f t="shared" si="185"/>
        <v>0</v>
      </c>
      <c r="O900" s="1694">
        <f t="shared" si="185"/>
        <v>0</v>
      </c>
      <c r="P900" s="1694">
        <f t="shared" si="185"/>
        <v>0</v>
      </c>
      <c r="Q900" s="1694">
        <f t="shared" si="185"/>
        <v>0</v>
      </c>
      <c r="R900" s="1694">
        <f t="shared" si="185"/>
        <v>0</v>
      </c>
      <c r="S900" s="1694">
        <f t="shared" si="185"/>
        <v>0</v>
      </c>
      <c r="T900" s="1694">
        <f t="shared" si="185"/>
        <v>0</v>
      </c>
      <c r="U900" s="1694">
        <f t="shared" si="185"/>
        <v>0</v>
      </c>
      <c r="V900" s="1694">
        <f t="shared" si="185"/>
        <v>0</v>
      </c>
      <c r="W900" s="1694">
        <f t="shared" si="185"/>
        <v>0</v>
      </c>
      <c r="X900" s="1694">
        <f t="shared" si="185"/>
        <v>0</v>
      </c>
    </row>
    <row r="901" spans="1:24" x14ac:dyDescent="0.25">
      <c r="A901" t="s">
        <v>1914</v>
      </c>
      <c r="B901" t="s">
        <v>1934</v>
      </c>
      <c r="C901" t="s">
        <v>1936</v>
      </c>
      <c r="E901" s="1694">
        <f t="shared" si="183"/>
        <v>0</v>
      </c>
      <c r="F901" s="1694">
        <f t="shared" ref="F901:X901" si="186">F831</f>
        <v>0</v>
      </c>
      <c r="G901" s="1694">
        <f t="shared" si="186"/>
        <v>0</v>
      </c>
      <c r="H901" s="1694">
        <f t="shared" si="186"/>
        <v>0</v>
      </c>
      <c r="I901" s="1694">
        <f t="shared" si="186"/>
        <v>0</v>
      </c>
      <c r="J901" s="1694">
        <f t="shared" si="186"/>
        <v>0</v>
      </c>
      <c r="K901" s="1694">
        <f t="shared" si="186"/>
        <v>0</v>
      </c>
      <c r="L901" s="1694">
        <f t="shared" si="186"/>
        <v>0</v>
      </c>
      <c r="M901" s="1694">
        <f t="shared" si="186"/>
        <v>0</v>
      </c>
      <c r="N901" s="1694">
        <f t="shared" si="186"/>
        <v>0</v>
      </c>
      <c r="O901" s="1694">
        <f t="shared" si="186"/>
        <v>0</v>
      </c>
      <c r="P901" s="1694">
        <f t="shared" si="186"/>
        <v>0</v>
      </c>
      <c r="Q901" s="1694">
        <f t="shared" si="186"/>
        <v>0</v>
      </c>
      <c r="R901" s="1694">
        <f t="shared" si="186"/>
        <v>0</v>
      </c>
      <c r="S901" s="1694">
        <f t="shared" si="186"/>
        <v>0</v>
      </c>
      <c r="T901" s="1694">
        <f t="shared" si="186"/>
        <v>0</v>
      </c>
      <c r="U901" s="1694">
        <f t="shared" si="186"/>
        <v>0</v>
      </c>
      <c r="V901" s="1694">
        <f t="shared" si="186"/>
        <v>0</v>
      </c>
      <c r="W901" s="1694">
        <f t="shared" si="186"/>
        <v>0</v>
      </c>
      <c r="X901" s="1694">
        <f t="shared" si="186"/>
        <v>0</v>
      </c>
    </row>
    <row r="902" spans="1:24" x14ac:dyDescent="0.25">
      <c r="A902" t="s">
        <v>1914</v>
      </c>
      <c r="B902" t="s">
        <v>1934</v>
      </c>
      <c r="C902" t="s">
        <v>1937</v>
      </c>
      <c r="E902" s="1694">
        <f t="shared" si="183"/>
        <v>0</v>
      </c>
      <c r="F902" s="1694">
        <f t="shared" ref="F902:X902" si="187">F832</f>
        <v>0</v>
      </c>
      <c r="G902" s="1694">
        <f t="shared" si="187"/>
        <v>0</v>
      </c>
      <c r="H902" s="1694">
        <f t="shared" si="187"/>
        <v>0</v>
      </c>
      <c r="I902" s="1694">
        <f t="shared" si="187"/>
        <v>0</v>
      </c>
      <c r="J902" s="1694">
        <f t="shared" si="187"/>
        <v>0</v>
      </c>
      <c r="K902" s="1694">
        <f t="shared" si="187"/>
        <v>0</v>
      </c>
      <c r="L902" s="1694">
        <f t="shared" si="187"/>
        <v>0</v>
      </c>
      <c r="M902" s="1694">
        <f t="shared" si="187"/>
        <v>0</v>
      </c>
      <c r="N902" s="1694">
        <f t="shared" si="187"/>
        <v>0</v>
      </c>
      <c r="O902" s="1694">
        <f t="shared" si="187"/>
        <v>0</v>
      </c>
      <c r="P902" s="1694">
        <f t="shared" si="187"/>
        <v>0</v>
      </c>
      <c r="Q902" s="1694">
        <f t="shared" si="187"/>
        <v>0</v>
      </c>
      <c r="R902" s="1694">
        <f t="shared" si="187"/>
        <v>0</v>
      </c>
      <c r="S902" s="1694">
        <f t="shared" si="187"/>
        <v>0</v>
      </c>
      <c r="T902" s="1694">
        <f t="shared" si="187"/>
        <v>0</v>
      </c>
      <c r="U902" s="1694">
        <f t="shared" si="187"/>
        <v>0</v>
      </c>
      <c r="V902" s="1694">
        <f t="shared" si="187"/>
        <v>0</v>
      </c>
      <c r="W902" s="1694">
        <f t="shared" si="187"/>
        <v>0</v>
      </c>
      <c r="X902" s="1694">
        <f t="shared" si="187"/>
        <v>0</v>
      </c>
    </row>
    <row r="903" spans="1:24" x14ac:dyDescent="0.25">
      <c r="A903" t="s">
        <v>1914</v>
      </c>
      <c r="B903" t="s">
        <v>1934</v>
      </c>
      <c r="C903" t="s">
        <v>1938</v>
      </c>
      <c r="E903" s="1694">
        <f t="shared" si="183"/>
        <v>0</v>
      </c>
      <c r="F903" s="1694">
        <f t="shared" ref="F903:X903" si="188">F833</f>
        <v>0</v>
      </c>
      <c r="G903" s="1694">
        <f t="shared" si="188"/>
        <v>0</v>
      </c>
      <c r="H903" s="1694">
        <f t="shared" si="188"/>
        <v>0</v>
      </c>
      <c r="I903" s="1694">
        <f t="shared" si="188"/>
        <v>0</v>
      </c>
      <c r="J903" s="1694">
        <f t="shared" si="188"/>
        <v>0</v>
      </c>
      <c r="K903" s="1694">
        <f t="shared" si="188"/>
        <v>0</v>
      </c>
      <c r="L903" s="1694">
        <f t="shared" si="188"/>
        <v>0</v>
      </c>
      <c r="M903" s="1694">
        <f t="shared" si="188"/>
        <v>0</v>
      </c>
      <c r="N903" s="1694">
        <f t="shared" si="188"/>
        <v>0</v>
      </c>
      <c r="O903" s="1694">
        <f t="shared" si="188"/>
        <v>0</v>
      </c>
      <c r="P903" s="1694">
        <f t="shared" si="188"/>
        <v>0</v>
      </c>
      <c r="Q903" s="1694">
        <f t="shared" si="188"/>
        <v>0</v>
      </c>
      <c r="R903" s="1694">
        <f t="shared" si="188"/>
        <v>0</v>
      </c>
      <c r="S903" s="1694">
        <f t="shared" si="188"/>
        <v>0</v>
      </c>
      <c r="T903" s="1694">
        <f t="shared" si="188"/>
        <v>0</v>
      </c>
      <c r="U903" s="1694">
        <f t="shared" si="188"/>
        <v>0</v>
      </c>
      <c r="V903" s="1694">
        <f t="shared" si="188"/>
        <v>0</v>
      </c>
      <c r="W903" s="1694">
        <f t="shared" si="188"/>
        <v>0</v>
      </c>
      <c r="X903" s="1694">
        <f t="shared" si="188"/>
        <v>0</v>
      </c>
    </row>
    <row r="904" spans="1:24" x14ac:dyDescent="0.25">
      <c r="A904" t="s">
        <v>1914</v>
      </c>
      <c r="B904" t="s">
        <v>1934</v>
      </c>
      <c r="C904" t="s">
        <v>1939</v>
      </c>
      <c r="E904" s="1694">
        <f t="shared" si="183"/>
        <v>0</v>
      </c>
      <c r="F904" s="1694">
        <f t="shared" ref="F904:X904" si="189">F834</f>
        <v>0</v>
      </c>
      <c r="G904" s="1694">
        <f t="shared" si="189"/>
        <v>0</v>
      </c>
      <c r="H904" s="1694">
        <f t="shared" si="189"/>
        <v>0</v>
      </c>
      <c r="I904" s="1694">
        <f t="shared" si="189"/>
        <v>0</v>
      </c>
      <c r="J904" s="1694">
        <f t="shared" si="189"/>
        <v>0</v>
      </c>
      <c r="K904" s="1694">
        <f t="shared" si="189"/>
        <v>0</v>
      </c>
      <c r="L904" s="1694">
        <f t="shared" si="189"/>
        <v>0</v>
      </c>
      <c r="M904" s="1694">
        <f t="shared" si="189"/>
        <v>0</v>
      </c>
      <c r="N904" s="1694">
        <f t="shared" si="189"/>
        <v>0</v>
      </c>
      <c r="O904" s="1694">
        <f t="shared" si="189"/>
        <v>0</v>
      </c>
      <c r="P904" s="1694">
        <f t="shared" si="189"/>
        <v>0</v>
      </c>
      <c r="Q904" s="1694">
        <f t="shared" si="189"/>
        <v>0</v>
      </c>
      <c r="R904" s="1694">
        <f t="shared" si="189"/>
        <v>0</v>
      </c>
      <c r="S904" s="1694">
        <f t="shared" si="189"/>
        <v>0</v>
      </c>
      <c r="T904" s="1694">
        <f t="shared" si="189"/>
        <v>0</v>
      </c>
      <c r="U904" s="1694">
        <f t="shared" si="189"/>
        <v>0</v>
      </c>
      <c r="V904" s="1694">
        <f t="shared" si="189"/>
        <v>0</v>
      </c>
      <c r="W904" s="1694">
        <f t="shared" si="189"/>
        <v>0</v>
      </c>
      <c r="X904" s="1694">
        <f t="shared" si="189"/>
        <v>0</v>
      </c>
    </row>
    <row r="905" spans="1:24" x14ac:dyDescent="0.25">
      <c r="A905" t="s">
        <v>1914</v>
      </c>
      <c r="B905" t="s">
        <v>1934</v>
      </c>
      <c r="C905" t="s">
        <v>1940</v>
      </c>
      <c r="E905" s="1694">
        <f t="shared" si="183"/>
        <v>0</v>
      </c>
      <c r="F905" s="1694">
        <f t="shared" ref="F905:X905" si="190">F835</f>
        <v>0</v>
      </c>
      <c r="G905" s="1694">
        <f t="shared" si="190"/>
        <v>0</v>
      </c>
      <c r="H905" s="1694">
        <f t="shared" si="190"/>
        <v>0</v>
      </c>
      <c r="I905" s="1694">
        <f t="shared" si="190"/>
        <v>0</v>
      </c>
      <c r="J905" s="1694">
        <f t="shared" si="190"/>
        <v>0</v>
      </c>
      <c r="K905" s="1694">
        <f t="shared" si="190"/>
        <v>0</v>
      </c>
      <c r="L905" s="1694">
        <f t="shared" si="190"/>
        <v>0</v>
      </c>
      <c r="M905" s="1694">
        <f t="shared" si="190"/>
        <v>0</v>
      </c>
      <c r="N905" s="1694">
        <f t="shared" si="190"/>
        <v>0</v>
      </c>
      <c r="O905" s="1694">
        <f t="shared" si="190"/>
        <v>0</v>
      </c>
      <c r="P905" s="1694">
        <f t="shared" si="190"/>
        <v>0</v>
      </c>
      <c r="Q905" s="1694">
        <f t="shared" si="190"/>
        <v>0</v>
      </c>
      <c r="R905" s="1694">
        <f t="shared" si="190"/>
        <v>0</v>
      </c>
      <c r="S905" s="1694">
        <f t="shared" si="190"/>
        <v>0</v>
      </c>
      <c r="T905" s="1694">
        <f t="shared" si="190"/>
        <v>0</v>
      </c>
      <c r="U905" s="1694">
        <f t="shared" si="190"/>
        <v>0</v>
      </c>
      <c r="V905" s="1694">
        <f t="shared" si="190"/>
        <v>0</v>
      </c>
      <c r="W905" s="1694">
        <f t="shared" si="190"/>
        <v>0</v>
      </c>
      <c r="X905" s="1694">
        <f t="shared" si="190"/>
        <v>0</v>
      </c>
    </row>
    <row r="906" spans="1:24" x14ac:dyDescent="0.25">
      <c r="A906" t="s">
        <v>1914</v>
      </c>
      <c r="B906" t="s">
        <v>1934</v>
      </c>
      <c r="C906" t="s">
        <v>1941</v>
      </c>
      <c r="E906" s="1694">
        <f t="shared" si="183"/>
        <v>0</v>
      </c>
      <c r="F906" s="1694">
        <f t="shared" ref="F906:X906" si="191">F836</f>
        <v>0</v>
      </c>
      <c r="G906" s="1694">
        <f t="shared" si="191"/>
        <v>0</v>
      </c>
      <c r="H906" s="1694">
        <f t="shared" si="191"/>
        <v>0</v>
      </c>
      <c r="I906" s="1694">
        <f t="shared" si="191"/>
        <v>0</v>
      </c>
      <c r="J906" s="1694">
        <f t="shared" si="191"/>
        <v>0</v>
      </c>
      <c r="K906" s="1694">
        <f t="shared" si="191"/>
        <v>0</v>
      </c>
      <c r="L906" s="1694">
        <f t="shared" si="191"/>
        <v>0</v>
      </c>
      <c r="M906" s="1694">
        <f t="shared" si="191"/>
        <v>0</v>
      </c>
      <c r="N906" s="1694">
        <f t="shared" si="191"/>
        <v>0</v>
      </c>
      <c r="O906" s="1694">
        <f t="shared" si="191"/>
        <v>0</v>
      </c>
      <c r="P906" s="1694">
        <f t="shared" si="191"/>
        <v>0</v>
      </c>
      <c r="Q906" s="1694">
        <f t="shared" si="191"/>
        <v>0</v>
      </c>
      <c r="R906" s="1694">
        <f t="shared" si="191"/>
        <v>0</v>
      </c>
      <c r="S906" s="1694">
        <f t="shared" si="191"/>
        <v>0</v>
      </c>
      <c r="T906" s="1694">
        <f t="shared" si="191"/>
        <v>0</v>
      </c>
      <c r="U906" s="1694">
        <f t="shared" si="191"/>
        <v>0</v>
      </c>
      <c r="V906" s="1694">
        <f t="shared" si="191"/>
        <v>0</v>
      </c>
      <c r="W906" s="1694">
        <f t="shared" si="191"/>
        <v>0</v>
      </c>
      <c r="X906" s="1694">
        <f t="shared" si="191"/>
        <v>0</v>
      </c>
    </row>
    <row r="907" spans="1:24" x14ac:dyDescent="0.25">
      <c r="A907" t="s">
        <v>1914</v>
      </c>
      <c r="B907" t="s">
        <v>1934</v>
      </c>
      <c r="C907" t="s">
        <v>1942</v>
      </c>
      <c r="E907" s="1694">
        <f t="shared" si="183"/>
        <v>0</v>
      </c>
      <c r="F907" s="1694">
        <f t="shared" ref="F907:X907" si="192">F837</f>
        <v>0</v>
      </c>
      <c r="G907" s="1694">
        <f t="shared" si="192"/>
        <v>0</v>
      </c>
      <c r="H907" s="1694">
        <f t="shared" si="192"/>
        <v>0</v>
      </c>
      <c r="I907" s="1694">
        <f t="shared" si="192"/>
        <v>0</v>
      </c>
      <c r="J907" s="1694">
        <f t="shared" si="192"/>
        <v>0</v>
      </c>
      <c r="K907" s="1694">
        <f t="shared" si="192"/>
        <v>0</v>
      </c>
      <c r="L907" s="1694">
        <f t="shared" si="192"/>
        <v>0</v>
      </c>
      <c r="M907" s="1694">
        <f t="shared" si="192"/>
        <v>0</v>
      </c>
      <c r="N907" s="1694">
        <f t="shared" si="192"/>
        <v>0</v>
      </c>
      <c r="O907" s="1694">
        <f t="shared" si="192"/>
        <v>0</v>
      </c>
      <c r="P907" s="1694">
        <f t="shared" si="192"/>
        <v>0</v>
      </c>
      <c r="Q907" s="1694">
        <f t="shared" si="192"/>
        <v>0</v>
      </c>
      <c r="R907" s="1694">
        <f t="shared" si="192"/>
        <v>0</v>
      </c>
      <c r="S907" s="1694">
        <f t="shared" si="192"/>
        <v>0</v>
      </c>
      <c r="T907" s="1694">
        <f t="shared" si="192"/>
        <v>0</v>
      </c>
      <c r="U907" s="1694">
        <f t="shared" si="192"/>
        <v>0</v>
      </c>
      <c r="V907" s="1694">
        <f t="shared" si="192"/>
        <v>0</v>
      </c>
      <c r="W907" s="1694">
        <f t="shared" si="192"/>
        <v>0</v>
      </c>
      <c r="X907" s="1694">
        <f t="shared" si="192"/>
        <v>0</v>
      </c>
    </row>
    <row r="908" spans="1:24" x14ac:dyDescent="0.25">
      <c r="A908" t="s">
        <v>1914</v>
      </c>
      <c r="B908" t="s">
        <v>1934</v>
      </c>
      <c r="C908" t="s">
        <v>1943</v>
      </c>
      <c r="E908" s="1694">
        <f t="shared" si="183"/>
        <v>0</v>
      </c>
      <c r="F908" s="1694">
        <f t="shared" ref="F908:X908" si="193">F838</f>
        <v>0</v>
      </c>
      <c r="G908" s="1694">
        <f t="shared" si="193"/>
        <v>0</v>
      </c>
      <c r="H908" s="1694">
        <f t="shared" si="193"/>
        <v>0</v>
      </c>
      <c r="I908" s="1694">
        <f t="shared" si="193"/>
        <v>0</v>
      </c>
      <c r="J908" s="1694">
        <f t="shared" si="193"/>
        <v>0</v>
      </c>
      <c r="K908" s="1694">
        <f t="shared" si="193"/>
        <v>0</v>
      </c>
      <c r="L908" s="1694">
        <f t="shared" si="193"/>
        <v>0</v>
      </c>
      <c r="M908" s="1694">
        <f t="shared" si="193"/>
        <v>0</v>
      </c>
      <c r="N908" s="1694">
        <f t="shared" si="193"/>
        <v>0</v>
      </c>
      <c r="O908" s="1694">
        <f t="shared" si="193"/>
        <v>0</v>
      </c>
      <c r="P908" s="1694">
        <f t="shared" si="193"/>
        <v>0</v>
      </c>
      <c r="Q908" s="1694">
        <f t="shared" si="193"/>
        <v>0</v>
      </c>
      <c r="R908" s="1694">
        <f t="shared" si="193"/>
        <v>0</v>
      </c>
      <c r="S908" s="1694">
        <f t="shared" si="193"/>
        <v>0</v>
      </c>
      <c r="T908" s="1694">
        <f t="shared" si="193"/>
        <v>0</v>
      </c>
      <c r="U908" s="1694">
        <f t="shared" si="193"/>
        <v>0</v>
      </c>
      <c r="V908" s="1694">
        <f t="shared" si="193"/>
        <v>0</v>
      </c>
      <c r="W908" s="1694">
        <f t="shared" si="193"/>
        <v>0</v>
      </c>
      <c r="X908" s="1694">
        <f t="shared" si="193"/>
        <v>0</v>
      </c>
    </row>
    <row r="909" spans="1:24" x14ac:dyDescent="0.25">
      <c r="A909" t="s">
        <v>1914</v>
      </c>
      <c r="B909" t="s">
        <v>1934</v>
      </c>
      <c r="C909" t="s">
        <v>1944</v>
      </c>
      <c r="E909" s="1694">
        <f t="shared" si="183"/>
        <v>0</v>
      </c>
      <c r="F909" s="1694">
        <f t="shared" ref="F909:X909" si="194">F839</f>
        <v>0</v>
      </c>
      <c r="G909" s="1694">
        <f t="shared" si="194"/>
        <v>0</v>
      </c>
      <c r="H909" s="1694">
        <f t="shared" si="194"/>
        <v>0</v>
      </c>
      <c r="I909" s="1694">
        <f t="shared" si="194"/>
        <v>0</v>
      </c>
      <c r="J909" s="1694">
        <f t="shared" si="194"/>
        <v>0</v>
      </c>
      <c r="K909" s="1694">
        <f t="shared" si="194"/>
        <v>0</v>
      </c>
      <c r="L909" s="1694">
        <f t="shared" si="194"/>
        <v>0</v>
      </c>
      <c r="M909" s="1694">
        <f t="shared" si="194"/>
        <v>0</v>
      </c>
      <c r="N909" s="1694">
        <f t="shared" si="194"/>
        <v>0</v>
      </c>
      <c r="O909" s="1694">
        <f t="shared" si="194"/>
        <v>0</v>
      </c>
      <c r="P909" s="1694">
        <f t="shared" si="194"/>
        <v>0</v>
      </c>
      <c r="Q909" s="1694">
        <f t="shared" si="194"/>
        <v>0</v>
      </c>
      <c r="R909" s="1694">
        <f t="shared" si="194"/>
        <v>0</v>
      </c>
      <c r="S909" s="1694">
        <f t="shared" si="194"/>
        <v>0</v>
      </c>
      <c r="T909" s="1694">
        <f t="shared" si="194"/>
        <v>0</v>
      </c>
      <c r="U909" s="1694">
        <f t="shared" si="194"/>
        <v>0</v>
      </c>
      <c r="V909" s="1694">
        <f t="shared" si="194"/>
        <v>0</v>
      </c>
      <c r="W909" s="1694">
        <f t="shared" si="194"/>
        <v>0</v>
      </c>
      <c r="X909" s="1694">
        <f t="shared" si="194"/>
        <v>0</v>
      </c>
    </row>
    <row r="910" spans="1:24" x14ac:dyDescent="0.25">
      <c r="A910" t="s">
        <v>1914</v>
      </c>
      <c r="B910" t="s">
        <v>1934</v>
      </c>
      <c r="C910" t="s">
        <v>1945</v>
      </c>
      <c r="E910" s="1694">
        <f t="shared" si="183"/>
        <v>0</v>
      </c>
      <c r="F910" s="1694">
        <f t="shared" ref="F910:X910" si="195">F840</f>
        <v>0</v>
      </c>
      <c r="G910" s="1694">
        <f t="shared" si="195"/>
        <v>0</v>
      </c>
      <c r="H910" s="1694">
        <f t="shared" si="195"/>
        <v>0</v>
      </c>
      <c r="I910" s="1694">
        <f t="shared" si="195"/>
        <v>0</v>
      </c>
      <c r="J910" s="1694">
        <f t="shared" si="195"/>
        <v>0</v>
      </c>
      <c r="K910" s="1694">
        <f t="shared" si="195"/>
        <v>0</v>
      </c>
      <c r="L910" s="1694">
        <f t="shared" si="195"/>
        <v>0</v>
      </c>
      <c r="M910" s="1694">
        <f t="shared" si="195"/>
        <v>0</v>
      </c>
      <c r="N910" s="1694">
        <f t="shared" si="195"/>
        <v>0</v>
      </c>
      <c r="O910" s="1694">
        <f t="shared" si="195"/>
        <v>0</v>
      </c>
      <c r="P910" s="1694">
        <f t="shared" si="195"/>
        <v>0</v>
      </c>
      <c r="Q910" s="1694">
        <f t="shared" si="195"/>
        <v>0</v>
      </c>
      <c r="R910" s="1694">
        <f t="shared" si="195"/>
        <v>0</v>
      </c>
      <c r="S910" s="1694">
        <f t="shared" si="195"/>
        <v>0</v>
      </c>
      <c r="T910" s="1694">
        <f t="shared" si="195"/>
        <v>0</v>
      </c>
      <c r="U910" s="1694">
        <f t="shared" si="195"/>
        <v>0</v>
      </c>
      <c r="V910" s="1694">
        <f t="shared" si="195"/>
        <v>0</v>
      </c>
      <c r="W910" s="1694">
        <f t="shared" si="195"/>
        <v>0</v>
      </c>
      <c r="X910" s="1694">
        <f t="shared" si="195"/>
        <v>0</v>
      </c>
    </row>
    <row r="911" spans="1:24" x14ac:dyDescent="0.25">
      <c r="A911" t="s">
        <v>1914</v>
      </c>
      <c r="B911" t="s">
        <v>1934</v>
      </c>
      <c r="C911" t="s">
        <v>1946</v>
      </c>
      <c r="E911" s="1694">
        <f>SUM(E841:E843)</f>
        <v>0</v>
      </c>
      <c r="F911" s="1694">
        <f t="shared" ref="F911:X911" si="196">SUM(F841:F843)</f>
        <v>0</v>
      </c>
      <c r="G911" s="1694">
        <f t="shared" si="196"/>
        <v>0</v>
      </c>
      <c r="H911" s="1694">
        <f t="shared" si="196"/>
        <v>0</v>
      </c>
      <c r="I911" s="1694">
        <f t="shared" si="196"/>
        <v>0</v>
      </c>
      <c r="J911" s="1694">
        <f t="shared" si="196"/>
        <v>0</v>
      </c>
      <c r="K911" s="1694">
        <f t="shared" si="196"/>
        <v>0</v>
      </c>
      <c r="L911" s="1694">
        <f t="shared" si="196"/>
        <v>0</v>
      </c>
      <c r="M911" s="1694">
        <f t="shared" si="196"/>
        <v>0</v>
      </c>
      <c r="N911" s="1694">
        <f t="shared" si="196"/>
        <v>0</v>
      </c>
      <c r="O911" s="1694">
        <f t="shared" si="196"/>
        <v>0</v>
      </c>
      <c r="P911" s="1694">
        <f t="shared" si="196"/>
        <v>0</v>
      </c>
      <c r="Q911" s="1694">
        <f t="shared" si="196"/>
        <v>0</v>
      </c>
      <c r="R911" s="1694">
        <f t="shared" si="196"/>
        <v>0</v>
      </c>
      <c r="S911" s="1694">
        <f t="shared" si="196"/>
        <v>0</v>
      </c>
      <c r="T911" s="1694">
        <f t="shared" si="196"/>
        <v>0</v>
      </c>
      <c r="U911" s="1694">
        <f t="shared" si="196"/>
        <v>0</v>
      </c>
      <c r="V911" s="1694">
        <f t="shared" si="196"/>
        <v>0</v>
      </c>
      <c r="W911" s="1694">
        <f t="shared" si="196"/>
        <v>0</v>
      </c>
      <c r="X911" s="1694">
        <f t="shared" si="196"/>
        <v>0</v>
      </c>
    </row>
    <row r="912" spans="1:24" x14ac:dyDescent="0.25">
      <c r="A912" t="s">
        <v>1914</v>
      </c>
      <c r="B912" t="s">
        <v>1934</v>
      </c>
      <c r="C912" t="s">
        <v>1947</v>
      </c>
      <c r="E912" s="1694">
        <f t="shared" ref="E912:E936" si="197">E844</f>
        <v>0</v>
      </c>
      <c r="F912" s="1694">
        <f t="shared" ref="F912:X912" si="198">F844</f>
        <v>0</v>
      </c>
      <c r="G912" s="1694">
        <f t="shared" si="198"/>
        <v>0</v>
      </c>
      <c r="H912" s="1694">
        <f t="shared" si="198"/>
        <v>0</v>
      </c>
      <c r="I912" s="1694">
        <f t="shared" si="198"/>
        <v>0</v>
      </c>
      <c r="J912" s="1694">
        <f t="shared" si="198"/>
        <v>0</v>
      </c>
      <c r="K912" s="1694">
        <f t="shared" si="198"/>
        <v>0</v>
      </c>
      <c r="L912" s="1694">
        <f t="shared" si="198"/>
        <v>0</v>
      </c>
      <c r="M912" s="1694">
        <f t="shared" si="198"/>
        <v>0</v>
      </c>
      <c r="N912" s="1694">
        <f t="shared" si="198"/>
        <v>0</v>
      </c>
      <c r="O912" s="1694">
        <f t="shared" si="198"/>
        <v>0</v>
      </c>
      <c r="P912" s="1694">
        <f t="shared" si="198"/>
        <v>0</v>
      </c>
      <c r="Q912" s="1694">
        <f t="shared" si="198"/>
        <v>0</v>
      </c>
      <c r="R912" s="1694">
        <f t="shared" si="198"/>
        <v>0</v>
      </c>
      <c r="S912" s="1694">
        <f t="shared" si="198"/>
        <v>0</v>
      </c>
      <c r="T912" s="1694">
        <f t="shared" si="198"/>
        <v>0</v>
      </c>
      <c r="U912" s="1694">
        <f t="shared" si="198"/>
        <v>0</v>
      </c>
      <c r="V912" s="1694">
        <f t="shared" si="198"/>
        <v>0</v>
      </c>
      <c r="W912" s="1694">
        <f t="shared" si="198"/>
        <v>0</v>
      </c>
      <c r="X912" s="1694">
        <f t="shared" si="198"/>
        <v>0</v>
      </c>
    </row>
    <row r="913" spans="1:24" x14ac:dyDescent="0.25">
      <c r="A913" t="s">
        <v>1914</v>
      </c>
      <c r="B913" t="s">
        <v>1948</v>
      </c>
      <c r="C913" t="s">
        <v>1949</v>
      </c>
      <c r="E913" s="1694">
        <f t="shared" si="197"/>
        <v>0</v>
      </c>
      <c r="F913" s="1694">
        <f t="shared" ref="F913:X913" si="199">F845</f>
        <v>0</v>
      </c>
      <c r="G913" s="1694">
        <f t="shared" si="199"/>
        <v>0</v>
      </c>
      <c r="H913" s="1694">
        <f t="shared" si="199"/>
        <v>0</v>
      </c>
      <c r="I913" s="1694">
        <f t="shared" si="199"/>
        <v>0</v>
      </c>
      <c r="J913" s="1694">
        <f t="shared" si="199"/>
        <v>0</v>
      </c>
      <c r="K913" s="1694">
        <f t="shared" si="199"/>
        <v>0</v>
      </c>
      <c r="L913" s="1694">
        <f t="shared" si="199"/>
        <v>0</v>
      </c>
      <c r="M913" s="1694">
        <f t="shared" si="199"/>
        <v>0</v>
      </c>
      <c r="N913" s="1694">
        <f t="shared" si="199"/>
        <v>0</v>
      </c>
      <c r="O913" s="1694">
        <f t="shared" si="199"/>
        <v>0</v>
      </c>
      <c r="P913" s="1694">
        <f t="shared" si="199"/>
        <v>0</v>
      </c>
      <c r="Q913" s="1694">
        <f t="shared" si="199"/>
        <v>0</v>
      </c>
      <c r="R913" s="1694">
        <f t="shared" si="199"/>
        <v>0</v>
      </c>
      <c r="S913" s="1694">
        <f t="shared" si="199"/>
        <v>0</v>
      </c>
      <c r="T913" s="1694">
        <f t="shared" si="199"/>
        <v>0</v>
      </c>
      <c r="U913" s="1694">
        <f t="shared" si="199"/>
        <v>0</v>
      </c>
      <c r="V913" s="1694">
        <f t="shared" si="199"/>
        <v>0</v>
      </c>
      <c r="W913" s="1694">
        <f t="shared" si="199"/>
        <v>0</v>
      </c>
      <c r="X913" s="1694">
        <f t="shared" si="199"/>
        <v>0</v>
      </c>
    </row>
    <row r="914" spans="1:24" x14ac:dyDescent="0.25">
      <c r="A914" t="s">
        <v>1914</v>
      </c>
      <c r="B914" t="s">
        <v>1948</v>
      </c>
      <c r="C914" t="s">
        <v>1950</v>
      </c>
      <c r="E914" s="1694">
        <f t="shared" si="197"/>
        <v>0</v>
      </c>
      <c r="F914" s="1694">
        <f t="shared" ref="F914:X914" si="200">F846</f>
        <v>0</v>
      </c>
      <c r="G914" s="1694">
        <f t="shared" si="200"/>
        <v>0</v>
      </c>
      <c r="H914" s="1694">
        <f t="shared" si="200"/>
        <v>0</v>
      </c>
      <c r="I914" s="1694">
        <f t="shared" si="200"/>
        <v>0</v>
      </c>
      <c r="J914" s="1694">
        <f t="shared" si="200"/>
        <v>0</v>
      </c>
      <c r="K914" s="1694">
        <f t="shared" si="200"/>
        <v>0</v>
      </c>
      <c r="L914" s="1694">
        <f t="shared" si="200"/>
        <v>0</v>
      </c>
      <c r="M914" s="1694">
        <f t="shared" si="200"/>
        <v>0</v>
      </c>
      <c r="N914" s="1694">
        <f t="shared" si="200"/>
        <v>0</v>
      </c>
      <c r="O914" s="1694">
        <f t="shared" si="200"/>
        <v>0</v>
      </c>
      <c r="P914" s="1694">
        <f t="shared" si="200"/>
        <v>0</v>
      </c>
      <c r="Q914" s="1694">
        <f t="shared" si="200"/>
        <v>0</v>
      </c>
      <c r="R914" s="1694">
        <f t="shared" si="200"/>
        <v>0</v>
      </c>
      <c r="S914" s="1694">
        <f t="shared" si="200"/>
        <v>0</v>
      </c>
      <c r="T914" s="1694">
        <f t="shared" si="200"/>
        <v>0</v>
      </c>
      <c r="U914" s="1694">
        <f t="shared" si="200"/>
        <v>0</v>
      </c>
      <c r="V914" s="1694">
        <f t="shared" si="200"/>
        <v>0</v>
      </c>
      <c r="W914" s="1694">
        <f t="shared" si="200"/>
        <v>0</v>
      </c>
      <c r="X914" s="1694">
        <f t="shared" si="200"/>
        <v>0</v>
      </c>
    </row>
    <row r="915" spans="1:24" x14ac:dyDescent="0.25">
      <c r="A915" t="s">
        <v>1914</v>
      </c>
      <c r="B915" t="s">
        <v>1948</v>
      </c>
      <c r="C915" t="s">
        <v>1951</v>
      </c>
      <c r="E915" s="1694">
        <f t="shared" si="197"/>
        <v>0</v>
      </c>
      <c r="F915" s="1694">
        <f t="shared" ref="F915:X915" si="201">F847</f>
        <v>0</v>
      </c>
      <c r="G915" s="1694">
        <f t="shared" si="201"/>
        <v>0</v>
      </c>
      <c r="H915" s="1694">
        <f t="shared" si="201"/>
        <v>0</v>
      </c>
      <c r="I915" s="1694">
        <f t="shared" si="201"/>
        <v>0</v>
      </c>
      <c r="J915" s="1694">
        <f t="shared" si="201"/>
        <v>0</v>
      </c>
      <c r="K915" s="1694">
        <f t="shared" si="201"/>
        <v>0</v>
      </c>
      <c r="L915" s="1694">
        <f t="shared" si="201"/>
        <v>0</v>
      </c>
      <c r="M915" s="1694">
        <f t="shared" si="201"/>
        <v>0</v>
      </c>
      <c r="N915" s="1694">
        <f t="shared" si="201"/>
        <v>0</v>
      </c>
      <c r="O915" s="1694">
        <f t="shared" si="201"/>
        <v>0</v>
      </c>
      <c r="P915" s="1694">
        <f t="shared" si="201"/>
        <v>0</v>
      </c>
      <c r="Q915" s="1694">
        <f t="shared" si="201"/>
        <v>0</v>
      </c>
      <c r="R915" s="1694">
        <f t="shared" si="201"/>
        <v>0</v>
      </c>
      <c r="S915" s="1694">
        <f t="shared" si="201"/>
        <v>0</v>
      </c>
      <c r="T915" s="1694">
        <f t="shared" si="201"/>
        <v>0</v>
      </c>
      <c r="U915" s="1694">
        <f t="shared" si="201"/>
        <v>0</v>
      </c>
      <c r="V915" s="1694">
        <f t="shared" si="201"/>
        <v>0</v>
      </c>
      <c r="W915" s="1694">
        <f t="shared" si="201"/>
        <v>0</v>
      </c>
      <c r="X915" s="1694">
        <f t="shared" si="201"/>
        <v>0</v>
      </c>
    </row>
    <row r="916" spans="1:24" x14ac:dyDescent="0.25">
      <c r="A916" t="s">
        <v>1914</v>
      </c>
      <c r="B916" t="s">
        <v>1948</v>
      </c>
      <c r="C916" t="s">
        <v>1952</v>
      </c>
      <c r="E916" s="1694">
        <f t="shared" si="197"/>
        <v>0</v>
      </c>
      <c r="F916" s="1694">
        <f t="shared" ref="F916:X916" si="202">F848</f>
        <v>0</v>
      </c>
      <c r="G916" s="1694">
        <f t="shared" si="202"/>
        <v>0</v>
      </c>
      <c r="H916" s="1694">
        <f t="shared" si="202"/>
        <v>0</v>
      </c>
      <c r="I916" s="1694">
        <f t="shared" si="202"/>
        <v>0</v>
      </c>
      <c r="J916" s="1694">
        <f t="shared" si="202"/>
        <v>0</v>
      </c>
      <c r="K916" s="1694">
        <f t="shared" si="202"/>
        <v>0</v>
      </c>
      <c r="L916" s="1694">
        <f t="shared" si="202"/>
        <v>0</v>
      </c>
      <c r="M916" s="1694">
        <f t="shared" si="202"/>
        <v>0</v>
      </c>
      <c r="N916" s="1694">
        <f t="shared" si="202"/>
        <v>0</v>
      </c>
      <c r="O916" s="1694">
        <f t="shared" si="202"/>
        <v>0</v>
      </c>
      <c r="P916" s="1694">
        <f t="shared" si="202"/>
        <v>0</v>
      </c>
      <c r="Q916" s="1694">
        <f t="shared" si="202"/>
        <v>0</v>
      </c>
      <c r="R916" s="1694">
        <f t="shared" si="202"/>
        <v>0</v>
      </c>
      <c r="S916" s="1694">
        <f t="shared" si="202"/>
        <v>0</v>
      </c>
      <c r="T916" s="1694">
        <f t="shared" si="202"/>
        <v>0</v>
      </c>
      <c r="U916" s="1694">
        <f t="shared" si="202"/>
        <v>0</v>
      </c>
      <c r="V916" s="1694">
        <f t="shared" si="202"/>
        <v>0</v>
      </c>
      <c r="W916" s="1694">
        <f t="shared" si="202"/>
        <v>0</v>
      </c>
      <c r="X916" s="1694">
        <f t="shared" si="202"/>
        <v>0</v>
      </c>
    </row>
    <row r="917" spans="1:24" x14ac:dyDescent="0.25">
      <c r="A917" t="s">
        <v>1914</v>
      </c>
      <c r="B917" t="s">
        <v>1948</v>
      </c>
      <c r="C917" t="s">
        <v>1953</v>
      </c>
      <c r="E917" s="1694">
        <f t="shared" si="197"/>
        <v>0</v>
      </c>
      <c r="F917" s="1694">
        <f t="shared" ref="F917:X917" si="203">F849</f>
        <v>0</v>
      </c>
      <c r="G917" s="1694">
        <f t="shared" si="203"/>
        <v>0</v>
      </c>
      <c r="H917" s="1694">
        <f t="shared" si="203"/>
        <v>0</v>
      </c>
      <c r="I917" s="1694">
        <f t="shared" si="203"/>
        <v>0</v>
      </c>
      <c r="J917" s="1694">
        <f t="shared" si="203"/>
        <v>0</v>
      </c>
      <c r="K917" s="1694">
        <f t="shared" si="203"/>
        <v>0</v>
      </c>
      <c r="L917" s="1694">
        <f t="shared" si="203"/>
        <v>0</v>
      </c>
      <c r="M917" s="1694">
        <f t="shared" si="203"/>
        <v>0</v>
      </c>
      <c r="N917" s="1694">
        <f t="shared" si="203"/>
        <v>0</v>
      </c>
      <c r="O917" s="1694">
        <f t="shared" si="203"/>
        <v>0</v>
      </c>
      <c r="P917" s="1694">
        <f t="shared" si="203"/>
        <v>0</v>
      </c>
      <c r="Q917" s="1694">
        <f t="shared" si="203"/>
        <v>0</v>
      </c>
      <c r="R917" s="1694">
        <f t="shared" si="203"/>
        <v>0</v>
      </c>
      <c r="S917" s="1694">
        <f t="shared" si="203"/>
        <v>0</v>
      </c>
      <c r="T917" s="1694">
        <f t="shared" si="203"/>
        <v>0</v>
      </c>
      <c r="U917" s="1694">
        <f t="shared" si="203"/>
        <v>0</v>
      </c>
      <c r="V917" s="1694">
        <f t="shared" si="203"/>
        <v>0</v>
      </c>
      <c r="W917" s="1694">
        <f t="shared" si="203"/>
        <v>0</v>
      </c>
      <c r="X917" s="1694">
        <f t="shared" si="203"/>
        <v>0</v>
      </c>
    </row>
    <row r="918" spans="1:24" x14ac:dyDescent="0.25">
      <c r="A918" t="s">
        <v>1914</v>
      </c>
      <c r="B918" t="s">
        <v>1954</v>
      </c>
      <c r="C918" t="s">
        <v>1955</v>
      </c>
      <c r="E918" s="1694">
        <f t="shared" si="197"/>
        <v>0</v>
      </c>
      <c r="F918" s="1694">
        <f t="shared" ref="F918:X918" si="204">F850</f>
        <v>0</v>
      </c>
      <c r="G918" s="1694">
        <f t="shared" si="204"/>
        <v>0</v>
      </c>
      <c r="H918" s="1694">
        <f t="shared" si="204"/>
        <v>0</v>
      </c>
      <c r="I918" s="1694">
        <f t="shared" si="204"/>
        <v>0</v>
      </c>
      <c r="J918" s="1694">
        <f t="shared" si="204"/>
        <v>0</v>
      </c>
      <c r="K918" s="1694">
        <f t="shared" si="204"/>
        <v>0</v>
      </c>
      <c r="L918" s="1694">
        <f t="shared" si="204"/>
        <v>0</v>
      </c>
      <c r="M918" s="1694">
        <f t="shared" si="204"/>
        <v>0</v>
      </c>
      <c r="N918" s="1694">
        <f t="shared" si="204"/>
        <v>0</v>
      </c>
      <c r="O918" s="1694">
        <f t="shared" si="204"/>
        <v>0</v>
      </c>
      <c r="P918" s="1694">
        <f t="shared" si="204"/>
        <v>0</v>
      </c>
      <c r="Q918" s="1694">
        <f t="shared" si="204"/>
        <v>0</v>
      </c>
      <c r="R918" s="1694">
        <f t="shared" si="204"/>
        <v>0</v>
      </c>
      <c r="S918" s="1694">
        <f t="shared" si="204"/>
        <v>0</v>
      </c>
      <c r="T918" s="1694">
        <f t="shared" si="204"/>
        <v>0</v>
      </c>
      <c r="U918" s="1694">
        <f t="shared" si="204"/>
        <v>0</v>
      </c>
      <c r="V918" s="1694">
        <f t="shared" si="204"/>
        <v>0</v>
      </c>
      <c r="W918" s="1694">
        <f t="shared" si="204"/>
        <v>0</v>
      </c>
      <c r="X918" s="1694">
        <f t="shared" si="204"/>
        <v>0</v>
      </c>
    </row>
    <row r="919" spans="1:24" x14ac:dyDescent="0.25">
      <c r="A919" t="s">
        <v>1914</v>
      </c>
      <c r="B919" t="s">
        <v>1954</v>
      </c>
      <c r="C919" t="s">
        <v>1956</v>
      </c>
      <c r="E919" s="1694">
        <f t="shared" si="197"/>
        <v>0</v>
      </c>
      <c r="F919" s="1694">
        <f t="shared" ref="F919:X919" si="205">F851</f>
        <v>0</v>
      </c>
      <c r="G919" s="1694">
        <f t="shared" si="205"/>
        <v>0</v>
      </c>
      <c r="H919" s="1694">
        <f t="shared" si="205"/>
        <v>0</v>
      </c>
      <c r="I919" s="1694">
        <f t="shared" si="205"/>
        <v>0</v>
      </c>
      <c r="J919" s="1694">
        <f t="shared" si="205"/>
        <v>0</v>
      </c>
      <c r="K919" s="1694">
        <f t="shared" si="205"/>
        <v>0</v>
      </c>
      <c r="L919" s="1694">
        <f t="shared" si="205"/>
        <v>0</v>
      </c>
      <c r="M919" s="1694">
        <f t="shared" si="205"/>
        <v>0</v>
      </c>
      <c r="N919" s="1694">
        <f t="shared" si="205"/>
        <v>0</v>
      </c>
      <c r="O919" s="1694">
        <f t="shared" si="205"/>
        <v>0</v>
      </c>
      <c r="P919" s="1694">
        <f t="shared" si="205"/>
        <v>0</v>
      </c>
      <c r="Q919" s="1694">
        <f t="shared" si="205"/>
        <v>0</v>
      </c>
      <c r="R919" s="1694">
        <f t="shared" si="205"/>
        <v>0</v>
      </c>
      <c r="S919" s="1694">
        <f t="shared" si="205"/>
        <v>0</v>
      </c>
      <c r="T919" s="1694">
        <f t="shared" si="205"/>
        <v>0</v>
      </c>
      <c r="U919" s="1694">
        <f t="shared" si="205"/>
        <v>0</v>
      </c>
      <c r="V919" s="1694">
        <f t="shared" si="205"/>
        <v>0</v>
      </c>
      <c r="W919" s="1694">
        <f t="shared" si="205"/>
        <v>0</v>
      </c>
      <c r="X919" s="1694">
        <f t="shared" si="205"/>
        <v>0</v>
      </c>
    </row>
    <row r="920" spans="1:24" x14ac:dyDescent="0.25">
      <c r="A920" t="s">
        <v>1914</v>
      </c>
      <c r="B920" t="s">
        <v>1954</v>
      </c>
      <c r="C920" t="s">
        <v>1957</v>
      </c>
      <c r="E920" s="1694">
        <f t="shared" si="197"/>
        <v>0</v>
      </c>
      <c r="F920" s="1694">
        <f t="shared" ref="F920:X920" si="206">F852</f>
        <v>0</v>
      </c>
      <c r="G920" s="1694">
        <f t="shared" si="206"/>
        <v>0</v>
      </c>
      <c r="H920" s="1694">
        <f t="shared" si="206"/>
        <v>0</v>
      </c>
      <c r="I920" s="1694">
        <f t="shared" si="206"/>
        <v>0</v>
      </c>
      <c r="J920" s="1694">
        <f t="shared" si="206"/>
        <v>0</v>
      </c>
      <c r="K920" s="1694">
        <f t="shared" si="206"/>
        <v>0</v>
      </c>
      <c r="L920" s="1694">
        <f t="shared" si="206"/>
        <v>0</v>
      </c>
      <c r="M920" s="1694">
        <f t="shared" si="206"/>
        <v>0</v>
      </c>
      <c r="N920" s="1694">
        <f t="shared" si="206"/>
        <v>0</v>
      </c>
      <c r="O920" s="1694">
        <f t="shared" si="206"/>
        <v>0</v>
      </c>
      <c r="P920" s="1694">
        <f t="shared" si="206"/>
        <v>0</v>
      </c>
      <c r="Q920" s="1694">
        <f t="shared" si="206"/>
        <v>0</v>
      </c>
      <c r="R920" s="1694">
        <f t="shared" si="206"/>
        <v>0</v>
      </c>
      <c r="S920" s="1694">
        <f t="shared" si="206"/>
        <v>0</v>
      </c>
      <c r="T920" s="1694">
        <f t="shared" si="206"/>
        <v>0</v>
      </c>
      <c r="U920" s="1694">
        <f t="shared" si="206"/>
        <v>0</v>
      </c>
      <c r="V920" s="1694">
        <f t="shared" si="206"/>
        <v>0</v>
      </c>
      <c r="W920" s="1694">
        <f t="shared" si="206"/>
        <v>0</v>
      </c>
      <c r="X920" s="1694">
        <f t="shared" si="206"/>
        <v>0</v>
      </c>
    </row>
    <row r="921" spans="1:24" x14ac:dyDescent="0.25">
      <c r="A921" t="s">
        <v>1914</v>
      </c>
      <c r="B921" t="s">
        <v>1954</v>
      </c>
      <c r="C921" t="s">
        <v>1958</v>
      </c>
      <c r="E921" s="1694">
        <f t="shared" si="197"/>
        <v>0</v>
      </c>
      <c r="F921" s="1694">
        <f t="shared" ref="F921:X921" si="207">F853</f>
        <v>0</v>
      </c>
      <c r="G921" s="1694">
        <f t="shared" si="207"/>
        <v>0</v>
      </c>
      <c r="H921" s="1694">
        <f t="shared" si="207"/>
        <v>0</v>
      </c>
      <c r="I921" s="1694">
        <f t="shared" si="207"/>
        <v>0</v>
      </c>
      <c r="J921" s="1694">
        <f t="shared" si="207"/>
        <v>0</v>
      </c>
      <c r="K921" s="1694">
        <f t="shared" si="207"/>
        <v>0</v>
      </c>
      <c r="L921" s="1694">
        <f t="shared" si="207"/>
        <v>0</v>
      </c>
      <c r="M921" s="1694">
        <f t="shared" si="207"/>
        <v>0</v>
      </c>
      <c r="N921" s="1694">
        <f t="shared" si="207"/>
        <v>0</v>
      </c>
      <c r="O921" s="1694">
        <f t="shared" si="207"/>
        <v>0</v>
      </c>
      <c r="P921" s="1694">
        <f t="shared" si="207"/>
        <v>0</v>
      </c>
      <c r="Q921" s="1694">
        <f t="shared" si="207"/>
        <v>0</v>
      </c>
      <c r="R921" s="1694">
        <f t="shared" si="207"/>
        <v>0</v>
      </c>
      <c r="S921" s="1694">
        <f t="shared" si="207"/>
        <v>0</v>
      </c>
      <c r="T921" s="1694">
        <f t="shared" si="207"/>
        <v>0</v>
      </c>
      <c r="U921" s="1694">
        <f t="shared" si="207"/>
        <v>0</v>
      </c>
      <c r="V921" s="1694">
        <f t="shared" si="207"/>
        <v>0</v>
      </c>
      <c r="W921" s="1694">
        <f t="shared" si="207"/>
        <v>0</v>
      </c>
      <c r="X921" s="1694">
        <f t="shared" si="207"/>
        <v>0</v>
      </c>
    </row>
    <row r="922" spans="1:24" x14ac:dyDescent="0.25">
      <c r="A922" t="s">
        <v>1914</v>
      </c>
      <c r="B922" t="s">
        <v>1954</v>
      </c>
      <c r="C922" t="s">
        <v>1959</v>
      </c>
      <c r="E922" s="1694">
        <f t="shared" si="197"/>
        <v>0</v>
      </c>
      <c r="F922" s="1694">
        <f t="shared" ref="F922:X922" si="208">F854</f>
        <v>0</v>
      </c>
      <c r="G922" s="1694">
        <f t="shared" si="208"/>
        <v>0</v>
      </c>
      <c r="H922" s="1694">
        <f t="shared" si="208"/>
        <v>0</v>
      </c>
      <c r="I922" s="1694">
        <f t="shared" si="208"/>
        <v>0</v>
      </c>
      <c r="J922" s="1694">
        <f t="shared" si="208"/>
        <v>0</v>
      </c>
      <c r="K922" s="1694">
        <f t="shared" si="208"/>
        <v>0</v>
      </c>
      <c r="L922" s="1694">
        <f t="shared" si="208"/>
        <v>0</v>
      </c>
      <c r="M922" s="1694">
        <f t="shared" si="208"/>
        <v>0</v>
      </c>
      <c r="N922" s="1694">
        <f t="shared" si="208"/>
        <v>0</v>
      </c>
      <c r="O922" s="1694">
        <f t="shared" si="208"/>
        <v>0</v>
      </c>
      <c r="P922" s="1694">
        <f t="shared" si="208"/>
        <v>0</v>
      </c>
      <c r="Q922" s="1694">
        <f t="shared" si="208"/>
        <v>0</v>
      </c>
      <c r="R922" s="1694">
        <f t="shared" si="208"/>
        <v>0</v>
      </c>
      <c r="S922" s="1694">
        <f t="shared" si="208"/>
        <v>0</v>
      </c>
      <c r="T922" s="1694">
        <f t="shared" si="208"/>
        <v>0</v>
      </c>
      <c r="U922" s="1694">
        <f t="shared" si="208"/>
        <v>0</v>
      </c>
      <c r="V922" s="1694">
        <f t="shared" si="208"/>
        <v>0</v>
      </c>
      <c r="W922" s="1694">
        <f t="shared" si="208"/>
        <v>0</v>
      </c>
      <c r="X922" s="1694">
        <f t="shared" si="208"/>
        <v>0</v>
      </c>
    </row>
    <row r="923" spans="1:24" x14ac:dyDescent="0.25">
      <c r="A923" t="s">
        <v>1914</v>
      </c>
      <c r="B923" t="s">
        <v>1954</v>
      </c>
      <c r="C923" t="s">
        <v>1960</v>
      </c>
      <c r="E923" s="1694">
        <f t="shared" si="197"/>
        <v>0</v>
      </c>
      <c r="F923" s="1694">
        <f t="shared" ref="F923:X923" si="209">F855</f>
        <v>0</v>
      </c>
      <c r="G923" s="1694">
        <f t="shared" si="209"/>
        <v>0</v>
      </c>
      <c r="H923" s="1694">
        <f t="shared" si="209"/>
        <v>0</v>
      </c>
      <c r="I923" s="1694">
        <f t="shared" si="209"/>
        <v>0</v>
      </c>
      <c r="J923" s="1694">
        <f t="shared" si="209"/>
        <v>0</v>
      </c>
      <c r="K923" s="1694">
        <f t="shared" si="209"/>
        <v>0</v>
      </c>
      <c r="L923" s="1694">
        <f t="shared" si="209"/>
        <v>0</v>
      </c>
      <c r="M923" s="1694">
        <f t="shared" si="209"/>
        <v>0</v>
      </c>
      <c r="N923" s="1694">
        <f t="shared" si="209"/>
        <v>0</v>
      </c>
      <c r="O923" s="1694">
        <f t="shared" si="209"/>
        <v>0</v>
      </c>
      <c r="P923" s="1694">
        <f t="shared" si="209"/>
        <v>0</v>
      </c>
      <c r="Q923" s="1694">
        <f t="shared" si="209"/>
        <v>0</v>
      </c>
      <c r="R923" s="1694">
        <f t="shared" si="209"/>
        <v>0</v>
      </c>
      <c r="S923" s="1694">
        <f t="shared" si="209"/>
        <v>0</v>
      </c>
      <c r="T923" s="1694">
        <f t="shared" si="209"/>
        <v>0</v>
      </c>
      <c r="U923" s="1694">
        <f t="shared" si="209"/>
        <v>0</v>
      </c>
      <c r="V923" s="1694">
        <f t="shared" si="209"/>
        <v>0</v>
      </c>
      <c r="W923" s="1694">
        <f t="shared" si="209"/>
        <v>0</v>
      </c>
      <c r="X923" s="1694">
        <f t="shared" si="209"/>
        <v>0</v>
      </c>
    </row>
    <row r="924" spans="1:24" x14ac:dyDescent="0.25">
      <c r="A924" t="s">
        <v>1914</v>
      </c>
      <c r="B924" t="s">
        <v>1954</v>
      </c>
      <c r="C924" t="s">
        <v>1961</v>
      </c>
      <c r="E924" s="1694">
        <f t="shared" si="197"/>
        <v>0</v>
      </c>
      <c r="F924" s="1694">
        <f t="shared" ref="F924:X924" si="210">F856</f>
        <v>0</v>
      </c>
      <c r="G924" s="1694">
        <f t="shared" si="210"/>
        <v>0</v>
      </c>
      <c r="H924" s="1694">
        <f t="shared" si="210"/>
        <v>0</v>
      </c>
      <c r="I924" s="1694">
        <f t="shared" si="210"/>
        <v>0</v>
      </c>
      <c r="J924" s="1694">
        <f t="shared" si="210"/>
        <v>0</v>
      </c>
      <c r="K924" s="1694">
        <f t="shared" si="210"/>
        <v>0</v>
      </c>
      <c r="L924" s="1694">
        <f t="shared" si="210"/>
        <v>0</v>
      </c>
      <c r="M924" s="1694">
        <f t="shared" si="210"/>
        <v>0</v>
      </c>
      <c r="N924" s="1694">
        <f t="shared" si="210"/>
        <v>0</v>
      </c>
      <c r="O924" s="1694">
        <f t="shared" si="210"/>
        <v>0</v>
      </c>
      <c r="P924" s="1694">
        <f t="shared" si="210"/>
        <v>0</v>
      </c>
      <c r="Q924" s="1694">
        <f t="shared" si="210"/>
        <v>0</v>
      </c>
      <c r="R924" s="1694">
        <f t="shared" si="210"/>
        <v>0</v>
      </c>
      <c r="S924" s="1694">
        <f t="shared" si="210"/>
        <v>0</v>
      </c>
      <c r="T924" s="1694">
        <f t="shared" si="210"/>
        <v>0</v>
      </c>
      <c r="U924" s="1694">
        <f t="shared" si="210"/>
        <v>0</v>
      </c>
      <c r="V924" s="1694">
        <f t="shared" si="210"/>
        <v>0</v>
      </c>
      <c r="W924" s="1694">
        <f t="shared" si="210"/>
        <v>0</v>
      </c>
      <c r="X924" s="1694">
        <f t="shared" si="210"/>
        <v>0</v>
      </c>
    </row>
    <row r="925" spans="1:24" x14ac:dyDescent="0.25">
      <c r="A925" t="s">
        <v>1914</v>
      </c>
      <c r="B925" t="s">
        <v>1954</v>
      </c>
      <c r="C925" t="s">
        <v>1962</v>
      </c>
      <c r="E925" s="1694">
        <f t="shared" si="197"/>
        <v>0</v>
      </c>
      <c r="F925" s="1694">
        <f t="shared" ref="F925:X925" si="211">F857</f>
        <v>0</v>
      </c>
      <c r="G925" s="1694">
        <f t="shared" si="211"/>
        <v>0</v>
      </c>
      <c r="H925" s="1694">
        <f t="shared" si="211"/>
        <v>0</v>
      </c>
      <c r="I925" s="1694">
        <f t="shared" si="211"/>
        <v>0</v>
      </c>
      <c r="J925" s="1694">
        <f t="shared" si="211"/>
        <v>0</v>
      </c>
      <c r="K925" s="1694">
        <f t="shared" si="211"/>
        <v>0</v>
      </c>
      <c r="L925" s="1694">
        <f t="shared" si="211"/>
        <v>0</v>
      </c>
      <c r="M925" s="1694">
        <f t="shared" si="211"/>
        <v>0</v>
      </c>
      <c r="N925" s="1694">
        <f t="shared" si="211"/>
        <v>0</v>
      </c>
      <c r="O925" s="1694">
        <f t="shared" si="211"/>
        <v>0</v>
      </c>
      <c r="P925" s="1694">
        <f t="shared" si="211"/>
        <v>0</v>
      </c>
      <c r="Q925" s="1694">
        <f t="shared" si="211"/>
        <v>0</v>
      </c>
      <c r="R925" s="1694">
        <f t="shared" si="211"/>
        <v>0</v>
      </c>
      <c r="S925" s="1694">
        <f t="shared" si="211"/>
        <v>0</v>
      </c>
      <c r="T925" s="1694">
        <f t="shared" si="211"/>
        <v>0</v>
      </c>
      <c r="U925" s="1694">
        <f t="shared" si="211"/>
        <v>0</v>
      </c>
      <c r="V925" s="1694">
        <f t="shared" si="211"/>
        <v>0</v>
      </c>
      <c r="W925" s="1694">
        <f t="shared" si="211"/>
        <v>0</v>
      </c>
      <c r="X925" s="1694">
        <f t="shared" si="211"/>
        <v>0</v>
      </c>
    </row>
    <row r="926" spans="1:24" x14ac:dyDescent="0.25">
      <c r="A926" t="s">
        <v>1914</v>
      </c>
      <c r="B926" t="s">
        <v>1954</v>
      </c>
      <c r="C926" t="s">
        <v>1963</v>
      </c>
      <c r="E926" s="1694">
        <f t="shared" si="197"/>
        <v>0</v>
      </c>
      <c r="F926" s="1694">
        <f t="shared" ref="F926:X926" si="212">F858</f>
        <v>0</v>
      </c>
      <c r="G926" s="1694">
        <f t="shared" si="212"/>
        <v>0</v>
      </c>
      <c r="H926" s="1694">
        <f t="shared" si="212"/>
        <v>0</v>
      </c>
      <c r="I926" s="1694">
        <f t="shared" si="212"/>
        <v>0</v>
      </c>
      <c r="J926" s="1694">
        <f t="shared" si="212"/>
        <v>0</v>
      </c>
      <c r="K926" s="1694">
        <f t="shared" si="212"/>
        <v>0</v>
      </c>
      <c r="L926" s="1694">
        <f t="shared" si="212"/>
        <v>0</v>
      </c>
      <c r="M926" s="1694">
        <f t="shared" si="212"/>
        <v>0</v>
      </c>
      <c r="N926" s="1694">
        <f t="shared" si="212"/>
        <v>0</v>
      </c>
      <c r="O926" s="1694">
        <f t="shared" si="212"/>
        <v>0</v>
      </c>
      <c r="P926" s="1694">
        <f t="shared" si="212"/>
        <v>0</v>
      </c>
      <c r="Q926" s="1694">
        <f t="shared" si="212"/>
        <v>0</v>
      </c>
      <c r="R926" s="1694">
        <f t="shared" si="212"/>
        <v>0</v>
      </c>
      <c r="S926" s="1694">
        <f t="shared" si="212"/>
        <v>0</v>
      </c>
      <c r="T926" s="1694">
        <f t="shared" si="212"/>
        <v>0</v>
      </c>
      <c r="U926" s="1694">
        <f t="shared" si="212"/>
        <v>0</v>
      </c>
      <c r="V926" s="1694">
        <f t="shared" si="212"/>
        <v>0</v>
      </c>
      <c r="W926" s="1694">
        <f t="shared" si="212"/>
        <v>0</v>
      </c>
      <c r="X926" s="1694">
        <f t="shared" si="212"/>
        <v>0</v>
      </c>
    </row>
    <row r="927" spans="1:24" x14ac:dyDescent="0.25">
      <c r="A927" t="s">
        <v>1914</v>
      </c>
      <c r="B927" t="s">
        <v>1954</v>
      </c>
      <c r="C927" t="s">
        <v>1964</v>
      </c>
      <c r="E927" s="1694">
        <f t="shared" si="197"/>
        <v>0</v>
      </c>
      <c r="F927" s="1694">
        <f t="shared" ref="F927:X927" si="213">F859</f>
        <v>0</v>
      </c>
      <c r="G927" s="1694">
        <f t="shared" si="213"/>
        <v>0</v>
      </c>
      <c r="H927" s="1694">
        <f t="shared" si="213"/>
        <v>0</v>
      </c>
      <c r="I927" s="1694">
        <f t="shared" si="213"/>
        <v>0</v>
      </c>
      <c r="J927" s="1694">
        <f t="shared" si="213"/>
        <v>0</v>
      </c>
      <c r="K927" s="1694">
        <f t="shared" si="213"/>
        <v>0</v>
      </c>
      <c r="L927" s="1694">
        <f t="shared" si="213"/>
        <v>0</v>
      </c>
      <c r="M927" s="1694">
        <f t="shared" si="213"/>
        <v>0</v>
      </c>
      <c r="N927" s="1694">
        <f t="shared" si="213"/>
        <v>0</v>
      </c>
      <c r="O927" s="1694">
        <f t="shared" si="213"/>
        <v>0</v>
      </c>
      <c r="P927" s="1694">
        <f t="shared" si="213"/>
        <v>0</v>
      </c>
      <c r="Q927" s="1694">
        <f t="shared" si="213"/>
        <v>0</v>
      </c>
      <c r="R927" s="1694">
        <f t="shared" si="213"/>
        <v>0</v>
      </c>
      <c r="S927" s="1694">
        <f t="shared" si="213"/>
        <v>0</v>
      </c>
      <c r="T927" s="1694">
        <f t="shared" si="213"/>
        <v>0</v>
      </c>
      <c r="U927" s="1694">
        <f t="shared" si="213"/>
        <v>0</v>
      </c>
      <c r="V927" s="1694">
        <f t="shared" si="213"/>
        <v>0</v>
      </c>
      <c r="W927" s="1694">
        <f t="shared" si="213"/>
        <v>0</v>
      </c>
      <c r="X927" s="1694">
        <f t="shared" si="213"/>
        <v>0</v>
      </c>
    </row>
    <row r="928" spans="1:24" x14ac:dyDescent="0.25">
      <c r="A928" t="s">
        <v>1914</v>
      </c>
      <c r="B928" t="s">
        <v>1954</v>
      </c>
      <c r="C928" t="s">
        <v>1965</v>
      </c>
      <c r="E928" s="1694">
        <f t="shared" si="197"/>
        <v>0</v>
      </c>
      <c r="F928" s="1694">
        <f t="shared" ref="F928:X928" si="214">F860</f>
        <v>0</v>
      </c>
      <c r="G928" s="1694">
        <f t="shared" si="214"/>
        <v>0</v>
      </c>
      <c r="H928" s="1694">
        <f t="shared" si="214"/>
        <v>0</v>
      </c>
      <c r="I928" s="1694">
        <f t="shared" si="214"/>
        <v>0</v>
      </c>
      <c r="J928" s="1694">
        <f t="shared" si="214"/>
        <v>0</v>
      </c>
      <c r="K928" s="1694">
        <f t="shared" si="214"/>
        <v>0</v>
      </c>
      <c r="L928" s="1694">
        <f t="shared" si="214"/>
        <v>0</v>
      </c>
      <c r="M928" s="1694">
        <f t="shared" si="214"/>
        <v>0</v>
      </c>
      <c r="N928" s="1694">
        <f t="shared" si="214"/>
        <v>0</v>
      </c>
      <c r="O928" s="1694">
        <f t="shared" si="214"/>
        <v>0</v>
      </c>
      <c r="P928" s="1694">
        <f t="shared" si="214"/>
        <v>0</v>
      </c>
      <c r="Q928" s="1694">
        <f t="shared" si="214"/>
        <v>0</v>
      </c>
      <c r="R928" s="1694">
        <f t="shared" si="214"/>
        <v>0</v>
      </c>
      <c r="S928" s="1694">
        <f t="shared" si="214"/>
        <v>0</v>
      </c>
      <c r="T928" s="1694">
        <f t="shared" si="214"/>
        <v>0</v>
      </c>
      <c r="U928" s="1694">
        <f t="shared" si="214"/>
        <v>0</v>
      </c>
      <c r="V928" s="1694">
        <f t="shared" si="214"/>
        <v>0</v>
      </c>
      <c r="W928" s="1694">
        <f t="shared" si="214"/>
        <v>0</v>
      </c>
      <c r="X928" s="1694">
        <f t="shared" si="214"/>
        <v>0</v>
      </c>
    </row>
    <row r="929" spans="1:24" x14ac:dyDescent="0.25">
      <c r="A929" t="s">
        <v>1914</v>
      </c>
      <c r="B929" t="s">
        <v>1954</v>
      </c>
      <c r="C929" t="s">
        <v>1966</v>
      </c>
      <c r="E929" s="1694">
        <f t="shared" si="197"/>
        <v>0</v>
      </c>
      <c r="F929" s="1694">
        <f t="shared" ref="F929:X929" si="215">F861</f>
        <v>0</v>
      </c>
      <c r="G929" s="1694">
        <f t="shared" si="215"/>
        <v>0</v>
      </c>
      <c r="H929" s="1694">
        <f t="shared" si="215"/>
        <v>0</v>
      </c>
      <c r="I929" s="1694">
        <f t="shared" si="215"/>
        <v>0</v>
      </c>
      <c r="J929" s="1694">
        <f t="shared" si="215"/>
        <v>0</v>
      </c>
      <c r="K929" s="1694">
        <f t="shared" si="215"/>
        <v>0</v>
      </c>
      <c r="L929" s="1694">
        <f t="shared" si="215"/>
        <v>0</v>
      </c>
      <c r="M929" s="1694">
        <f t="shared" si="215"/>
        <v>0</v>
      </c>
      <c r="N929" s="1694">
        <f t="shared" si="215"/>
        <v>0</v>
      </c>
      <c r="O929" s="1694">
        <f t="shared" si="215"/>
        <v>0</v>
      </c>
      <c r="P929" s="1694">
        <f t="shared" si="215"/>
        <v>0</v>
      </c>
      <c r="Q929" s="1694">
        <f t="shared" si="215"/>
        <v>0</v>
      </c>
      <c r="R929" s="1694">
        <f t="shared" si="215"/>
        <v>0</v>
      </c>
      <c r="S929" s="1694">
        <f t="shared" si="215"/>
        <v>0</v>
      </c>
      <c r="T929" s="1694">
        <f t="shared" si="215"/>
        <v>0</v>
      </c>
      <c r="U929" s="1694">
        <f t="shared" si="215"/>
        <v>0</v>
      </c>
      <c r="V929" s="1694">
        <f t="shared" si="215"/>
        <v>0</v>
      </c>
      <c r="W929" s="1694">
        <f t="shared" si="215"/>
        <v>0</v>
      </c>
      <c r="X929" s="1694">
        <f t="shared" si="215"/>
        <v>0</v>
      </c>
    </row>
    <row r="930" spans="1:24" x14ac:dyDescent="0.25">
      <c r="A930" t="s">
        <v>1914</v>
      </c>
      <c r="B930" t="s">
        <v>1954</v>
      </c>
      <c r="C930" t="s">
        <v>1967</v>
      </c>
      <c r="E930" s="1694">
        <f t="shared" si="197"/>
        <v>0</v>
      </c>
      <c r="F930" s="1694">
        <f t="shared" ref="F930:X930" si="216">F862</f>
        <v>0</v>
      </c>
      <c r="G930" s="1694">
        <f t="shared" si="216"/>
        <v>0</v>
      </c>
      <c r="H930" s="1694">
        <f t="shared" si="216"/>
        <v>0</v>
      </c>
      <c r="I930" s="1694">
        <f t="shared" si="216"/>
        <v>0</v>
      </c>
      <c r="J930" s="1694">
        <f t="shared" si="216"/>
        <v>0</v>
      </c>
      <c r="K930" s="1694">
        <f t="shared" si="216"/>
        <v>0</v>
      </c>
      <c r="L930" s="1694">
        <f t="shared" si="216"/>
        <v>0</v>
      </c>
      <c r="M930" s="1694">
        <f t="shared" si="216"/>
        <v>0</v>
      </c>
      <c r="N930" s="1694">
        <f t="shared" si="216"/>
        <v>0</v>
      </c>
      <c r="O930" s="1694">
        <f t="shared" si="216"/>
        <v>0</v>
      </c>
      <c r="P930" s="1694">
        <f t="shared" si="216"/>
        <v>0</v>
      </c>
      <c r="Q930" s="1694">
        <f t="shared" si="216"/>
        <v>0</v>
      </c>
      <c r="R930" s="1694">
        <f t="shared" si="216"/>
        <v>0</v>
      </c>
      <c r="S930" s="1694">
        <f t="shared" si="216"/>
        <v>0</v>
      </c>
      <c r="T930" s="1694">
        <f t="shared" si="216"/>
        <v>0</v>
      </c>
      <c r="U930" s="1694">
        <f t="shared" si="216"/>
        <v>0</v>
      </c>
      <c r="V930" s="1694">
        <f t="shared" si="216"/>
        <v>0</v>
      </c>
      <c r="W930" s="1694">
        <f t="shared" si="216"/>
        <v>0</v>
      </c>
      <c r="X930" s="1694">
        <f t="shared" si="216"/>
        <v>0</v>
      </c>
    </row>
    <row r="931" spans="1:24" x14ac:dyDescent="0.25">
      <c r="A931" t="s">
        <v>1914</v>
      </c>
      <c r="B931" t="s">
        <v>1954</v>
      </c>
      <c r="C931" t="s">
        <v>1968</v>
      </c>
      <c r="E931" s="1694">
        <f t="shared" si="197"/>
        <v>0</v>
      </c>
      <c r="F931" s="1694">
        <f t="shared" ref="F931:X931" si="217">F863</f>
        <v>0</v>
      </c>
      <c r="G931" s="1694">
        <f t="shared" si="217"/>
        <v>0</v>
      </c>
      <c r="H931" s="1694">
        <f t="shared" si="217"/>
        <v>0</v>
      </c>
      <c r="I931" s="1694">
        <f t="shared" si="217"/>
        <v>0</v>
      </c>
      <c r="J931" s="1694">
        <f t="shared" si="217"/>
        <v>0</v>
      </c>
      <c r="K931" s="1694">
        <f t="shared" si="217"/>
        <v>0</v>
      </c>
      <c r="L931" s="1694">
        <f t="shared" si="217"/>
        <v>0</v>
      </c>
      <c r="M931" s="1694">
        <f t="shared" si="217"/>
        <v>0</v>
      </c>
      <c r="N931" s="1694">
        <f t="shared" si="217"/>
        <v>0</v>
      </c>
      <c r="O931" s="1694">
        <f t="shared" si="217"/>
        <v>0</v>
      </c>
      <c r="P931" s="1694">
        <f t="shared" si="217"/>
        <v>0</v>
      </c>
      <c r="Q931" s="1694">
        <f t="shared" si="217"/>
        <v>0</v>
      </c>
      <c r="R931" s="1694">
        <f t="shared" si="217"/>
        <v>0</v>
      </c>
      <c r="S931" s="1694">
        <f t="shared" si="217"/>
        <v>0</v>
      </c>
      <c r="T931" s="1694">
        <f t="shared" si="217"/>
        <v>0</v>
      </c>
      <c r="U931" s="1694">
        <f t="shared" si="217"/>
        <v>0</v>
      </c>
      <c r="V931" s="1694">
        <f t="shared" si="217"/>
        <v>0</v>
      </c>
      <c r="W931" s="1694">
        <f t="shared" si="217"/>
        <v>0</v>
      </c>
      <c r="X931" s="1694">
        <f t="shared" si="217"/>
        <v>0</v>
      </c>
    </row>
    <row r="932" spans="1:24" x14ac:dyDescent="0.25">
      <c r="A932" t="s">
        <v>1914</v>
      </c>
      <c r="B932" t="s">
        <v>1954</v>
      </c>
      <c r="C932" t="s">
        <v>1969</v>
      </c>
      <c r="E932" s="1694">
        <f t="shared" si="197"/>
        <v>0</v>
      </c>
      <c r="F932" s="1694">
        <f t="shared" ref="F932:X932" si="218">F864</f>
        <v>0</v>
      </c>
      <c r="G932" s="1694">
        <f t="shared" si="218"/>
        <v>0</v>
      </c>
      <c r="H932" s="1694">
        <f t="shared" si="218"/>
        <v>0</v>
      </c>
      <c r="I932" s="1694">
        <f t="shared" si="218"/>
        <v>0</v>
      </c>
      <c r="J932" s="1694">
        <f t="shared" si="218"/>
        <v>0</v>
      </c>
      <c r="K932" s="1694">
        <f t="shared" si="218"/>
        <v>0</v>
      </c>
      <c r="L932" s="1694">
        <f t="shared" si="218"/>
        <v>0</v>
      </c>
      <c r="M932" s="1694">
        <f t="shared" si="218"/>
        <v>0</v>
      </c>
      <c r="N932" s="1694">
        <f t="shared" si="218"/>
        <v>0</v>
      </c>
      <c r="O932" s="1694">
        <f t="shared" si="218"/>
        <v>0</v>
      </c>
      <c r="P932" s="1694">
        <f t="shared" si="218"/>
        <v>0</v>
      </c>
      <c r="Q932" s="1694">
        <f t="shared" si="218"/>
        <v>0</v>
      </c>
      <c r="R932" s="1694">
        <f t="shared" si="218"/>
        <v>0</v>
      </c>
      <c r="S932" s="1694">
        <f t="shared" si="218"/>
        <v>0</v>
      </c>
      <c r="T932" s="1694">
        <f t="shared" si="218"/>
        <v>0</v>
      </c>
      <c r="U932" s="1694">
        <f t="shared" si="218"/>
        <v>0</v>
      </c>
      <c r="V932" s="1694">
        <f t="shared" si="218"/>
        <v>0</v>
      </c>
      <c r="W932" s="1694">
        <f t="shared" si="218"/>
        <v>0</v>
      </c>
      <c r="X932" s="1694">
        <f t="shared" si="218"/>
        <v>0</v>
      </c>
    </row>
    <row r="933" spans="1:24" x14ac:dyDescent="0.25">
      <c r="A933" t="s">
        <v>1914</v>
      </c>
      <c r="B933" t="s">
        <v>1954</v>
      </c>
      <c r="C933" t="s">
        <v>1970</v>
      </c>
      <c r="E933" s="1694">
        <f t="shared" si="197"/>
        <v>0</v>
      </c>
      <c r="F933" s="1694">
        <f t="shared" ref="F933:X933" si="219">F865</f>
        <v>0</v>
      </c>
      <c r="G933" s="1694">
        <f t="shared" si="219"/>
        <v>0</v>
      </c>
      <c r="H933" s="1694">
        <f t="shared" si="219"/>
        <v>0</v>
      </c>
      <c r="I933" s="1694">
        <f t="shared" si="219"/>
        <v>0</v>
      </c>
      <c r="J933" s="1694">
        <f t="shared" si="219"/>
        <v>0</v>
      </c>
      <c r="K933" s="1694">
        <f t="shared" si="219"/>
        <v>0</v>
      </c>
      <c r="L933" s="1694">
        <f t="shared" si="219"/>
        <v>0</v>
      </c>
      <c r="M933" s="1694">
        <f t="shared" si="219"/>
        <v>0</v>
      </c>
      <c r="N933" s="1694">
        <f t="shared" si="219"/>
        <v>0</v>
      </c>
      <c r="O933" s="1694">
        <f t="shared" si="219"/>
        <v>0</v>
      </c>
      <c r="P933" s="1694">
        <f t="shared" si="219"/>
        <v>0</v>
      </c>
      <c r="Q933" s="1694">
        <f t="shared" si="219"/>
        <v>0</v>
      </c>
      <c r="R933" s="1694">
        <f t="shared" si="219"/>
        <v>0</v>
      </c>
      <c r="S933" s="1694">
        <f t="shared" si="219"/>
        <v>0</v>
      </c>
      <c r="T933" s="1694">
        <f t="shared" si="219"/>
        <v>0</v>
      </c>
      <c r="U933" s="1694">
        <f t="shared" si="219"/>
        <v>0</v>
      </c>
      <c r="V933" s="1694">
        <f t="shared" si="219"/>
        <v>0</v>
      </c>
      <c r="W933" s="1694">
        <f t="shared" si="219"/>
        <v>0</v>
      </c>
      <c r="X933" s="1694">
        <f t="shared" si="219"/>
        <v>0</v>
      </c>
    </row>
    <row r="934" spans="1:24" x14ac:dyDescent="0.25">
      <c r="A934" t="s">
        <v>1914</v>
      </c>
      <c r="B934" t="s">
        <v>1954</v>
      </c>
      <c r="C934" t="s">
        <v>1971</v>
      </c>
      <c r="E934" s="1694">
        <f t="shared" si="197"/>
        <v>0</v>
      </c>
      <c r="F934" s="1694">
        <f t="shared" ref="F934:X934" si="220">F866</f>
        <v>0</v>
      </c>
      <c r="G934" s="1694">
        <f t="shared" si="220"/>
        <v>0</v>
      </c>
      <c r="H934" s="1694">
        <f t="shared" si="220"/>
        <v>0</v>
      </c>
      <c r="I934" s="1694">
        <f t="shared" si="220"/>
        <v>0</v>
      </c>
      <c r="J934" s="1694">
        <f t="shared" si="220"/>
        <v>0</v>
      </c>
      <c r="K934" s="1694">
        <f t="shared" si="220"/>
        <v>0</v>
      </c>
      <c r="L934" s="1694">
        <f t="shared" si="220"/>
        <v>0</v>
      </c>
      <c r="M934" s="1694">
        <f t="shared" si="220"/>
        <v>0</v>
      </c>
      <c r="N934" s="1694">
        <f t="shared" si="220"/>
        <v>0</v>
      </c>
      <c r="O934" s="1694">
        <f t="shared" si="220"/>
        <v>0</v>
      </c>
      <c r="P934" s="1694">
        <f t="shared" si="220"/>
        <v>0</v>
      </c>
      <c r="Q934" s="1694">
        <f t="shared" si="220"/>
        <v>0</v>
      </c>
      <c r="R934" s="1694">
        <f t="shared" si="220"/>
        <v>0</v>
      </c>
      <c r="S934" s="1694">
        <f t="shared" si="220"/>
        <v>0</v>
      </c>
      <c r="T934" s="1694">
        <f t="shared" si="220"/>
        <v>0</v>
      </c>
      <c r="U934" s="1694">
        <f t="shared" si="220"/>
        <v>0</v>
      </c>
      <c r="V934" s="1694">
        <f t="shared" si="220"/>
        <v>0</v>
      </c>
      <c r="W934" s="1694">
        <f t="shared" si="220"/>
        <v>0</v>
      </c>
      <c r="X934" s="1694">
        <f t="shared" si="220"/>
        <v>0</v>
      </c>
    </row>
    <row r="935" spans="1:24" x14ac:dyDescent="0.25">
      <c r="A935" t="s">
        <v>1914</v>
      </c>
      <c r="B935" t="s">
        <v>1954</v>
      </c>
      <c r="C935" t="s">
        <v>1972</v>
      </c>
      <c r="E935" s="1694">
        <f t="shared" si="197"/>
        <v>0</v>
      </c>
      <c r="F935" s="1694">
        <f t="shared" ref="F935:X935" si="221">F867</f>
        <v>0</v>
      </c>
      <c r="G935" s="1694">
        <f t="shared" si="221"/>
        <v>0</v>
      </c>
      <c r="H935" s="1694">
        <f t="shared" si="221"/>
        <v>0</v>
      </c>
      <c r="I935" s="1694">
        <f t="shared" si="221"/>
        <v>0</v>
      </c>
      <c r="J935" s="1694">
        <f t="shared" si="221"/>
        <v>0</v>
      </c>
      <c r="K935" s="1694">
        <f t="shared" si="221"/>
        <v>0</v>
      </c>
      <c r="L935" s="1694">
        <f t="shared" si="221"/>
        <v>0</v>
      </c>
      <c r="M935" s="1694">
        <f t="shared" si="221"/>
        <v>0</v>
      </c>
      <c r="N935" s="1694">
        <f t="shared" si="221"/>
        <v>0</v>
      </c>
      <c r="O935" s="1694">
        <f t="shared" si="221"/>
        <v>0</v>
      </c>
      <c r="P935" s="1694">
        <f t="shared" si="221"/>
        <v>0</v>
      </c>
      <c r="Q935" s="1694">
        <f t="shared" si="221"/>
        <v>0</v>
      </c>
      <c r="R935" s="1694">
        <f t="shared" si="221"/>
        <v>0</v>
      </c>
      <c r="S935" s="1694">
        <f t="shared" si="221"/>
        <v>0</v>
      </c>
      <c r="T935" s="1694">
        <f t="shared" si="221"/>
        <v>0</v>
      </c>
      <c r="U935" s="1694">
        <f t="shared" si="221"/>
        <v>0</v>
      </c>
      <c r="V935" s="1694">
        <f t="shared" si="221"/>
        <v>0</v>
      </c>
      <c r="W935" s="1694">
        <f t="shared" si="221"/>
        <v>0</v>
      </c>
      <c r="X935" s="1694">
        <f t="shared" si="221"/>
        <v>0</v>
      </c>
    </row>
    <row r="936" spans="1:24" x14ac:dyDescent="0.25">
      <c r="A936" t="s">
        <v>1914</v>
      </c>
      <c r="B936" t="s">
        <v>1954</v>
      </c>
      <c r="C936" t="s">
        <v>1973</v>
      </c>
      <c r="E936" s="1694">
        <f t="shared" si="197"/>
        <v>0</v>
      </c>
      <c r="F936" s="1694">
        <f t="shared" ref="F936:X936" si="222">F868</f>
        <v>0</v>
      </c>
      <c r="G936" s="1694">
        <f t="shared" si="222"/>
        <v>0</v>
      </c>
      <c r="H936" s="1694">
        <f t="shared" si="222"/>
        <v>0</v>
      </c>
      <c r="I936" s="1694">
        <f t="shared" si="222"/>
        <v>0</v>
      </c>
      <c r="J936" s="1694">
        <f t="shared" si="222"/>
        <v>0</v>
      </c>
      <c r="K936" s="1694">
        <f t="shared" si="222"/>
        <v>0</v>
      </c>
      <c r="L936" s="1694">
        <f t="shared" si="222"/>
        <v>0</v>
      </c>
      <c r="M936" s="1694">
        <f t="shared" si="222"/>
        <v>0</v>
      </c>
      <c r="N936" s="1694">
        <f t="shared" si="222"/>
        <v>0</v>
      </c>
      <c r="O936" s="1694">
        <f t="shared" si="222"/>
        <v>0</v>
      </c>
      <c r="P936" s="1694">
        <f t="shared" si="222"/>
        <v>0</v>
      </c>
      <c r="Q936" s="1694">
        <f t="shared" si="222"/>
        <v>0</v>
      </c>
      <c r="R936" s="1694">
        <f t="shared" si="222"/>
        <v>0</v>
      </c>
      <c r="S936" s="1694">
        <f t="shared" si="222"/>
        <v>0</v>
      </c>
      <c r="T936" s="1694">
        <f t="shared" si="222"/>
        <v>0</v>
      </c>
      <c r="U936" s="1694">
        <f t="shared" si="222"/>
        <v>0</v>
      </c>
      <c r="V936" s="1694">
        <f t="shared" si="222"/>
        <v>0</v>
      </c>
      <c r="W936" s="1694">
        <f t="shared" si="222"/>
        <v>0</v>
      </c>
      <c r="X936" s="1694">
        <f t="shared" si="222"/>
        <v>0</v>
      </c>
    </row>
    <row r="937" spans="1:24" x14ac:dyDescent="0.25">
      <c r="A937" t="s">
        <v>1914</v>
      </c>
      <c r="B937" t="s">
        <v>1954</v>
      </c>
      <c r="C937" t="s">
        <v>1974</v>
      </c>
      <c r="E937" s="1694">
        <f>E869+E870</f>
        <v>0</v>
      </c>
      <c r="F937" s="1694">
        <f t="shared" ref="F937:X937" si="223">F869+F870</f>
        <v>0</v>
      </c>
      <c r="G937" s="1694">
        <f t="shared" si="223"/>
        <v>0</v>
      </c>
      <c r="H937" s="1694">
        <f t="shared" si="223"/>
        <v>0</v>
      </c>
      <c r="I937" s="1694">
        <f t="shared" si="223"/>
        <v>0</v>
      </c>
      <c r="J937" s="1694">
        <f t="shared" si="223"/>
        <v>0</v>
      </c>
      <c r="K937" s="1694">
        <f t="shared" si="223"/>
        <v>0</v>
      </c>
      <c r="L937" s="1694">
        <f t="shared" si="223"/>
        <v>0</v>
      </c>
      <c r="M937" s="1694">
        <f t="shared" si="223"/>
        <v>0</v>
      </c>
      <c r="N937" s="1694">
        <f t="shared" si="223"/>
        <v>0</v>
      </c>
      <c r="O937" s="1694">
        <f t="shared" si="223"/>
        <v>0</v>
      </c>
      <c r="P937" s="1694">
        <f t="shared" si="223"/>
        <v>0</v>
      </c>
      <c r="Q937" s="1694">
        <f t="shared" si="223"/>
        <v>0</v>
      </c>
      <c r="R937" s="1694">
        <f t="shared" si="223"/>
        <v>0</v>
      </c>
      <c r="S937" s="1694">
        <f t="shared" si="223"/>
        <v>0</v>
      </c>
      <c r="T937" s="1694">
        <f t="shared" si="223"/>
        <v>0</v>
      </c>
      <c r="U937" s="1694">
        <f t="shared" si="223"/>
        <v>0</v>
      </c>
      <c r="V937" s="1694">
        <f t="shared" si="223"/>
        <v>0</v>
      </c>
      <c r="W937" s="1694">
        <f t="shared" si="223"/>
        <v>0</v>
      </c>
      <c r="X937" s="1694">
        <f t="shared" si="223"/>
        <v>0</v>
      </c>
    </row>
    <row r="938" spans="1:24" x14ac:dyDescent="0.25">
      <c r="A938" t="s">
        <v>1914</v>
      </c>
      <c r="B938" t="s">
        <v>1975</v>
      </c>
      <c r="C938" t="s">
        <v>1976</v>
      </c>
      <c r="E938" s="1694">
        <f>E871+E872</f>
        <v>0</v>
      </c>
      <c r="F938" s="1694">
        <f t="shared" ref="F938:X938" si="224">F871+F872</f>
        <v>0</v>
      </c>
      <c r="G938" s="1694">
        <f t="shared" si="224"/>
        <v>0</v>
      </c>
      <c r="H938" s="1694">
        <f t="shared" si="224"/>
        <v>0</v>
      </c>
      <c r="I938" s="1694">
        <f t="shared" si="224"/>
        <v>0</v>
      </c>
      <c r="J938" s="1694">
        <f t="shared" si="224"/>
        <v>0</v>
      </c>
      <c r="K938" s="1694">
        <f t="shared" si="224"/>
        <v>0</v>
      </c>
      <c r="L938" s="1694">
        <f t="shared" si="224"/>
        <v>0</v>
      </c>
      <c r="M938" s="1694">
        <f t="shared" si="224"/>
        <v>0</v>
      </c>
      <c r="N938" s="1694">
        <f t="shared" si="224"/>
        <v>0</v>
      </c>
      <c r="O938" s="1694">
        <f t="shared" si="224"/>
        <v>0</v>
      </c>
      <c r="P938" s="1694">
        <f t="shared" si="224"/>
        <v>0</v>
      </c>
      <c r="Q938" s="1694">
        <f t="shared" si="224"/>
        <v>0</v>
      </c>
      <c r="R938" s="1694">
        <f t="shared" si="224"/>
        <v>0</v>
      </c>
      <c r="S938" s="1694">
        <f t="shared" si="224"/>
        <v>0</v>
      </c>
      <c r="T938" s="1694">
        <f t="shared" si="224"/>
        <v>0</v>
      </c>
      <c r="U938" s="1694">
        <f t="shared" si="224"/>
        <v>0</v>
      </c>
      <c r="V938" s="1694">
        <f t="shared" si="224"/>
        <v>0</v>
      </c>
      <c r="W938" s="1694">
        <f t="shared" si="224"/>
        <v>0</v>
      </c>
      <c r="X938" s="1694">
        <f t="shared" si="224"/>
        <v>0</v>
      </c>
    </row>
    <row r="939" spans="1:24" x14ac:dyDescent="0.25">
      <c r="A939" t="s">
        <v>1914</v>
      </c>
      <c r="B939" t="s">
        <v>1975</v>
      </c>
      <c r="C939" t="s">
        <v>1977</v>
      </c>
      <c r="E939" s="1694">
        <f>E873</f>
        <v>0</v>
      </c>
      <c r="F939" s="1694">
        <f t="shared" ref="F939:X939" si="225">F873</f>
        <v>0</v>
      </c>
      <c r="G939" s="1694">
        <f t="shared" si="225"/>
        <v>0</v>
      </c>
      <c r="H939" s="1694">
        <f t="shared" si="225"/>
        <v>0</v>
      </c>
      <c r="I939" s="1694">
        <f t="shared" si="225"/>
        <v>0</v>
      </c>
      <c r="J939" s="1694">
        <f t="shared" si="225"/>
        <v>0</v>
      </c>
      <c r="K939" s="1694">
        <f t="shared" si="225"/>
        <v>0</v>
      </c>
      <c r="L939" s="1694">
        <f t="shared" si="225"/>
        <v>0</v>
      </c>
      <c r="M939" s="1694">
        <f t="shared" si="225"/>
        <v>0</v>
      </c>
      <c r="N939" s="1694">
        <f t="shared" si="225"/>
        <v>0</v>
      </c>
      <c r="O939" s="1694">
        <f t="shared" si="225"/>
        <v>0</v>
      </c>
      <c r="P939" s="1694">
        <f t="shared" si="225"/>
        <v>0</v>
      </c>
      <c r="Q939" s="1694">
        <f t="shared" si="225"/>
        <v>0</v>
      </c>
      <c r="R939" s="1694">
        <f t="shared" si="225"/>
        <v>0</v>
      </c>
      <c r="S939" s="1694">
        <f t="shared" si="225"/>
        <v>0</v>
      </c>
      <c r="T939" s="1694">
        <f t="shared" si="225"/>
        <v>0</v>
      </c>
      <c r="U939" s="1694">
        <f t="shared" si="225"/>
        <v>0</v>
      </c>
      <c r="V939" s="1694">
        <f t="shared" si="225"/>
        <v>0</v>
      </c>
      <c r="W939" s="1694">
        <f t="shared" si="225"/>
        <v>0</v>
      </c>
      <c r="X939" s="1694">
        <f t="shared" si="225"/>
        <v>0</v>
      </c>
    </row>
    <row r="940" spans="1:24" x14ac:dyDescent="0.25">
      <c r="A940" t="s">
        <v>1914</v>
      </c>
      <c r="B940" t="s">
        <v>1975</v>
      </c>
      <c r="C940" t="s">
        <v>1978</v>
      </c>
      <c r="E940" s="1694">
        <f>E874+E880</f>
        <v>0</v>
      </c>
      <c r="F940" s="1694">
        <f t="shared" ref="F940:X940" si="226">F874+F880</f>
        <v>0</v>
      </c>
      <c r="G940" s="1694">
        <f t="shared" si="226"/>
        <v>0</v>
      </c>
      <c r="H940" s="1694">
        <f t="shared" si="226"/>
        <v>0</v>
      </c>
      <c r="I940" s="1694">
        <f t="shared" si="226"/>
        <v>0</v>
      </c>
      <c r="J940" s="1694">
        <f t="shared" si="226"/>
        <v>0</v>
      </c>
      <c r="K940" s="1694">
        <f t="shared" si="226"/>
        <v>0</v>
      </c>
      <c r="L940" s="1694">
        <f t="shared" si="226"/>
        <v>0</v>
      </c>
      <c r="M940" s="1694">
        <f t="shared" si="226"/>
        <v>0</v>
      </c>
      <c r="N940" s="1694">
        <f t="shared" si="226"/>
        <v>0</v>
      </c>
      <c r="O940" s="1694">
        <f t="shared" si="226"/>
        <v>0</v>
      </c>
      <c r="P940" s="1694">
        <f t="shared" si="226"/>
        <v>0</v>
      </c>
      <c r="Q940" s="1694">
        <f t="shared" si="226"/>
        <v>0</v>
      </c>
      <c r="R940" s="1694">
        <f t="shared" si="226"/>
        <v>0</v>
      </c>
      <c r="S940" s="1694">
        <f t="shared" si="226"/>
        <v>0</v>
      </c>
      <c r="T940" s="1694">
        <f t="shared" si="226"/>
        <v>0</v>
      </c>
      <c r="U940" s="1694">
        <f t="shared" si="226"/>
        <v>0</v>
      </c>
      <c r="V940" s="1694">
        <f t="shared" si="226"/>
        <v>0</v>
      </c>
      <c r="W940" s="1694">
        <f t="shared" si="226"/>
        <v>0</v>
      </c>
      <c r="X940" s="1694">
        <f t="shared" si="226"/>
        <v>0</v>
      </c>
    </row>
    <row r="941" spans="1:24" x14ac:dyDescent="0.25">
      <c r="A941" t="s">
        <v>1914</v>
      </c>
      <c r="B941" t="s">
        <v>1975</v>
      </c>
      <c r="C941" t="s">
        <v>1979</v>
      </c>
      <c r="E941" s="1694">
        <f>E875</f>
        <v>0</v>
      </c>
      <c r="F941" s="1694">
        <f t="shared" ref="F941:X941" si="227">F875</f>
        <v>0</v>
      </c>
      <c r="G941" s="1694">
        <f t="shared" si="227"/>
        <v>0</v>
      </c>
      <c r="H941" s="1694">
        <f t="shared" si="227"/>
        <v>0</v>
      </c>
      <c r="I941" s="1694">
        <f t="shared" si="227"/>
        <v>0</v>
      </c>
      <c r="J941" s="1694">
        <f t="shared" si="227"/>
        <v>0</v>
      </c>
      <c r="K941" s="1694">
        <f t="shared" si="227"/>
        <v>0</v>
      </c>
      <c r="L941" s="1694">
        <f t="shared" si="227"/>
        <v>0</v>
      </c>
      <c r="M941" s="1694">
        <f t="shared" si="227"/>
        <v>0</v>
      </c>
      <c r="N941" s="1694">
        <f t="shared" si="227"/>
        <v>0</v>
      </c>
      <c r="O941" s="1694">
        <f t="shared" si="227"/>
        <v>0</v>
      </c>
      <c r="P941" s="1694">
        <f t="shared" si="227"/>
        <v>0</v>
      </c>
      <c r="Q941" s="1694">
        <f t="shared" si="227"/>
        <v>0</v>
      </c>
      <c r="R941" s="1694">
        <f t="shared" si="227"/>
        <v>0</v>
      </c>
      <c r="S941" s="1694">
        <f t="shared" si="227"/>
        <v>0</v>
      </c>
      <c r="T941" s="1694">
        <f t="shared" si="227"/>
        <v>0</v>
      </c>
      <c r="U941" s="1694">
        <f t="shared" si="227"/>
        <v>0</v>
      </c>
      <c r="V941" s="1694">
        <f t="shared" si="227"/>
        <v>0</v>
      </c>
      <c r="W941" s="1694">
        <f t="shared" si="227"/>
        <v>0</v>
      </c>
      <c r="X941" s="1694">
        <f t="shared" si="227"/>
        <v>0</v>
      </c>
    </row>
    <row r="942" spans="1:24" x14ac:dyDescent="0.25">
      <c r="A942" t="s">
        <v>1914</v>
      </c>
      <c r="B942" t="s">
        <v>1975</v>
      </c>
      <c r="C942" t="s">
        <v>1980</v>
      </c>
      <c r="E942" s="1694">
        <f>E876</f>
        <v>0</v>
      </c>
      <c r="F942" s="1694">
        <f t="shared" ref="F942:X942" si="228">F876</f>
        <v>0</v>
      </c>
      <c r="G942" s="1694">
        <f t="shared" si="228"/>
        <v>0</v>
      </c>
      <c r="H942" s="1694">
        <f t="shared" si="228"/>
        <v>0</v>
      </c>
      <c r="I942" s="1694">
        <f t="shared" si="228"/>
        <v>0</v>
      </c>
      <c r="J942" s="1694">
        <f t="shared" si="228"/>
        <v>0</v>
      </c>
      <c r="K942" s="1694">
        <f t="shared" si="228"/>
        <v>0</v>
      </c>
      <c r="L942" s="1694">
        <f t="shared" si="228"/>
        <v>0</v>
      </c>
      <c r="M942" s="1694">
        <f t="shared" si="228"/>
        <v>0</v>
      </c>
      <c r="N942" s="1694">
        <f t="shared" si="228"/>
        <v>0</v>
      </c>
      <c r="O942" s="1694">
        <f t="shared" si="228"/>
        <v>0</v>
      </c>
      <c r="P942" s="1694">
        <f t="shared" si="228"/>
        <v>0</v>
      </c>
      <c r="Q942" s="1694">
        <f t="shared" si="228"/>
        <v>0</v>
      </c>
      <c r="R942" s="1694">
        <f t="shared" si="228"/>
        <v>0</v>
      </c>
      <c r="S942" s="1694">
        <f t="shared" si="228"/>
        <v>0</v>
      </c>
      <c r="T942" s="1694">
        <f t="shared" si="228"/>
        <v>0</v>
      </c>
      <c r="U942" s="1694">
        <f t="shared" si="228"/>
        <v>0</v>
      </c>
      <c r="V942" s="1694">
        <f t="shared" si="228"/>
        <v>0</v>
      </c>
      <c r="W942" s="1694">
        <f t="shared" si="228"/>
        <v>0</v>
      </c>
      <c r="X942" s="1694">
        <f t="shared" si="228"/>
        <v>0</v>
      </c>
    </row>
    <row r="943" spans="1:24" x14ac:dyDescent="0.25">
      <c r="A943" t="s">
        <v>1914</v>
      </c>
      <c r="B943" t="s">
        <v>1975</v>
      </c>
      <c r="C943" t="s">
        <v>1981</v>
      </c>
      <c r="E943" s="1694">
        <f>E877</f>
        <v>0</v>
      </c>
      <c r="F943" s="1694">
        <f t="shared" ref="F943:X943" si="229">F877</f>
        <v>0</v>
      </c>
      <c r="G943" s="1694">
        <f t="shared" si="229"/>
        <v>0</v>
      </c>
      <c r="H943" s="1694">
        <f t="shared" si="229"/>
        <v>0</v>
      </c>
      <c r="I943" s="1694">
        <f t="shared" si="229"/>
        <v>0</v>
      </c>
      <c r="J943" s="1694">
        <f t="shared" si="229"/>
        <v>0</v>
      </c>
      <c r="K943" s="1694">
        <f t="shared" si="229"/>
        <v>0</v>
      </c>
      <c r="L943" s="1694">
        <f t="shared" si="229"/>
        <v>0</v>
      </c>
      <c r="M943" s="1694">
        <f t="shared" si="229"/>
        <v>0</v>
      </c>
      <c r="N943" s="1694">
        <f t="shared" si="229"/>
        <v>0</v>
      </c>
      <c r="O943" s="1694">
        <f t="shared" si="229"/>
        <v>0</v>
      </c>
      <c r="P943" s="1694">
        <f t="shared" si="229"/>
        <v>0</v>
      </c>
      <c r="Q943" s="1694">
        <f t="shared" si="229"/>
        <v>0</v>
      </c>
      <c r="R943" s="1694">
        <f t="shared" si="229"/>
        <v>0</v>
      </c>
      <c r="S943" s="1694">
        <f t="shared" si="229"/>
        <v>0</v>
      </c>
      <c r="T943" s="1694">
        <f t="shared" si="229"/>
        <v>0</v>
      </c>
      <c r="U943" s="1694">
        <f t="shared" si="229"/>
        <v>0</v>
      </c>
      <c r="V943" s="1694">
        <f t="shared" si="229"/>
        <v>0</v>
      </c>
      <c r="W943" s="1694">
        <f t="shared" si="229"/>
        <v>0</v>
      </c>
      <c r="X943" s="1694">
        <f t="shared" si="229"/>
        <v>0</v>
      </c>
    </row>
    <row r="944" spans="1:24" x14ac:dyDescent="0.25">
      <c r="A944" t="s">
        <v>1914</v>
      </c>
      <c r="B944" t="s">
        <v>1975</v>
      </c>
      <c r="C944" t="s">
        <v>1982</v>
      </c>
      <c r="E944" s="1694">
        <f>E878</f>
        <v>0</v>
      </c>
      <c r="F944" s="1694">
        <f t="shared" ref="F944:X944" si="230">F878</f>
        <v>0</v>
      </c>
      <c r="G944" s="1694">
        <f t="shared" si="230"/>
        <v>0</v>
      </c>
      <c r="H944" s="1694">
        <f t="shared" si="230"/>
        <v>0</v>
      </c>
      <c r="I944" s="1694">
        <f t="shared" si="230"/>
        <v>0</v>
      </c>
      <c r="J944" s="1694">
        <f t="shared" si="230"/>
        <v>0</v>
      </c>
      <c r="K944" s="1694">
        <f t="shared" si="230"/>
        <v>0</v>
      </c>
      <c r="L944" s="1694">
        <f t="shared" si="230"/>
        <v>0</v>
      </c>
      <c r="M944" s="1694">
        <f t="shared" si="230"/>
        <v>0</v>
      </c>
      <c r="N944" s="1694">
        <f t="shared" si="230"/>
        <v>0</v>
      </c>
      <c r="O944" s="1694">
        <f t="shared" si="230"/>
        <v>0</v>
      </c>
      <c r="P944" s="1694">
        <f t="shared" si="230"/>
        <v>0</v>
      </c>
      <c r="Q944" s="1694">
        <f t="shared" si="230"/>
        <v>0</v>
      </c>
      <c r="R944" s="1694">
        <f t="shared" si="230"/>
        <v>0</v>
      </c>
      <c r="S944" s="1694">
        <f t="shared" si="230"/>
        <v>0</v>
      </c>
      <c r="T944" s="1694">
        <f t="shared" si="230"/>
        <v>0</v>
      </c>
      <c r="U944" s="1694">
        <f t="shared" si="230"/>
        <v>0</v>
      </c>
      <c r="V944" s="1694">
        <f t="shared" si="230"/>
        <v>0</v>
      </c>
      <c r="W944" s="1694">
        <f t="shared" si="230"/>
        <v>0</v>
      </c>
      <c r="X944" s="1694">
        <f t="shared" si="230"/>
        <v>0</v>
      </c>
    </row>
    <row r="945" spans="1:24" x14ac:dyDescent="0.25">
      <c r="A945" t="s">
        <v>1914</v>
      </c>
      <c r="B945" t="s">
        <v>1975</v>
      </c>
      <c r="C945" t="s">
        <v>1983</v>
      </c>
      <c r="E945" s="1694">
        <f>E879</f>
        <v>0</v>
      </c>
      <c r="F945" s="1694">
        <f t="shared" ref="F945:X945" si="231">F879</f>
        <v>0</v>
      </c>
      <c r="G945" s="1694">
        <f t="shared" si="231"/>
        <v>0</v>
      </c>
      <c r="H945" s="1694">
        <f t="shared" si="231"/>
        <v>0</v>
      </c>
      <c r="I945" s="1694">
        <f t="shared" si="231"/>
        <v>0</v>
      </c>
      <c r="J945" s="1694">
        <f t="shared" si="231"/>
        <v>0</v>
      </c>
      <c r="K945" s="1694">
        <f t="shared" si="231"/>
        <v>0</v>
      </c>
      <c r="L945" s="1694">
        <f t="shared" si="231"/>
        <v>0</v>
      </c>
      <c r="M945" s="1694">
        <f t="shared" si="231"/>
        <v>0</v>
      </c>
      <c r="N945" s="1694">
        <f t="shared" si="231"/>
        <v>0</v>
      </c>
      <c r="O945" s="1694">
        <f t="shared" si="231"/>
        <v>0</v>
      </c>
      <c r="P945" s="1694">
        <f t="shared" si="231"/>
        <v>0</v>
      </c>
      <c r="Q945" s="1694">
        <f t="shared" si="231"/>
        <v>0</v>
      </c>
      <c r="R945" s="1694">
        <f t="shared" si="231"/>
        <v>0</v>
      </c>
      <c r="S945" s="1694">
        <f t="shared" si="231"/>
        <v>0</v>
      </c>
      <c r="T945" s="1694">
        <f t="shared" si="231"/>
        <v>0</v>
      </c>
      <c r="U945" s="1694">
        <f t="shared" si="231"/>
        <v>0</v>
      </c>
      <c r="V945" s="1694">
        <f t="shared" si="231"/>
        <v>0</v>
      </c>
      <c r="W945" s="1694">
        <f t="shared" si="231"/>
        <v>0</v>
      </c>
      <c r="X945" s="1694">
        <f t="shared" si="231"/>
        <v>0</v>
      </c>
    </row>
    <row r="946" spans="1:24" x14ac:dyDescent="0.25">
      <c r="A946" t="s">
        <v>1914</v>
      </c>
      <c r="C946" t="s">
        <v>682</v>
      </c>
      <c r="E946" s="1694">
        <f>E881</f>
        <v>0</v>
      </c>
      <c r="F946" s="1694">
        <f t="shared" ref="F946:X946" si="232">F881</f>
        <v>0</v>
      </c>
      <c r="G946" s="1694">
        <f t="shared" si="232"/>
        <v>0</v>
      </c>
      <c r="H946" s="1694">
        <f t="shared" si="232"/>
        <v>0</v>
      </c>
      <c r="I946" s="1694">
        <f t="shared" si="232"/>
        <v>0</v>
      </c>
      <c r="J946" s="1694">
        <f t="shared" si="232"/>
        <v>0</v>
      </c>
      <c r="K946" s="1694">
        <f t="shared" si="232"/>
        <v>0</v>
      </c>
      <c r="L946" s="1694">
        <f t="shared" si="232"/>
        <v>0</v>
      </c>
      <c r="M946" s="1694">
        <f t="shared" si="232"/>
        <v>0</v>
      </c>
      <c r="N946" s="1694">
        <f t="shared" si="232"/>
        <v>0</v>
      </c>
      <c r="O946" s="1694">
        <f t="shared" si="232"/>
        <v>0</v>
      </c>
      <c r="P946" s="1694">
        <f t="shared" si="232"/>
        <v>0</v>
      </c>
      <c r="Q946" s="1694">
        <f t="shared" si="232"/>
        <v>0</v>
      </c>
      <c r="R946" s="1694">
        <f t="shared" si="232"/>
        <v>0</v>
      </c>
      <c r="S946" s="1694">
        <f t="shared" si="232"/>
        <v>0</v>
      </c>
      <c r="T946" s="1694">
        <f t="shared" si="232"/>
        <v>0</v>
      </c>
      <c r="U946" s="1694">
        <f t="shared" si="232"/>
        <v>0</v>
      </c>
      <c r="V946" s="1694">
        <f t="shared" si="232"/>
        <v>0</v>
      </c>
      <c r="W946" s="1694">
        <f t="shared" si="232"/>
        <v>0</v>
      </c>
      <c r="X946" s="1694">
        <f t="shared" si="232"/>
        <v>0</v>
      </c>
    </row>
    <row r="949" spans="1:24" ht="13.8" x14ac:dyDescent="0.25">
      <c r="A949" s="1651" t="s">
        <v>1181</v>
      </c>
      <c r="B949" s="1651" t="s">
        <v>1984</v>
      </c>
      <c r="C949" s="1651"/>
      <c r="D949" s="1651"/>
      <c r="E949" s="1651"/>
      <c r="F949" s="1651"/>
      <c r="G949" s="1651"/>
    </row>
    <row r="950" spans="1:24" x14ac:dyDescent="0.25">
      <c r="A950" s="1654" t="s">
        <v>1985</v>
      </c>
      <c r="B950" s="1654" t="s">
        <v>1986</v>
      </c>
      <c r="C950" s="1654" t="s">
        <v>1987</v>
      </c>
      <c r="D950" s="1654" t="s">
        <v>569</v>
      </c>
      <c r="E950" s="1654" t="s">
        <v>1988</v>
      </c>
      <c r="F950" s="1654" t="s">
        <v>1612</v>
      </c>
      <c r="G950" s="1654" t="s">
        <v>571</v>
      </c>
    </row>
    <row r="951" spans="1:24" x14ac:dyDescent="0.25">
      <c r="A951">
        <v>1</v>
      </c>
      <c r="B951" s="237">
        <v>1</v>
      </c>
      <c r="C951" t="s">
        <v>254</v>
      </c>
      <c r="D951" s="1697">
        <v>0.2</v>
      </c>
      <c r="E951" t="s">
        <v>298</v>
      </c>
      <c r="F951" t="s">
        <v>318</v>
      </c>
      <c r="G951" s="1698" t="s">
        <v>300</v>
      </c>
    </row>
    <row r="952" spans="1:24" x14ac:dyDescent="0.25">
      <c r="A952">
        <v>2</v>
      </c>
      <c r="B952" s="237">
        <v>2</v>
      </c>
      <c r="C952" t="s">
        <v>256</v>
      </c>
      <c r="D952" s="1697">
        <v>0.3</v>
      </c>
      <c r="E952" t="s">
        <v>314</v>
      </c>
      <c r="F952" t="s">
        <v>334</v>
      </c>
      <c r="G952" s="1698" t="s">
        <v>315</v>
      </c>
    </row>
    <row r="953" spans="1:24" x14ac:dyDescent="0.25">
      <c r="A953">
        <v>3</v>
      </c>
      <c r="B953" s="237">
        <v>3</v>
      </c>
      <c r="C953" t="s">
        <v>258</v>
      </c>
      <c r="D953" s="1697">
        <v>0.4</v>
      </c>
      <c r="E953" t="s">
        <v>330</v>
      </c>
      <c r="F953" t="s">
        <v>2756</v>
      </c>
      <c r="G953" s="1698" t="s">
        <v>331</v>
      </c>
    </row>
    <row r="954" spans="1:24" x14ac:dyDescent="0.25">
      <c r="A954">
        <v>4</v>
      </c>
      <c r="B954" s="237">
        <v>4</v>
      </c>
      <c r="C954" t="s">
        <v>259</v>
      </c>
      <c r="D954" s="1697">
        <v>0.5</v>
      </c>
      <c r="E954" t="s">
        <v>343</v>
      </c>
      <c r="F954" t="s">
        <v>2080</v>
      </c>
      <c r="G954" s="1698" t="s">
        <v>344</v>
      </c>
    </row>
    <row r="955" spans="1:24" x14ac:dyDescent="0.25">
      <c r="A955">
        <v>5</v>
      </c>
      <c r="B955" s="237">
        <v>5</v>
      </c>
      <c r="C955" t="s">
        <v>260</v>
      </c>
      <c r="D955" s="1697">
        <v>0.6</v>
      </c>
      <c r="E955" t="s">
        <v>353</v>
      </c>
      <c r="F955" t="s">
        <v>346</v>
      </c>
      <c r="G955" s="1698" t="s">
        <v>354</v>
      </c>
    </row>
    <row r="956" spans="1:24" x14ac:dyDescent="0.25">
      <c r="A956">
        <v>6</v>
      </c>
      <c r="B956" s="237">
        <v>6</v>
      </c>
      <c r="C956" t="s">
        <v>261</v>
      </c>
      <c r="D956" s="1697">
        <v>0.7</v>
      </c>
      <c r="E956" t="s">
        <v>363</v>
      </c>
      <c r="F956" t="s">
        <v>356</v>
      </c>
      <c r="G956" s="1698" t="s">
        <v>364</v>
      </c>
    </row>
    <row r="957" spans="1:24" x14ac:dyDescent="0.25">
      <c r="A957">
        <v>7</v>
      </c>
      <c r="B957" s="237">
        <v>7</v>
      </c>
      <c r="C957" t="s">
        <v>262</v>
      </c>
      <c r="D957" s="1697">
        <v>0.8</v>
      </c>
      <c r="E957" t="s">
        <v>372</v>
      </c>
      <c r="F957" t="s">
        <v>366</v>
      </c>
      <c r="G957" s="1698" t="s">
        <v>373</v>
      </c>
    </row>
    <row r="958" spans="1:24" x14ac:dyDescent="0.25">
      <c r="A958">
        <v>8</v>
      </c>
      <c r="B958" s="237">
        <v>8</v>
      </c>
      <c r="C958" t="s">
        <v>263</v>
      </c>
      <c r="E958" t="s">
        <v>381</v>
      </c>
      <c r="F958" t="s">
        <v>375</v>
      </c>
      <c r="G958" s="1698" t="s">
        <v>382</v>
      </c>
    </row>
    <row r="959" spans="1:24" x14ac:dyDescent="0.25">
      <c r="B959" s="237">
        <v>9</v>
      </c>
      <c r="C959" t="s">
        <v>264</v>
      </c>
      <c r="F959" t="s">
        <v>384</v>
      </c>
    </row>
    <row r="960" spans="1:24" x14ac:dyDescent="0.25">
      <c r="B960" s="237">
        <v>10</v>
      </c>
      <c r="C960" t="s">
        <v>265</v>
      </c>
      <c r="F960" t="s">
        <v>389</v>
      </c>
    </row>
    <row r="961" spans="2:6" x14ac:dyDescent="0.25">
      <c r="B961" s="237">
        <v>11</v>
      </c>
      <c r="C961" t="s">
        <v>266</v>
      </c>
      <c r="F961" t="s">
        <v>394</v>
      </c>
    </row>
    <row r="962" spans="2:6" x14ac:dyDescent="0.25">
      <c r="B962" s="237">
        <v>12</v>
      </c>
      <c r="C962" t="s">
        <v>267</v>
      </c>
      <c r="F962" t="s">
        <v>400</v>
      </c>
    </row>
    <row r="963" spans="2:6" x14ac:dyDescent="0.25">
      <c r="B963" s="237">
        <v>13</v>
      </c>
      <c r="C963" t="s">
        <v>268</v>
      </c>
      <c r="F963" t="s">
        <v>405</v>
      </c>
    </row>
    <row r="964" spans="2:6" x14ac:dyDescent="0.25">
      <c r="B964" s="237">
        <v>14</v>
      </c>
      <c r="C964" t="s">
        <v>269</v>
      </c>
      <c r="F964" t="s">
        <v>409</v>
      </c>
    </row>
    <row r="965" spans="2:6" x14ac:dyDescent="0.25">
      <c r="B965" s="237">
        <v>15</v>
      </c>
      <c r="C965" t="s">
        <v>270</v>
      </c>
      <c r="F965" t="s">
        <v>413</v>
      </c>
    </row>
    <row r="966" spans="2:6" x14ac:dyDescent="0.25">
      <c r="B966" s="237">
        <v>16</v>
      </c>
      <c r="C966" t="s">
        <v>271</v>
      </c>
      <c r="F966" t="s">
        <v>417</v>
      </c>
    </row>
    <row r="967" spans="2:6" x14ac:dyDescent="0.25">
      <c r="B967" s="237">
        <v>17</v>
      </c>
      <c r="C967" t="s">
        <v>272</v>
      </c>
      <c r="F967" t="s">
        <v>420</v>
      </c>
    </row>
    <row r="968" spans="2:6" x14ac:dyDescent="0.25">
      <c r="B968" s="237">
        <v>18</v>
      </c>
      <c r="C968" t="s">
        <v>273</v>
      </c>
      <c r="F968" t="s">
        <v>2757</v>
      </c>
    </row>
    <row r="969" spans="2:6" x14ac:dyDescent="0.25">
      <c r="B969" s="237">
        <v>19</v>
      </c>
      <c r="C969" t="s">
        <v>274</v>
      </c>
      <c r="F969" t="s">
        <v>422</v>
      </c>
    </row>
    <row r="970" spans="2:6" x14ac:dyDescent="0.25">
      <c r="B970" s="237">
        <v>20</v>
      </c>
      <c r="C970" t="s">
        <v>275</v>
      </c>
      <c r="F970" t="s">
        <v>425</v>
      </c>
    </row>
    <row r="971" spans="2:6" x14ac:dyDescent="0.25">
      <c r="B971" s="237">
        <v>21</v>
      </c>
      <c r="C971" t="s">
        <v>276</v>
      </c>
      <c r="F971" t="s">
        <v>2562</v>
      </c>
    </row>
    <row r="972" spans="2:6" x14ac:dyDescent="0.25">
      <c r="B972" s="237">
        <v>22</v>
      </c>
      <c r="C972" t="s">
        <v>277</v>
      </c>
      <c r="F972" t="s">
        <v>427</v>
      </c>
    </row>
    <row r="973" spans="2:6" x14ac:dyDescent="0.25">
      <c r="B973" s="237">
        <v>23</v>
      </c>
      <c r="C973" t="s">
        <v>278</v>
      </c>
      <c r="F973" t="s">
        <v>430</v>
      </c>
    </row>
    <row r="974" spans="2:6" x14ac:dyDescent="0.25">
      <c r="B974" s="237">
        <v>24</v>
      </c>
      <c r="C974" t="s">
        <v>279</v>
      </c>
      <c r="F974" t="s">
        <v>433</v>
      </c>
    </row>
    <row r="975" spans="2:6" x14ac:dyDescent="0.25">
      <c r="B975" s="237">
        <v>25</v>
      </c>
      <c r="F975" t="s">
        <v>436</v>
      </c>
    </row>
    <row r="976" spans="2:6" x14ac:dyDescent="0.25">
      <c r="B976" s="237">
        <v>26</v>
      </c>
      <c r="F976" t="s">
        <v>439</v>
      </c>
    </row>
    <row r="977" spans="2:6" x14ac:dyDescent="0.25">
      <c r="B977" s="237">
        <v>27</v>
      </c>
      <c r="F977" t="s">
        <v>441</v>
      </c>
    </row>
    <row r="978" spans="2:6" x14ac:dyDescent="0.25">
      <c r="B978" s="237">
        <v>28</v>
      </c>
      <c r="F978" t="s">
        <v>443</v>
      </c>
    </row>
    <row r="979" spans="2:6" x14ac:dyDescent="0.25">
      <c r="B979" s="237">
        <v>29</v>
      </c>
      <c r="F979" t="s">
        <v>446</v>
      </c>
    </row>
    <row r="980" spans="2:6" x14ac:dyDescent="0.25">
      <c r="B980" s="237">
        <v>30</v>
      </c>
      <c r="F980" t="s">
        <v>449</v>
      </c>
    </row>
    <row r="981" spans="2:6" x14ac:dyDescent="0.25">
      <c r="B981" s="237">
        <v>31</v>
      </c>
      <c r="F981" t="s">
        <v>451</v>
      </c>
    </row>
    <row r="982" spans="2:6" x14ac:dyDescent="0.25">
      <c r="B982" s="237">
        <v>32</v>
      </c>
      <c r="F982" t="s">
        <v>454</v>
      </c>
    </row>
    <row r="983" spans="2:6" x14ac:dyDescent="0.25">
      <c r="B983" s="237">
        <v>33</v>
      </c>
      <c r="F983" t="s">
        <v>457</v>
      </c>
    </row>
    <row r="984" spans="2:6" x14ac:dyDescent="0.25">
      <c r="B984" s="237">
        <v>34</v>
      </c>
      <c r="F984" t="s">
        <v>460</v>
      </c>
    </row>
    <row r="985" spans="2:6" x14ac:dyDescent="0.25">
      <c r="B985" s="237">
        <v>35</v>
      </c>
      <c r="F985" t="s">
        <v>463</v>
      </c>
    </row>
    <row r="986" spans="2:6" x14ac:dyDescent="0.25">
      <c r="B986" s="237">
        <v>36</v>
      </c>
      <c r="F986" t="s">
        <v>465</v>
      </c>
    </row>
    <row r="987" spans="2:6" x14ac:dyDescent="0.25">
      <c r="B987" s="237">
        <v>37</v>
      </c>
      <c r="F987" t="s">
        <v>467</v>
      </c>
    </row>
    <row r="988" spans="2:6" x14ac:dyDescent="0.25">
      <c r="B988" s="237">
        <v>38</v>
      </c>
      <c r="F988" t="s">
        <v>469</v>
      </c>
    </row>
    <row r="989" spans="2:6" x14ac:dyDescent="0.25">
      <c r="B989" s="237">
        <v>39</v>
      </c>
      <c r="F989" t="s">
        <v>471</v>
      </c>
    </row>
    <row r="990" spans="2:6" x14ac:dyDescent="0.25">
      <c r="B990" s="237">
        <v>40</v>
      </c>
      <c r="F990" t="s">
        <v>473</v>
      </c>
    </row>
    <row r="991" spans="2:6" x14ac:dyDescent="0.25">
      <c r="B991" s="237">
        <v>41</v>
      </c>
      <c r="F991" t="s">
        <v>475</v>
      </c>
    </row>
    <row r="992" spans="2:6" x14ac:dyDescent="0.25">
      <c r="B992" s="237">
        <v>42</v>
      </c>
      <c r="F992" t="s">
        <v>477</v>
      </c>
    </row>
    <row r="993" spans="2:6" x14ac:dyDescent="0.25">
      <c r="B993" s="237">
        <v>43</v>
      </c>
      <c r="F993" t="s">
        <v>479</v>
      </c>
    </row>
    <row r="994" spans="2:6" x14ac:dyDescent="0.25">
      <c r="B994" s="237">
        <v>44</v>
      </c>
      <c r="F994" t="s">
        <v>481</v>
      </c>
    </row>
    <row r="995" spans="2:6" x14ac:dyDescent="0.25">
      <c r="B995" s="237">
        <v>45</v>
      </c>
      <c r="F995" t="s">
        <v>483</v>
      </c>
    </row>
    <row r="996" spans="2:6" x14ac:dyDescent="0.25">
      <c r="B996" s="237">
        <v>46</v>
      </c>
      <c r="F996" t="s">
        <v>485</v>
      </c>
    </row>
    <row r="997" spans="2:6" x14ac:dyDescent="0.25">
      <c r="B997" s="237">
        <v>47</v>
      </c>
      <c r="F997" t="s">
        <v>487</v>
      </c>
    </row>
    <row r="998" spans="2:6" x14ac:dyDescent="0.25">
      <c r="B998" s="237" t="s">
        <v>494</v>
      </c>
      <c r="F998" t="s">
        <v>491</v>
      </c>
    </row>
    <row r="999" spans="2:6" x14ac:dyDescent="0.25">
      <c r="B999" s="237" t="s">
        <v>496</v>
      </c>
      <c r="F999" t="s">
        <v>493</v>
      </c>
    </row>
    <row r="1000" spans="2:6" x14ac:dyDescent="0.25">
      <c r="B1000" s="237" t="s">
        <v>498</v>
      </c>
      <c r="F1000" t="s">
        <v>495</v>
      </c>
    </row>
    <row r="1001" spans="2:6" x14ac:dyDescent="0.25">
      <c r="B1001" s="237" t="s">
        <v>500</v>
      </c>
      <c r="F1001" t="s">
        <v>497</v>
      </c>
    </row>
    <row r="1002" spans="2:6" x14ac:dyDescent="0.25">
      <c r="B1002" s="237" t="s">
        <v>502</v>
      </c>
      <c r="F1002" t="s">
        <v>499</v>
      </c>
    </row>
    <row r="1003" spans="2:6" x14ac:dyDescent="0.25">
      <c r="B1003" s="237" t="s">
        <v>504</v>
      </c>
      <c r="F1003" t="s">
        <v>501</v>
      </c>
    </row>
    <row r="1004" spans="2:6" x14ac:dyDescent="0.25">
      <c r="B1004" s="237" t="s">
        <v>506</v>
      </c>
      <c r="F1004" t="s">
        <v>503</v>
      </c>
    </row>
    <row r="1005" spans="2:6" x14ac:dyDescent="0.25">
      <c r="B1005" s="237" t="s">
        <v>508</v>
      </c>
      <c r="F1005" t="s">
        <v>505</v>
      </c>
    </row>
    <row r="1006" spans="2:6" x14ac:dyDescent="0.25">
      <c r="B1006" s="237" t="s">
        <v>510</v>
      </c>
      <c r="F1006" t="s">
        <v>507</v>
      </c>
    </row>
    <row r="1007" spans="2:6" x14ac:dyDescent="0.25">
      <c r="B1007" s="237" t="s">
        <v>512</v>
      </c>
      <c r="F1007" t="s">
        <v>509</v>
      </c>
    </row>
    <row r="1008" spans="2:6" x14ac:dyDescent="0.25">
      <c r="B1008" s="237" t="s">
        <v>514</v>
      </c>
      <c r="F1008" t="s">
        <v>511</v>
      </c>
    </row>
    <row r="1009" spans="2:6" x14ac:dyDescent="0.25">
      <c r="B1009" s="237" t="s">
        <v>516</v>
      </c>
      <c r="F1009" t="s">
        <v>513</v>
      </c>
    </row>
    <row r="1010" spans="2:6" x14ac:dyDescent="0.25">
      <c r="B1010" s="237" t="s">
        <v>518</v>
      </c>
      <c r="F1010" t="s">
        <v>515</v>
      </c>
    </row>
    <row r="1011" spans="2:6" x14ac:dyDescent="0.25">
      <c r="B1011" s="237" t="s">
        <v>520</v>
      </c>
      <c r="F1011" t="s">
        <v>517</v>
      </c>
    </row>
    <row r="1012" spans="2:6" x14ac:dyDescent="0.25">
      <c r="B1012" s="237" t="s">
        <v>522</v>
      </c>
      <c r="F1012" t="s">
        <v>519</v>
      </c>
    </row>
    <row r="1013" spans="2:6" x14ac:dyDescent="0.25">
      <c r="B1013" s="237" t="s">
        <v>524</v>
      </c>
      <c r="F1013" t="s">
        <v>521</v>
      </c>
    </row>
    <row r="1014" spans="2:6" x14ac:dyDescent="0.25">
      <c r="B1014" s="237" t="s">
        <v>526</v>
      </c>
      <c r="F1014" t="s">
        <v>523</v>
      </c>
    </row>
    <row r="1015" spans="2:6" x14ac:dyDescent="0.25">
      <c r="B1015" s="237" t="s">
        <v>528</v>
      </c>
      <c r="F1015" t="s">
        <v>525</v>
      </c>
    </row>
    <row r="1016" spans="2:6" x14ac:dyDescent="0.25">
      <c r="B1016" s="237" t="s">
        <v>530</v>
      </c>
      <c r="F1016" t="s">
        <v>527</v>
      </c>
    </row>
    <row r="1017" spans="2:6" x14ac:dyDescent="0.25">
      <c r="B1017" s="237" t="s">
        <v>532</v>
      </c>
      <c r="F1017" t="s">
        <v>529</v>
      </c>
    </row>
    <row r="1018" spans="2:6" x14ac:dyDescent="0.25">
      <c r="B1018" s="237" t="s">
        <v>534</v>
      </c>
      <c r="F1018" t="s">
        <v>531</v>
      </c>
    </row>
    <row r="1019" spans="2:6" x14ac:dyDescent="0.25">
      <c r="B1019" s="237" t="s">
        <v>536</v>
      </c>
      <c r="F1019" t="s">
        <v>533</v>
      </c>
    </row>
    <row r="1020" spans="2:6" x14ac:dyDescent="0.25">
      <c r="B1020" s="237" t="s">
        <v>538</v>
      </c>
      <c r="F1020" t="s">
        <v>535</v>
      </c>
    </row>
    <row r="1021" spans="2:6" x14ac:dyDescent="0.25">
      <c r="B1021" s="237" t="s">
        <v>540</v>
      </c>
      <c r="F1021" t="s">
        <v>537</v>
      </c>
    </row>
    <row r="1022" spans="2:6" x14ac:dyDescent="0.25">
      <c r="B1022" s="237" t="s">
        <v>542</v>
      </c>
      <c r="F1022" t="s">
        <v>539</v>
      </c>
    </row>
    <row r="1023" spans="2:6" x14ac:dyDescent="0.25">
      <c r="B1023" s="237" t="s">
        <v>544</v>
      </c>
      <c r="F1023" t="s">
        <v>541</v>
      </c>
    </row>
    <row r="1024" spans="2:6" x14ac:dyDescent="0.25">
      <c r="B1024" s="237" t="s">
        <v>546</v>
      </c>
      <c r="F1024" t="s">
        <v>543</v>
      </c>
    </row>
    <row r="1025" spans="1:9" x14ac:dyDescent="0.25">
      <c r="B1025" s="237" t="s">
        <v>548</v>
      </c>
      <c r="F1025" t="s">
        <v>545</v>
      </c>
    </row>
    <row r="1026" spans="1:9" x14ac:dyDescent="0.25">
      <c r="B1026" s="237" t="s">
        <v>550</v>
      </c>
      <c r="F1026" t="s">
        <v>547</v>
      </c>
    </row>
    <row r="1027" spans="1:9" x14ac:dyDescent="0.25">
      <c r="B1027" s="237" t="s">
        <v>552</v>
      </c>
      <c r="F1027" t="s">
        <v>549</v>
      </c>
    </row>
    <row r="1028" spans="1:9" x14ac:dyDescent="0.25">
      <c r="B1028" s="237" t="s">
        <v>554</v>
      </c>
      <c r="F1028" t="s">
        <v>551</v>
      </c>
    </row>
    <row r="1029" spans="1:9" x14ac:dyDescent="0.25">
      <c r="B1029" s="237" t="s">
        <v>556</v>
      </c>
      <c r="F1029" t="s">
        <v>553</v>
      </c>
    </row>
    <row r="1030" spans="1:9" x14ac:dyDescent="0.25">
      <c r="B1030" s="237" t="s">
        <v>558</v>
      </c>
      <c r="F1030" t="s">
        <v>555</v>
      </c>
    </row>
    <row r="1031" spans="1:9" x14ac:dyDescent="0.25">
      <c r="B1031" s="237" t="s">
        <v>560</v>
      </c>
      <c r="F1031" t="s">
        <v>557</v>
      </c>
    </row>
    <row r="1032" spans="1:9" x14ac:dyDescent="0.25">
      <c r="B1032" s="237" t="s">
        <v>562</v>
      </c>
      <c r="F1032" t="s">
        <v>559</v>
      </c>
    </row>
    <row r="1033" spans="1:9" x14ac:dyDescent="0.25">
      <c r="F1033" t="s">
        <v>561</v>
      </c>
    </row>
    <row r="1034" spans="1:9" x14ac:dyDescent="0.25">
      <c r="F1034" t="s">
        <v>563</v>
      </c>
    </row>
    <row r="1035" spans="1:9" ht="13.8" x14ac:dyDescent="0.25">
      <c r="A1035" s="1651" t="s">
        <v>1192</v>
      </c>
      <c r="B1035" s="1651" t="s">
        <v>1989</v>
      </c>
      <c r="C1035" s="1651"/>
      <c r="D1035" s="1651"/>
      <c r="G1035" s="1660" t="s">
        <v>1194</v>
      </c>
      <c r="H1035" s="1660"/>
      <c r="I1035" s="1660"/>
    </row>
    <row r="1036" spans="1:9" x14ac:dyDescent="0.25">
      <c r="A1036" s="1654" t="s">
        <v>1198</v>
      </c>
      <c r="B1036" s="1654" t="s">
        <v>1199</v>
      </c>
      <c r="C1036" s="1654" t="s">
        <v>1200</v>
      </c>
      <c r="D1036" s="1654" t="s">
        <v>1201</v>
      </c>
      <c r="G1036" s="1662" t="s">
        <v>1202</v>
      </c>
      <c r="H1036" s="1662" t="s">
        <v>1203</v>
      </c>
      <c r="I1036" s="1662" t="s">
        <v>1201</v>
      </c>
    </row>
    <row r="1037" spans="1:9" x14ac:dyDescent="0.25">
      <c r="A1037" s="1659" t="s">
        <v>1990</v>
      </c>
      <c r="B1037" s="1659" t="s">
        <v>1991</v>
      </c>
      <c r="C1037" s="1659" t="s">
        <v>1131</v>
      </c>
      <c r="D1037" s="1659" t="str">
        <f>IF(OR('SELF-SCORE'!F9=0,'SELF-SCORE'!F9=""),"",'SELF-SCORE'!F9)</f>
        <v/>
      </c>
      <c r="G1037" s="1659" t="s">
        <v>1206</v>
      </c>
      <c r="H1037" s="1659" t="s">
        <v>1992</v>
      </c>
      <c r="I1037" s="1659" t="str">
        <f>IF(D1037="","",D1037)</f>
        <v/>
      </c>
    </row>
    <row r="1038" spans="1:9" x14ac:dyDescent="0.25">
      <c r="A1038" s="1659" t="s">
        <v>1990</v>
      </c>
      <c r="B1038" s="1659" t="s">
        <v>1991</v>
      </c>
      <c r="C1038" s="1659" t="s">
        <v>1132</v>
      </c>
      <c r="D1038" s="1659" t="str">
        <f>IF(OR('SELF-SCORE'!F10=0,'SELF-SCORE'!F10=""),"",'SELF-SCORE'!F10)</f>
        <v/>
      </c>
      <c r="G1038" s="1659" t="s">
        <v>1206</v>
      </c>
      <c r="H1038" s="1659" t="s">
        <v>1992</v>
      </c>
      <c r="I1038" s="1659" t="str">
        <f t="shared" ref="I1038:I1056" si="233">IF(D1038="","",D1038)</f>
        <v/>
      </c>
    </row>
    <row r="1039" spans="1:9" x14ac:dyDescent="0.25">
      <c r="A1039" s="1659" t="s">
        <v>1990</v>
      </c>
      <c r="B1039" s="1659" t="s">
        <v>1991</v>
      </c>
      <c r="C1039" s="1659" t="s">
        <v>1133</v>
      </c>
      <c r="D1039" s="1659" t="str">
        <f>IF(OR('SELF-SCORE'!F11=0,'SELF-SCORE'!F11=""),"",'SELF-SCORE'!F11)</f>
        <v/>
      </c>
      <c r="G1039" s="1659" t="s">
        <v>1206</v>
      </c>
      <c r="H1039" s="1659" t="s">
        <v>1992</v>
      </c>
      <c r="I1039" s="1659" t="str">
        <f t="shared" si="233"/>
        <v/>
      </c>
    </row>
    <row r="1040" spans="1:9" x14ac:dyDescent="0.25">
      <c r="A1040" s="1659" t="s">
        <v>1990</v>
      </c>
      <c r="B1040" s="1659" t="s">
        <v>1991</v>
      </c>
      <c r="C1040" s="1659" t="s">
        <v>1993</v>
      </c>
      <c r="D1040" s="1659" t="str">
        <f>IF(OR('SELF-SCORE'!F12=0,'SELF-SCORE'!F12=""),"",'SELF-SCORE'!F12)</f>
        <v/>
      </c>
      <c r="G1040" s="1659" t="s">
        <v>1206</v>
      </c>
      <c r="H1040" s="1659" t="s">
        <v>1992</v>
      </c>
      <c r="I1040" s="1659" t="str">
        <f t="shared" si="233"/>
        <v/>
      </c>
    </row>
    <row r="1041" spans="1:9" x14ac:dyDescent="0.25">
      <c r="A1041" s="1659" t="s">
        <v>1990</v>
      </c>
      <c r="B1041" s="1659" t="s">
        <v>1994</v>
      </c>
      <c r="C1041" s="1659" t="s">
        <v>1135</v>
      </c>
      <c r="D1041" s="1659" t="str">
        <f>IF(OR('SELF-SCORE'!F15=0,'SELF-SCORE'!F15=""),"",'SELF-SCORE'!F15)</f>
        <v/>
      </c>
      <c r="G1041" s="1659" t="s">
        <v>1206</v>
      </c>
      <c r="H1041" s="1659" t="s">
        <v>1992</v>
      </c>
      <c r="I1041" s="1659" t="str">
        <f t="shared" si="233"/>
        <v/>
      </c>
    </row>
    <row r="1042" spans="1:9" x14ac:dyDescent="0.25">
      <c r="A1042" s="1659" t="s">
        <v>1990</v>
      </c>
      <c r="B1042" s="1659" t="s">
        <v>1994</v>
      </c>
      <c r="C1042" s="1659" t="s">
        <v>1137</v>
      </c>
      <c r="D1042" s="1659" t="str">
        <f>IF(OR('SELF-SCORE'!F16=0,'SELF-SCORE'!F16=""),"",'SELF-SCORE'!F16)</f>
        <v/>
      </c>
      <c r="G1042" s="1659" t="s">
        <v>1206</v>
      </c>
      <c r="H1042" s="1659" t="s">
        <v>1992</v>
      </c>
      <c r="I1042" s="1659" t="str">
        <f t="shared" si="233"/>
        <v/>
      </c>
    </row>
    <row r="1043" spans="1:9" x14ac:dyDescent="0.25">
      <c r="A1043" s="1659" t="s">
        <v>1990</v>
      </c>
      <c r="B1043" s="1659" t="s">
        <v>1994</v>
      </c>
      <c r="C1043" s="1659" t="s">
        <v>1138</v>
      </c>
      <c r="D1043" s="1659" t="str">
        <f>IF(OR('SELF-SCORE'!F17=0,'SELF-SCORE'!F17=""),"",'SELF-SCORE'!F17)</f>
        <v/>
      </c>
      <c r="G1043" s="1659" t="s">
        <v>1206</v>
      </c>
      <c r="H1043" s="1659" t="s">
        <v>1992</v>
      </c>
      <c r="I1043" s="1659" t="str">
        <f t="shared" si="233"/>
        <v/>
      </c>
    </row>
    <row r="1044" spans="1:9" x14ac:dyDescent="0.25">
      <c r="A1044" s="1659" t="s">
        <v>1990</v>
      </c>
      <c r="B1044" s="1659" t="s">
        <v>1995</v>
      </c>
      <c r="C1044" s="1659" t="s">
        <v>1139</v>
      </c>
      <c r="D1044" s="1659" t="str">
        <f>IF(OR('SELF-SCORE'!F20=0,'SELF-SCORE'!F20=""),"",'SELF-SCORE'!F20)</f>
        <v/>
      </c>
      <c r="G1044" s="1659" t="s">
        <v>1206</v>
      </c>
      <c r="H1044" s="1659" t="s">
        <v>1992</v>
      </c>
      <c r="I1044" s="1659" t="str">
        <f t="shared" si="233"/>
        <v/>
      </c>
    </row>
    <row r="1045" spans="1:9" x14ac:dyDescent="0.25">
      <c r="A1045" s="1659" t="s">
        <v>1990</v>
      </c>
      <c r="B1045" s="1659" t="s">
        <v>1996</v>
      </c>
      <c r="C1045" s="1659" t="s">
        <v>1141</v>
      </c>
      <c r="D1045" s="1659" t="str">
        <f>IF(OR('SELF-SCORE'!F24=0,'SELF-SCORE'!F24=""),"",'SELF-SCORE'!F24)</f>
        <v/>
      </c>
      <c r="G1045" s="1659" t="s">
        <v>1206</v>
      </c>
      <c r="H1045" s="1659" t="s">
        <v>1992</v>
      </c>
      <c r="I1045" s="1659" t="str">
        <f t="shared" si="233"/>
        <v/>
      </c>
    </row>
    <row r="1046" spans="1:9" x14ac:dyDescent="0.25">
      <c r="A1046" s="1659" t="s">
        <v>1990</v>
      </c>
      <c r="B1046" s="1659" t="s">
        <v>1996</v>
      </c>
      <c r="C1046" s="1659" t="s">
        <v>1142</v>
      </c>
      <c r="D1046" s="1659" t="str">
        <f>IF(OR('SELF-SCORE'!F25=0,'SELF-SCORE'!F25=""),"",'SELF-SCORE'!F25)</f>
        <v/>
      </c>
      <c r="G1046" s="1659" t="s">
        <v>1206</v>
      </c>
      <c r="H1046" s="1659" t="s">
        <v>1992</v>
      </c>
      <c r="I1046" s="1659" t="str">
        <f t="shared" si="233"/>
        <v/>
      </c>
    </row>
    <row r="1047" spans="1:9" x14ac:dyDescent="0.25">
      <c r="A1047" s="1659" t="s">
        <v>1990</v>
      </c>
      <c r="B1047" s="1659" t="s">
        <v>1996</v>
      </c>
      <c r="C1047" s="1659" t="s">
        <v>1143</v>
      </c>
      <c r="D1047" s="1659" t="str">
        <f>IF(OR('SELF-SCORE'!F26=0,'SELF-SCORE'!F26=""),"",'SELF-SCORE'!F26)</f>
        <v/>
      </c>
      <c r="G1047" s="1659" t="s">
        <v>1206</v>
      </c>
      <c r="H1047" s="1659" t="s">
        <v>1992</v>
      </c>
      <c r="I1047" s="1659" t="str">
        <f t="shared" si="233"/>
        <v/>
      </c>
    </row>
    <row r="1048" spans="1:9" x14ac:dyDescent="0.25">
      <c r="A1048" s="1659" t="s">
        <v>1990</v>
      </c>
      <c r="B1048" s="1659" t="s">
        <v>1996</v>
      </c>
      <c r="C1048" s="1659" t="s">
        <v>1144</v>
      </c>
      <c r="D1048" s="1659" t="str">
        <f>IF(OR('SELF-SCORE'!F27=0,'SELF-SCORE'!F27=""),"",'SELF-SCORE'!F27)</f>
        <v/>
      </c>
      <c r="G1048" s="1659" t="s">
        <v>1206</v>
      </c>
      <c r="H1048" s="1659" t="s">
        <v>1992</v>
      </c>
      <c r="I1048" s="1659" t="str">
        <f t="shared" si="233"/>
        <v/>
      </c>
    </row>
    <row r="1049" spans="1:9" x14ac:dyDescent="0.25">
      <c r="A1049" s="1659" t="s">
        <v>1990</v>
      </c>
      <c r="B1049" s="1659" t="s">
        <v>1996</v>
      </c>
      <c r="C1049" s="1659" t="s">
        <v>1145</v>
      </c>
      <c r="D1049" s="1659" t="str">
        <f>IF(OR('SELF-SCORE'!F28=0,'SELF-SCORE'!F28=""),"",'SELF-SCORE'!F28)</f>
        <v/>
      </c>
      <c r="G1049" s="1659" t="s">
        <v>1206</v>
      </c>
      <c r="H1049" s="1659" t="s">
        <v>1992</v>
      </c>
      <c r="I1049" s="1659" t="str">
        <f t="shared" si="233"/>
        <v/>
      </c>
    </row>
    <row r="1050" spans="1:9" x14ac:dyDescent="0.25">
      <c r="A1050" s="1659" t="s">
        <v>1990</v>
      </c>
      <c r="B1050" s="1659" t="s">
        <v>1996</v>
      </c>
      <c r="C1050" s="1659" t="s">
        <v>1146</v>
      </c>
      <c r="D1050" s="1668"/>
      <c r="G1050" s="1659" t="s">
        <v>1206</v>
      </c>
      <c r="H1050" s="1659" t="s">
        <v>1992</v>
      </c>
      <c r="I1050" s="1668"/>
    </row>
    <row r="1051" spans="1:9" x14ac:dyDescent="0.25">
      <c r="A1051" s="1659" t="s">
        <v>1990</v>
      </c>
      <c r="B1051" s="1659" t="s">
        <v>1997</v>
      </c>
      <c r="C1051" s="1659" t="s">
        <v>1148</v>
      </c>
      <c r="D1051" s="1659" t="str">
        <f>IF(OR('SELF-SCORE'!F32=0,'SELF-SCORE'!F32=""),"",'SELF-SCORE'!F32)</f>
        <v/>
      </c>
      <c r="G1051" s="1659" t="s">
        <v>1206</v>
      </c>
      <c r="H1051" s="1659" t="s">
        <v>1992</v>
      </c>
      <c r="I1051" s="1659" t="str">
        <f t="shared" si="233"/>
        <v/>
      </c>
    </row>
    <row r="1052" spans="1:9" x14ac:dyDescent="0.25">
      <c r="A1052" s="1659" t="s">
        <v>1990</v>
      </c>
      <c r="B1052" s="1659" t="s">
        <v>1997</v>
      </c>
      <c r="C1052" s="1659" t="s">
        <v>1149</v>
      </c>
      <c r="D1052" s="1659" t="str">
        <f>IF(OR('SELF-SCORE'!F33=0,'SELF-SCORE'!F33=""),"",'SELF-SCORE'!F33)</f>
        <v/>
      </c>
      <c r="G1052" s="1659" t="s">
        <v>1206</v>
      </c>
      <c r="H1052" s="1659" t="s">
        <v>1992</v>
      </c>
      <c r="I1052" s="1659" t="str">
        <f t="shared" si="233"/>
        <v/>
      </c>
    </row>
    <row r="1053" spans="1:9" x14ac:dyDescent="0.25">
      <c r="A1053" s="1659" t="s">
        <v>1990</v>
      </c>
      <c r="B1053" s="1659" t="s">
        <v>1997</v>
      </c>
      <c r="C1053" s="1659" t="s">
        <v>1150</v>
      </c>
      <c r="D1053" s="1659" t="str">
        <f>IF(OR('SELF-SCORE'!F34=0,'SELF-SCORE'!F34=""),"",'SELF-SCORE'!F34)</f>
        <v/>
      </c>
      <c r="G1053" s="1659" t="s">
        <v>1206</v>
      </c>
      <c r="H1053" s="1659" t="s">
        <v>1992</v>
      </c>
      <c r="I1053" s="1659" t="str">
        <f t="shared" si="233"/>
        <v/>
      </c>
    </row>
    <row r="1054" spans="1:9" x14ac:dyDescent="0.25">
      <c r="A1054" s="1659" t="s">
        <v>1990</v>
      </c>
      <c r="B1054" s="1659" t="s">
        <v>1998</v>
      </c>
      <c r="C1054" s="1659" t="s">
        <v>1152</v>
      </c>
      <c r="D1054" s="1659" t="str">
        <f>IF(OR('SELF-SCORE'!F37=0,'SELF-SCORE'!F37=""),"",'SELF-SCORE'!F37)</f>
        <v/>
      </c>
      <c r="G1054" s="1659" t="s">
        <v>1206</v>
      </c>
      <c r="H1054" s="1659" t="s">
        <v>1992</v>
      </c>
      <c r="I1054" s="1659" t="str">
        <f t="shared" si="233"/>
        <v/>
      </c>
    </row>
    <row r="1055" spans="1:9" x14ac:dyDescent="0.25">
      <c r="A1055" s="1659" t="s">
        <v>1990</v>
      </c>
      <c r="B1055" s="1659" t="s">
        <v>1998</v>
      </c>
      <c r="C1055" s="1659" t="s">
        <v>1153</v>
      </c>
      <c r="D1055" s="1659" t="str">
        <f>IF(OR('SELF-SCORE'!F38=0,'SELF-SCORE'!F38=""),"",'SELF-SCORE'!F38)</f>
        <v/>
      </c>
      <c r="G1055" s="1659" t="s">
        <v>1206</v>
      </c>
      <c r="H1055" s="1659" t="s">
        <v>1992</v>
      </c>
      <c r="I1055" s="1659" t="str">
        <f t="shared" si="233"/>
        <v/>
      </c>
    </row>
    <row r="1056" spans="1:9" x14ac:dyDescent="0.25">
      <c r="A1056" s="1659" t="s">
        <v>1990</v>
      </c>
      <c r="B1056" s="1659" t="s">
        <v>1998</v>
      </c>
      <c r="C1056" s="1659" t="s">
        <v>1154</v>
      </c>
      <c r="D1056" s="1659" t="str">
        <f>IF(OR('SELF-SCORE'!F39=0,'SELF-SCORE'!F39=""),"",'SELF-SCORE'!F39)</f>
        <v/>
      </c>
      <c r="G1056" s="1659" t="s">
        <v>1206</v>
      </c>
      <c r="H1056" s="1659" t="s">
        <v>1992</v>
      </c>
      <c r="I1056" s="1659" t="str">
        <f t="shared" si="233"/>
        <v/>
      </c>
    </row>
    <row r="1057" spans="1:9" x14ac:dyDescent="0.25">
      <c r="A1057" s="1659" t="s">
        <v>1990</v>
      </c>
      <c r="B1057" s="1659" t="s">
        <v>1998</v>
      </c>
      <c r="C1057" s="1659" t="s">
        <v>1155</v>
      </c>
      <c r="D1057" s="1659" t="str">
        <f>IF(OR('SELF-SCORE'!F40=0,'SELF-SCORE'!F40=""),"",'SELF-SCORE'!F40)</f>
        <v/>
      </c>
      <c r="G1057" s="1659" t="s">
        <v>1206</v>
      </c>
      <c r="H1057" s="1659" t="s">
        <v>1992</v>
      </c>
      <c r="I1057" s="1659" t="str">
        <f>IF(D1057="","",D1057)</f>
        <v/>
      </c>
    </row>
    <row r="1058" spans="1:9" x14ac:dyDescent="0.25">
      <c r="A1058" s="1659" t="s">
        <v>1990</v>
      </c>
      <c r="B1058" s="1659" t="s">
        <v>2659</v>
      </c>
      <c r="C1058" s="1659" t="s">
        <v>2446</v>
      </c>
      <c r="D1058" s="1659" t="str">
        <f>IF(OR('SELF-SCORE'!F43=0,'SELF-SCORE'!F43=""),"",'SELF-SCORE'!F43)</f>
        <v/>
      </c>
      <c r="G1058" s="1659" t="s">
        <v>1206</v>
      </c>
      <c r="H1058" s="1659" t="s">
        <v>1992</v>
      </c>
      <c r="I1058" s="1659" t="str">
        <f>IF(D1058="","",D1058)</f>
        <v/>
      </c>
    </row>
    <row r="1059" spans="1:9" x14ac:dyDescent="0.25">
      <c r="A1059" s="1659" t="s">
        <v>1990</v>
      </c>
      <c r="B1059" s="1659" t="s">
        <v>2660</v>
      </c>
      <c r="C1059" s="1659" t="s">
        <v>619</v>
      </c>
      <c r="D1059" s="1659" t="str">
        <f>IF(OR('SELF-SCORE'!F52=0,'SELF-SCORE'!F52=""),"",'SELF-SCORE'!F52)</f>
        <v/>
      </c>
      <c r="G1059" s="1659" t="s">
        <v>1206</v>
      </c>
      <c r="H1059" s="1659" t="s">
        <v>1992</v>
      </c>
      <c r="I1059" s="1659" t="str">
        <f>IF(D1059="","",D1059)</f>
        <v/>
      </c>
    </row>
    <row r="1060" spans="1:9" x14ac:dyDescent="0.25">
      <c r="A1060" s="1659" t="s">
        <v>1990</v>
      </c>
      <c r="B1060" s="1659" t="s">
        <v>2660</v>
      </c>
      <c r="C1060" s="1659" t="s">
        <v>2661</v>
      </c>
      <c r="D1060" s="1659" t="str">
        <f>IF(OR('SELF-SCORE'!F53=0,'SELF-SCORE'!F53=""),"",'SELF-SCORE'!F53)</f>
        <v/>
      </c>
      <c r="G1060" s="1659" t="s">
        <v>1206</v>
      </c>
      <c r="H1060" s="1659" t="s">
        <v>1992</v>
      </c>
      <c r="I1060" s="1659" t="str">
        <f>IF(D1060="","",D1060)</f>
        <v/>
      </c>
    </row>
    <row r="1061" spans="1:9" x14ac:dyDescent="0.25">
      <c r="A1061" s="1659" t="s">
        <v>1990</v>
      </c>
      <c r="B1061" s="1659" t="s">
        <v>2787</v>
      </c>
      <c r="C1061" s="1659" t="s">
        <v>2787</v>
      </c>
      <c r="D1061" s="1659">
        <f>'SELF-SCORE'!F56</f>
        <v>0</v>
      </c>
      <c r="G1061" s="1659" t="s">
        <v>1206</v>
      </c>
      <c r="H1061" s="1659" t="s">
        <v>1992</v>
      </c>
      <c r="I1061" s="1659">
        <f>IF(D1061="","",D1061)</f>
        <v>0</v>
      </c>
    </row>
  </sheetData>
  <sheetProtection algorithmName="SHA-512" hashValue="YK+zs9Uiauokqsu/yxH4NKDKH5GJuqCTUY0jK4i3jD9EUpC8iYCX57ol/GzI4odpy1/iOngsdiMuUnrjwr4Stw==" saltValue="tGHn+fQyB2Ra1WLkundA9A==" spinCount="100000" sheet="1" objects="1" scenarios="1"/>
  <phoneticPr fontId="19" type="noConversion"/>
  <dataValidations count="55">
    <dataValidation type="list" errorStyle="warning" showInputMessage="1" showErrorMessage="1" errorTitle="SmartDox" error="The value you entered for the dropdown is not valid." sqref="I8" xr:uid="{71DDE83F-07F9-4884-9E3B-C900DC194F68}">
      <formula1>SD_D_PL_TaxCreditPercentType_Name</formula1>
    </dataValidation>
    <dataValidation type="list" errorStyle="warning" showInputMessage="1" showErrorMessage="1" errorTitle="SmartDox" error="The value you entered for the dropdown is not valid." sqref="T47" xr:uid="{48C1E355-9CD1-4716-B0F4-7BE8B795F02C}">
      <formula1>SD_D_PL_DEVDealType_Name</formula1>
    </dataValidation>
    <dataValidation type="list" errorStyle="warning" showInputMessage="1" showErrorMessage="1" errorTitle="SmartDox" error="The value you entered for the dropdown is not valid." sqref="Q295:Q335" xr:uid="{681F4CD8-D3C9-4263-978B-E04777B44A4C}">
      <formula1>SD_D_PL_UnitMixAmiPercent_Name</formula1>
    </dataValidation>
    <dataValidation type="list" errorStyle="warning" showInputMessage="1" showErrorMessage="1" errorTitle="SmartDox" error="The value you entered for the dropdown is not valid." sqref="R295:R335" xr:uid="{92237821-E1FD-461C-B453-677D9C443B46}">
      <formula1>SD_D_PL_UnitType_Name</formula1>
    </dataValidation>
    <dataValidation type="list" errorStyle="warning" showInputMessage="1" showErrorMessage="1" errorTitle="SmartDox" error="The value you entered for the dropdown is not valid." sqref="AA295:AA324" xr:uid="{98E7893E-20C7-47AC-A158-D794B0340128}">
      <formula1>SD_D_PL_UDF_436_Name</formula1>
    </dataValidation>
    <dataValidation type="list" errorStyle="warning" showInputMessage="1" showErrorMessage="1" errorTitle="SmartDox" error="The value you entered for the dropdown is not valid." sqref="AB295:AB324" xr:uid="{0F89E232-1BB3-41F8-B5A1-F4367167116A}">
      <formula1>SD_D_PL_UDF_437_Name</formula1>
    </dataValidation>
    <dataValidation type="list" errorStyle="warning" showInputMessage="1" showErrorMessage="1" errorTitle="SmartDox" error="The value you entered for the dropdown is not valid." sqref="S295:S335" xr:uid="{0EF5C7C1-606E-4E93-87B2-21E28606977C}">
      <formula1>SD_D_PL_UDF_438_Name</formula1>
    </dataValidation>
    <dataValidation type="list" errorStyle="warning" showInputMessage="1" showErrorMessage="1" errorTitle="SmartDox" error="The value you entered for the dropdown is not valid." sqref="AA28 H141:H166 H136 W191:W290" xr:uid="{CB2ADA70-D7F4-49DA-A561-BB58457DB172}">
      <formula1>SD_D_PL_State_Name</formula1>
    </dataValidation>
    <dataValidation type="list" errorStyle="warning" showInputMessage="1" showErrorMessage="1" errorTitle="SmartDox" error="The value you entered for the dropdown is not valid." sqref="AA11 N27 I27" xr:uid="{2FA99492-C8CD-4718-8C9F-44DB639D0646}">
      <formula1>SD_D_PL_Jurisdiction_Name</formula1>
    </dataValidation>
    <dataValidation type="list" errorStyle="warning" showInputMessage="1" showErrorMessage="1" errorTitle="SmartDox" error="The value you entered for the dropdown is not valid." sqref="I25" xr:uid="{37EFA740-F8C6-40A6-960A-F7D42BDE9823}">
      <formula1>SD_D_PL_UDF_127_Name</formula1>
    </dataValidation>
    <dataValidation type="list" errorStyle="warning" showInputMessage="1" showErrorMessage="1" errorTitle="SmartDox" error="The value you entered for the dropdown is not valid." sqref="I29" xr:uid="{BFFCDD9D-A460-49D2-B67A-82921D1AFD2C}">
      <formula1>SD_D_PL_UDF_128_Name</formula1>
    </dataValidation>
    <dataValidation type="list" errorStyle="warning" showInputMessage="1" showErrorMessage="1" errorTitle="SmartDox" error="The value you entered for the dropdown is not valid." sqref="I33" xr:uid="{9790EE2A-9D65-4B8F-89E1-88311D055263}">
      <formula1>SD_D_PL_UDF_159_Name</formula1>
    </dataValidation>
    <dataValidation type="list" errorStyle="warning" showInputMessage="1" showErrorMessage="1" errorTitle="SmartDox" error="The value you entered for the dropdown is not valid." sqref="I34" xr:uid="{3E3ACD59-0F2E-4FD5-8E1B-5C5F16FD0CAD}">
      <formula1>SD_D_PL_UDF_160_Name</formula1>
    </dataValidation>
    <dataValidation type="list" errorStyle="warning" showInputMessage="1" showErrorMessage="1" errorTitle="SmartDox" error="The value you entered for the dropdown is not valid." sqref="I35" xr:uid="{5E23A7A0-DBB5-44D6-9CDC-E564ADFF8975}">
      <formula1>SD_D_PL_UDF_161_Name</formula1>
    </dataValidation>
    <dataValidation type="list" errorStyle="warning" showInputMessage="1" showErrorMessage="1" errorTitle="SmartDox" error="The value you entered for the dropdown is not valid." sqref="I36" xr:uid="{A22D9D45-F7C5-4EE1-820A-BA5150322882}">
      <formula1>SD_D_PL_UDF_162_Name</formula1>
    </dataValidation>
    <dataValidation type="list" errorStyle="warning" showInputMessage="1" showErrorMessage="1" errorTitle="SmartDox" error="The value you entered for the dropdown is not valid." sqref="I37" xr:uid="{3C59FC97-29CA-4ED6-97F9-54CECC5BA983}">
      <formula1>SD_D_PL_UDF_163_Name</formula1>
    </dataValidation>
    <dataValidation type="list" errorStyle="warning" showInputMessage="1" showErrorMessage="1" errorTitle="SmartDox" error="The value you entered for the dropdown is not valid." sqref="I39" xr:uid="{D0A95B42-3783-413A-A397-9A6CB6460553}">
      <formula1>SD_D_PL_UDF_164_Name</formula1>
    </dataValidation>
    <dataValidation type="list" errorStyle="warning" showInputMessage="1" showErrorMessage="1" errorTitle="SmartDox" error="The value you entered for the dropdown is not valid." sqref="I40" xr:uid="{F9576B46-5EE9-42F3-97B8-15BD67E0E228}">
      <formula1>SD_D_PL_UDF_165_Name</formula1>
    </dataValidation>
    <dataValidation type="list" errorStyle="warning" showInputMessage="1" showErrorMessage="1" errorTitle="SmartDox" error="The value you entered for the dropdown is not valid." sqref="I32" xr:uid="{B94B8002-632B-4694-9B8D-D59050A19FBA}">
      <formula1>SD_D_PL_UDF_222_Name</formula1>
    </dataValidation>
    <dataValidation type="list" errorStyle="warning" showInputMessage="1" showErrorMessage="1" errorTitle="SmartDox" error="The value you entered for the dropdown is not valid." sqref="I67" xr:uid="{DF441A12-9C2C-48A8-967B-0C2609D2971B}">
      <formula1>SD_D_PL_UDF_223_Name</formula1>
    </dataValidation>
    <dataValidation type="list" errorStyle="warning" showInputMessage="1" showErrorMessage="1" errorTitle="SmartDox" error="The value you entered for the dropdown is not valid." sqref="I68" xr:uid="{33B46034-9EE4-45D6-8698-DA96DABE56BD}">
      <formula1>SD_D_PL_UDF_224_Name</formula1>
    </dataValidation>
    <dataValidation type="list" errorStyle="warning" showInputMessage="1" showErrorMessage="1" errorTitle="SmartDox" error="The value you entered for the dropdown is not valid." sqref="I69" xr:uid="{E2205534-14B2-452B-9C62-26252285BB4F}">
      <formula1>SD_D_PL_UDF_225_Name</formula1>
    </dataValidation>
    <dataValidation type="list" errorStyle="warning" showInputMessage="1" showErrorMessage="1" errorTitle="SmartDox" error="The value you entered for the dropdown is not valid." sqref="I16" xr:uid="{27BFB11C-C04B-4740-BC77-C0EBDA3A8122}">
      <formula1>SD_D_PL_ProcessType_Name</formula1>
    </dataValidation>
    <dataValidation type="list" errorStyle="warning" showInputMessage="1" showErrorMessage="1" errorTitle="SmartDox" error="The value you entered for the dropdown is not valid." sqref="P450:P498" xr:uid="{73FA1285-0DDD-4458-A7CB-E1E272675CEB}">
      <formula1>SD_D_PL_ProgramType_Name</formula1>
    </dataValidation>
    <dataValidation type="list" errorStyle="warning" showInputMessage="1" showErrorMessage="1" errorTitle="SmartDox" error="The value you entered for the dropdown is not valid." sqref="Q450:Q498" xr:uid="{EFC993CF-B2DC-4DC7-8C17-50DD909AACA8}">
      <formula1>SD_D_AllDEVFundingSourcesForSmartDox_Name</formula1>
    </dataValidation>
    <dataValidation type="list" errorStyle="warning" showInputMessage="1" showErrorMessage="1" errorTitle="SmartDox" error="The value you entered for the dropdown is not valid." sqref="Z467:Z468 Z459:Z464" xr:uid="{30D8C91A-B5E6-4771-A5B5-7D4F7519A590}">
      <formula1>SD_D_PL_UDF_156_Name</formula1>
    </dataValidation>
    <dataValidation type="list" errorStyle="warning" showInputMessage="1" showErrorMessage="1" errorTitle="SmartDox" error="The value you entered for the dropdown is not valid." sqref="I171" xr:uid="{F433158C-C2C3-4A7B-AF2C-1B65B474C5C6}">
      <formula1>SD_D_PL_UDF_137_Name</formula1>
    </dataValidation>
    <dataValidation type="list" errorStyle="warning" showInputMessage="1" showErrorMessage="1" errorTitle="SmartDox" error="The value you entered for the dropdown is not valid." sqref="I173" xr:uid="{A625E6E2-D02B-43E1-91CD-73B3EEC35C5E}">
      <formula1>SD_D_PL_UDF_139_Name</formula1>
    </dataValidation>
    <dataValidation type="list" errorStyle="warning" showInputMessage="1" showErrorMessage="1" errorTitle="SmartDox" error="The value you entered for the dropdown is not valid." sqref="I175" xr:uid="{116D59DF-8DB9-4D12-94FE-7C47AA6249A4}">
      <formula1>SD_D_PL_UDF_141_Name</formula1>
    </dataValidation>
    <dataValidation type="list" errorStyle="warning" showInputMessage="1" showErrorMessage="1" errorTitle="SmartDox" error="The value you entered for the dropdown is not valid." sqref="I177" xr:uid="{54AAAD47-3735-41EE-AA26-252D35BE6EAA}">
      <formula1>SD_D_PL_UDF_143_Name</formula1>
    </dataValidation>
    <dataValidation type="list" errorStyle="warning" showInputMessage="1" showErrorMessage="1" errorTitle="SmartDox" error="The value you entered for the dropdown is not valid." sqref="I179" xr:uid="{E8AD5721-9248-4613-A057-209DA391F0BE}">
      <formula1>SD_D_PL_UDF_145_Name</formula1>
    </dataValidation>
    <dataValidation type="list" errorStyle="warning" showInputMessage="1" showErrorMessage="1" errorTitle="SmartDox" error="The value you entered for the dropdown is not valid." sqref="I181" xr:uid="{65A05856-3CD2-46BD-A76B-8A35C34A2009}">
      <formula1>SD_D_PL_UDF_147_Name</formula1>
    </dataValidation>
    <dataValidation type="list" errorStyle="warning" showInputMessage="1" showErrorMessage="1" errorTitle="SmartDox" error="The value you entered for the dropdown is not valid." sqref="I183" xr:uid="{7C0C3A72-E2F8-4B14-87F7-16E5F3B3D506}">
      <formula1>SD_D_PL_UDF_149_Name</formula1>
    </dataValidation>
    <dataValidation type="list" errorStyle="warning" showInputMessage="1" showErrorMessage="1" errorTitle="SmartDox" error="The value you entered for the dropdown is not valid." sqref="I185" xr:uid="{E3B1A0E8-1D84-4FDA-B758-F6D39F739AB8}">
      <formula1>SD_D_PL_UDF_151_Name</formula1>
    </dataValidation>
    <dataValidation type="list" errorStyle="warning" showInputMessage="1" showErrorMessage="1" errorTitle="SmartDox" error="The value you entered for the dropdown is not valid." sqref="N102" xr:uid="{DA7B75C4-94A9-41B9-8E63-CDDAC5C2E217}">
      <formula1>SD_D_PL_SiteControlType_Name</formula1>
    </dataValidation>
    <dataValidation type="list" errorStyle="warning" showInputMessage="1" showErrorMessage="1" errorTitle="SmartDox" error="The value you entered for the dropdown is not valid." sqref="M664" xr:uid="{099CEDEA-A388-4FEA-813C-5A0D82390359}">
      <formula1>SD_D_PL_BldgAllocType_Name</formula1>
    </dataValidation>
    <dataValidation type="list" errorStyle="warning" showInputMessage="1" showErrorMessage="1" errorTitle="SmartDox" error="The value you entered for the dropdown is not valid." sqref="AF191:AF290" xr:uid="{A2CBEFEB-E5B0-4A0A-A6A9-B703794A5F23}">
      <formula1>SD_D_PL_UDF_250_Name</formula1>
    </dataValidation>
    <dataValidation type="list" errorStyle="warning" showInputMessage="1" showErrorMessage="1" errorTitle="SmartDox" error="The value you entered for the dropdown is not valid." sqref="AF295:AF335" xr:uid="{03FF2F1E-1F90-4842-B830-F1BF181C9703}">
      <formula1>SD_D_PL_TCUnitMixType_Name</formula1>
    </dataValidation>
    <dataValidation type="list" errorStyle="warning" showInputMessage="1" showErrorMessage="1" errorTitle="SmartDox" error="The value you entered for the dropdown is not valid." sqref="AE295:AE335" xr:uid="{22E57652-04E6-4804-BF38-E1B9150C4CAC}">
      <formula1>SD_D_PL_IncomeTarget_Name</formula1>
    </dataValidation>
    <dataValidation type="list" errorStyle="warning" showInputMessage="1" showErrorMessage="1" errorTitle="SmartDox" error="The value you entered for the dropdown is not valid." sqref="N100" xr:uid="{AFEBCB96-AF7E-42BD-B00A-0524171E66C2}">
      <formula1>SD_D_PL_UDF_195_Name</formula1>
    </dataValidation>
    <dataValidation type="list" errorStyle="warning" showInputMessage="1" showErrorMessage="1" errorTitle="SmartDox" error="The value you entered for the dropdown is not valid." sqref="N101" xr:uid="{F3055EE2-3EAD-4D07-A127-975519D6B00E}">
      <formula1>SD_D_PL_UDF_196_Name</formula1>
    </dataValidation>
    <dataValidation type="list" errorStyle="warning" showInputMessage="1" showErrorMessage="1" errorTitle="SmartDox" error="The value you entered for the dropdown is not valid." sqref="N103" xr:uid="{4E9FDC94-26BF-44B1-A26F-D341A792EFED}">
      <formula1>SD_D_PL_UDF_197_Name</formula1>
    </dataValidation>
    <dataValidation type="list" errorStyle="warning" showInputMessage="1" showErrorMessage="1" errorTitle="SmartDox" error="The value you entered for the dropdown is not valid." sqref="N114" xr:uid="{B523AFD8-D174-4CCA-BFD4-3D3095576060}">
      <formula1>SD_D_PL_UDF_203_Name</formula1>
    </dataValidation>
    <dataValidation type="list" errorStyle="warning" showInputMessage="1" showErrorMessage="1" errorTitle="SmartDox" error="The value you entered for the dropdown is not valid." sqref="N97" xr:uid="{F052330F-6FB9-462D-978B-9BC147E7FBF9}">
      <formula1>SD_D_PL_UDF_211_Name</formula1>
    </dataValidation>
    <dataValidation type="list" errorStyle="warning" showInputMessage="1" showErrorMessage="1" errorTitle="SmartDox" error="The value you entered for the dropdown is not valid." sqref="N98" xr:uid="{BBD758DD-2F55-44E0-961C-A84C19C07DBD}">
      <formula1>SD_D_PL_UDF_212_Name</formula1>
    </dataValidation>
    <dataValidation type="list" errorStyle="warning" showInputMessage="1" showErrorMessage="1" errorTitle="SmartDox" error="The value you entered for the dropdown is not valid." sqref="N65" xr:uid="{2448E33E-749C-4081-80E1-DF9005F04355}">
      <formula1>SD_D_PL_UDF_221_Name</formula1>
    </dataValidation>
    <dataValidation type="list" errorStyle="warning" showInputMessage="1" showErrorMessage="1" errorTitle="SmartDox" error="The value you entered for the dropdown is not valid." sqref="I667" xr:uid="{CEEEB80D-31EF-40BC-9B67-42343C2C1EC2}">
      <formula1>SD_D_PL_UDF_274_Name</formula1>
    </dataValidation>
    <dataValidation type="list" errorStyle="warning" showInputMessage="1" showErrorMessage="1" errorTitle="SmartDox" error="The value you entered for the dropdown is not valid." sqref="M669" xr:uid="{3C420B39-0882-4321-9B9A-569F362F0671}">
      <formula1>SD_D_PL_UDF_276_Name</formula1>
    </dataValidation>
    <dataValidation type="list" errorStyle="warning" showInputMessage="1" showErrorMessage="1" errorTitle="SmartDox" error="The value you entered for the dropdown is not valid." sqref="M681" xr:uid="{FA393A3C-01A0-422F-8572-8F36FD794D59}">
      <formula1>SD_D_PL_UDF_279_Name</formula1>
    </dataValidation>
    <dataValidation type="list" errorStyle="warning" showInputMessage="1" showErrorMessage="1" errorTitle="SmartDox" error="The value you entered for the dropdown is not valid." sqref="M683" xr:uid="{51CD8922-7A9F-42AB-9DCF-C90EC68D553E}">
      <formula1>SD_D_PL_UDF_280_Name</formula1>
    </dataValidation>
    <dataValidation type="list" errorStyle="warning" showInputMessage="1" showErrorMessage="1" errorTitle="SmartDox" error="The value you entered for the dropdown is not valid." sqref="M676" xr:uid="{F65ED123-BF11-42F7-9E88-FFFC4C8E4D3E}">
      <formula1>SD_D_PL_UDF_416_Name</formula1>
    </dataValidation>
    <dataValidation type="list" errorStyle="warning" showInputMessage="1" showErrorMessage="1" errorTitle="SmartDox" error="The value you entered for the dropdown is not valid." sqref="M136:M166" xr:uid="{8CB47DE5-EFAA-4527-94A6-4DA7294B8CB6}">
      <formula1>SD_D_PL_EntityCompanyOrIndividual_Name</formula1>
    </dataValidation>
    <dataValidation type="list" errorStyle="warning" showInputMessage="1" showErrorMessage="1" errorTitle="SmartDox" error="The value you entered for the dropdown is not valid." sqref="D136:D166" xr:uid="{116B0396-DBC4-490B-BAFF-E11E4E73053F}">
      <formula1>SD_D_PL_DealEntityRole_Name</formula1>
    </dataValidation>
    <dataValidation type="list" errorStyle="warning" showInputMessage="1" showErrorMessage="1" errorTitle="SmartDox" error="The value you entered for the dropdown is not valid." sqref="I70" xr:uid="{8DEF5CD2-4C63-4B5F-9C11-7CEEA554385B}">
      <formula1>SD_D_PL_UDF_136_Name</formula1>
    </dataValidation>
    <dataValidation type="list" errorStyle="warning" showInputMessage="1" showErrorMessage="1" errorTitle="SmartDox" error="The value you entered for the dropdown is not valid." sqref="E893:X893" xr:uid="{052A3A32-FAC8-4028-9EE6-FD2CB62DB3F3}">
      <formula1>SD_D_PL_FinancialType_Name</formula1>
    </dataValidation>
  </dataValidations>
  <hyperlinks>
    <hyperlink ref="B1" location="MAP_1" display="Section 1" xr:uid="{8577DCDE-3690-437D-86E4-2BDB8884628B}"/>
    <hyperlink ref="B2" location="MAP_2" display="Section 2" xr:uid="{4A67AB56-F7FA-454C-8C66-4CC244DEA7E3}"/>
    <hyperlink ref="B3" location="MAP_3" display="Section 3" xr:uid="{79CF1BC4-E75D-4AA1-B766-C66A6B97D785}"/>
    <hyperlink ref="D1" location="MAP_4" display="Section 4" xr:uid="{1FB040A7-F664-4953-90B7-97A3D35CC8FE}"/>
    <hyperlink ref="D2" location="MAP_5" display="Section 5" xr:uid="{5EF0993B-B23A-460A-8769-A34061D24454}"/>
    <hyperlink ref="D3" location="MAP_6" display="Section 6" xr:uid="{B117C1B9-36F8-43B6-B524-15D0B7DC0E8C}"/>
    <hyperlink ref="F1" location="MAP_7" display="Section 7" xr:uid="{20A238EF-548E-4BA9-8C9E-E8D4E593CC17}"/>
    <hyperlink ref="F2" location="MAP_8" display="Section 8" xr:uid="{0CE403DE-BB51-4D2F-8814-68C439AFD516}"/>
    <hyperlink ref="F3" location="MAP_9" display="Section 9" xr:uid="{70C81525-5C8B-49C9-96DD-26AA82CF2FF2}"/>
    <hyperlink ref="H1" location="MAP_10" display="Section 10" xr:uid="{7123D9A5-B4B5-48C9-A2A6-E7C3555CF7FA}"/>
    <hyperlink ref="H2" location="MAP_11" display="Section 11" xr:uid="{A451DD97-4FAF-4158-8EC8-EEC63BE78F3A}"/>
    <hyperlink ref="H3" location="MAP_12" display="Section 12" xr:uid="{4823B07C-A757-4721-8B25-2AFB5B1DF4BB}"/>
    <hyperlink ref="J1" location="MAP_13" display="Section 13" xr:uid="{2EDCA0B4-3E60-4E27-9E74-C6ED12A8184F}"/>
    <hyperlink ref="J2" location="MAP_14" display="Section 14" xr:uid="{DF00CFB2-915B-4A99-A81A-764CEA064711}"/>
    <hyperlink ref="J3" location="MAP_15" display="Section 15" xr:uid="{081F21D9-1E39-474E-9317-78319B8E3F50}"/>
    <hyperlink ref="L1" location="MAP_16" display="Section 16" xr:uid="{5F6C3E84-428B-4DC8-AAAE-EA6C1180C1ED}"/>
    <hyperlink ref="L2" location="MAP_17" display="Section 17" xr:uid="{FC2B2CA7-E986-498A-9E6D-AC3D8495788C}"/>
    <hyperlink ref="L3" location="MAP_18" display="Section 18" xr:uid="{6C87CE64-64C4-4BC3-A872-04D3C44277B3}"/>
  </hyperlinks>
  <pageMargins left="0.25" right="0.25" top="0.25" bottom="0.25" header="0.25" footer="0.25"/>
  <pageSetup scale="15" fitToHeight="0" orientation="portrait" useFirstPageNumber="1" r:id="rId1"/>
  <headerFooter scaleWithDoc="0"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ransitionEvaluation="1" codeName="Sheet6">
    <tabColor rgb="FF0000FF"/>
    <pageSetUpPr fitToPage="1"/>
  </sheetPr>
  <dimension ref="B2:EN214"/>
  <sheetViews>
    <sheetView showGridLines="0" view="pageBreakPreview" zoomScale="110" zoomScaleNormal="100" zoomScaleSheetLayoutView="110" zoomScalePageLayoutView="120" workbookViewId="0">
      <selection activeCell="J4" sqref="J4"/>
    </sheetView>
  </sheetViews>
  <sheetFormatPr defaultColWidth="11.77734375" defaultRowHeight="13.2" x14ac:dyDescent="0.25"/>
  <cols>
    <col min="1" max="1" width="2.77734375" customWidth="1"/>
    <col min="2" max="2" width="3.44140625" customWidth="1"/>
    <col min="3" max="3" width="5.77734375" customWidth="1"/>
    <col min="4" max="5" width="9.44140625" customWidth="1"/>
    <col min="6" max="6" width="38.44140625" customWidth="1"/>
    <col min="7" max="7" width="11.77734375" customWidth="1"/>
    <col min="8" max="8" width="15" customWidth="1"/>
    <col min="9" max="9" width="22.109375" customWidth="1"/>
    <col min="10" max="12" width="18.109375" customWidth="1"/>
    <col min="13" max="13" width="17.44140625" customWidth="1"/>
    <col min="14" max="14" width="20.109375" style="7" customWidth="1"/>
    <col min="15" max="15" width="11.77734375" style="7"/>
    <col min="16" max="16" width="13" style="7" customWidth="1"/>
    <col min="17" max="142" width="11.77734375" style="7"/>
  </cols>
  <sheetData>
    <row r="2" spans="3:144" ht="19.5" customHeight="1" x14ac:dyDescent="0.25">
      <c r="C2" s="226" t="s">
        <v>730</v>
      </c>
      <c r="D2" s="30"/>
      <c r="E2" s="226"/>
      <c r="F2" s="1"/>
      <c r="G2" s="1"/>
      <c r="H2" s="1"/>
      <c r="I2" s="1"/>
      <c r="J2" s="1"/>
      <c r="K2" s="1"/>
      <c r="L2" s="1"/>
      <c r="M2" s="1"/>
      <c r="N2" s="41"/>
    </row>
    <row r="3" spans="3:144" ht="12.75" customHeight="1" x14ac:dyDescent="0.25">
      <c r="C3" s="31"/>
      <c r="D3" s="30"/>
      <c r="E3" s="31"/>
      <c r="F3" s="1"/>
      <c r="G3" s="1"/>
      <c r="H3" s="1"/>
      <c r="I3" s="1"/>
      <c r="J3" s="1"/>
      <c r="K3" s="1"/>
      <c r="L3" s="1"/>
      <c r="M3" s="40">
        <f>projname</f>
        <v>0</v>
      </c>
      <c r="N3" s="41"/>
    </row>
    <row r="4" spans="3:144" s="4" customFormat="1" ht="12.75" customHeight="1" x14ac:dyDescent="0.25">
      <c r="L4" s="3" t="s">
        <v>227</v>
      </c>
      <c r="M4" s="438">
        <f>GENERAL!D7</f>
        <v>0</v>
      </c>
      <c r="N4" s="42"/>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row>
    <row r="5" spans="3:144" ht="4.95" customHeight="1" x14ac:dyDescent="0.25"/>
    <row r="6" spans="3:144" ht="14.4" thickBot="1" x14ac:dyDescent="0.3">
      <c r="C6" s="483" t="s">
        <v>731</v>
      </c>
      <c r="D6" s="439"/>
      <c r="E6" s="483"/>
      <c r="F6" s="484"/>
      <c r="G6" s="484"/>
      <c r="H6" s="484"/>
      <c r="I6" s="484"/>
      <c r="J6" s="484"/>
      <c r="K6" s="1"/>
      <c r="L6" s="1"/>
      <c r="M6" s="484"/>
      <c r="N6" s="41"/>
    </row>
    <row r="7" spans="3:144" ht="14.7" customHeight="1" thickBot="1" x14ac:dyDescent="0.3">
      <c r="D7" s="12"/>
      <c r="K7" s="1946" t="s">
        <v>2557</v>
      </c>
      <c r="L7" s="1947"/>
      <c r="N7"/>
      <c r="EM7" s="7"/>
    </row>
    <row r="8" spans="3:144" ht="15.6" x14ac:dyDescent="0.3">
      <c r="C8" s="65" t="s">
        <v>732</v>
      </c>
      <c r="D8" s="23"/>
      <c r="E8" s="65"/>
      <c r="K8" s="1712"/>
      <c r="L8" s="1712"/>
      <c r="M8" s="13" t="s">
        <v>779</v>
      </c>
      <c r="N8"/>
      <c r="EM8" s="7"/>
    </row>
    <row r="9" spans="3:144" ht="27.6" x14ac:dyDescent="0.3">
      <c r="C9" s="485" t="s">
        <v>733</v>
      </c>
      <c r="D9" s="485"/>
      <c r="E9" s="485"/>
      <c r="F9" s="486"/>
      <c r="G9" s="486"/>
      <c r="H9" s="486"/>
      <c r="I9" s="487" t="s">
        <v>734</v>
      </c>
      <c r="J9" s="488" t="s">
        <v>735</v>
      </c>
      <c r="K9" s="488" t="s">
        <v>2182</v>
      </c>
      <c r="L9" s="488" t="s">
        <v>2183</v>
      </c>
      <c r="M9" s="488" t="s">
        <v>736</v>
      </c>
      <c r="N9" s="488" t="s">
        <v>737</v>
      </c>
      <c r="O9" s="488" t="s">
        <v>738</v>
      </c>
      <c r="P9" s="45"/>
      <c r="EM9" s="7"/>
      <c r="EN9" s="7"/>
    </row>
    <row r="10" spans="3:144" ht="13.8" thickBot="1" x14ac:dyDescent="0.3">
      <c r="C10" s="946">
        <v>1</v>
      </c>
      <c r="D10" s="947" t="s">
        <v>739</v>
      </c>
      <c r="E10" s="948"/>
      <c r="F10" s="43"/>
      <c r="G10" s="491"/>
      <c r="H10" s="491"/>
      <c r="I10" s="1528"/>
      <c r="J10" s="816"/>
      <c r="K10" s="817">
        <f>J10*$K$8</f>
        <v>0</v>
      </c>
      <c r="L10" s="816">
        <f>J10*$L$8</f>
        <v>0</v>
      </c>
      <c r="M10" s="1532"/>
      <c r="N10" s="816"/>
      <c r="O10" s="1536">
        <f>J10-M10-N10</f>
        <v>0</v>
      </c>
      <c r="P10" s="46"/>
      <c r="EM10" s="7"/>
      <c r="EN10" s="7"/>
    </row>
    <row r="11" spans="3:144" x14ac:dyDescent="0.25">
      <c r="C11" s="952">
        <f>C10+1</f>
        <v>2</v>
      </c>
      <c r="D11" s="953" t="s">
        <v>740</v>
      </c>
      <c r="E11" s="953"/>
      <c r="F11" s="286"/>
      <c r="G11" s="492"/>
      <c r="H11" s="1103"/>
      <c r="I11" s="1529" t="str">
        <f>IF(J11=0,"",J11/J10)</f>
        <v/>
      </c>
      <c r="J11" s="791"/>
      <c r="K11" s="817">
        <f>J11*$K$8</f>
        <v>0</v>
      </c>
      <c r="L11" s="816">
        <f t="shared" ref="L11:L21" si="0">J11*$L$8</f>
        <v>0</v>
      </c>
      <c r="M11" s="1533"/>
      <c r="N11" s="791"/>
      <c r="O11" s="1536">
        <f t="shared" ref="O11:O24" si="1">J11-M11-N11</f>
        <v>0</v>
      </c>
      <c r="EM11" s="7"/>
      <c r="EN11" s="7"/>
    </row>
    <row r="12" spans="3:144" ht="13.8" thickBot="1" x14ac:dyDescent="0.3">
      <c r="C12" s="954">
        <f t="shared" ref="C12:C23" si="2">C11+1</f>
        <v>3</v>
      </c>
      <c r="D12" s="935" t="s">
        <v>741</v>
      </c>
      <c r="E12" s="928"/>
      <c r="F12" s="955"/>
      <c r="G12" s="495"/>
      <c r="H12" s="1103"/>
      <c r="I12" s="1529" t="str">
        <f>IF(J12=0,"",J12/J10)</f>
        <v/>
      </c>
      <c r="J12" s="791"/>
      <c r="K12" s="817">
        <f t="shared" ref="K12:K21" si="3">J12*$K$8</f>
        <v>0</v>
      </c>
      <c r="L12" s="816">
        <f t="shared" si="0"/>
        <v>0</v>
      </c>
      <c r="M12" s="1533"/>
      <c r="N12" s="791"/>
      <c r="O12" s="1536">
        <f t="shared" si="1"/>
        <v>0</v>
      </c>
      <c r="EM12" s="7"/>
      <c r="EN12" s="7"/>
    </row>
    <row r="13" spans="3:144" ht="14.4" thickBot="1" x14ac:dyDescent="0.35">
      <c r="C13" s="956">
        <f t="shared" si="2"/>
        <v>4</v>
      </c>
      <c r="D13" s="25" t="s">
        <v>742</v>
      </c>
      <c r="E13" s="25"/>
      <c r="F13" s="957"/>
      <c r="G13" s="1104">
        <f>SUM(I11:I13)</f>
        <v>0</v>
      </c>
      <c r="H13" s="1102"/>
      <c r="I13" s="1529" t="str">
        <f>IF(J13=0,"",J13/J10)</f>
        <v/>
      </c>
      <c r="J13" s="791"/>
      <c r="K13" s="817">
        <f t="shared" si="3"/>
        <v>0</v>
      </c>
      <c r="L13" s="816">
        <f t="shared" si="0"/>
        <v>0</v>
      </c>
      <c r="M13" s="1533"/>
      <c r="N13" s="791"/>
      <c r="O13" s="1536">
        <f t="shared" si="1"/>
        <v>0</v>
      </c>
      <c r="EM13" s="7"/>
      <c r="EN13" s="7"/>
    </row>
    <row r="14" spans="3:144" x14ac:dyDescent="0.25">
      <c r="C14" s="949">
        <f t="shared" si="2"/>
        <v>5</v>
      </c>
      <c r="D14" s="950" t="s">
        <v>743</v>
      </c>
      <c r="E14" s="951"/>
      <c r="F14" s="814"/>
      <c r="G14" s="234"/>
      <c r="H14" s="323"/>
      <c r="I14" s="1530"/>
      <c r="J14" s="791"/>
      <c r="K14" s="817">
        <f t="shared" si="3"/>
        <v>0</v>
      </c>
      <c r="L14" s="816">
        <f t="shared" si="0"/>
        <v>0</v>
      </c>
      <c r="M14" s="1533"/>
      <c r="N14" s="791"/>
      <c r="O14" s="1536">
        <f t="shared" si="1"/>
        <v>0</v>
      </c>
      <c r="EM14" s="7"/>
      <c r="EN14" s="7"/>
    </row>
    <row r="15" spans="3:144" ht="12" customHeight="1" x14ac:dyDescent="0.25">
      <c r="C15" s="490">
        <f t="shared" si="2"/>
        <v>6</v>
      </c>
      <c r="D15" s="493" t="s">
        <v>30</v>
      </c>
      <c r="E15" s="496" t="s">
        <v>80</v>
      </c>
      <c r="F15" s="492"/>
      <c r="G15" s="492"/>
      <c r="H15" s="323"/>
      <c r="I15" s="964"/>
      <c r="J15" s="791"/>
      <c r="K15" s="817">
        <f t="shared" si="3"/>
        <v>0</v>
      </c>
      <c r="L15" s="816">
        <f t="shared" si="0"/>
        <v>0</v>
      </c>
      <c r="M15" s="1533"/>
      <c r="N15" s="791"/>
      <c r="O15" s="1536">
        <f t="shared" si="1"/>
        <v>0</v>
      </c>
      <c r="EM15" s="7"/>
      <c r="EN15" s="7"/>
    </row>
    <row r="16" spans="3:144" x14ac:dyDescent="0.25">
      <c r="C16" s="490">
        <f t="shared" si="2"/>
        <v>7</v>
      </c>
      <c r="D16" s="493" t="s">
        <v>30</v>
      </c>
      <c r="E16" s="496" t="s">
        <v>80</v>
      </c>
      <c r="F16" s="7"/>
      <c r="G16" s="492"/>
      <c r="H16" s="323"/>
      <c r="I16" s="964"/>
      <c r="J16" s="791"/>
      <c r="K16" s="817">
        <f t="shared" si="3"/>
        <v>0</v>
      </c>
      <c r="L16" s="816">
        <f t="shared" si="0"/>
        <v>0</v>
      </c>
      <c r="M16" s="1533"/>
      <c r="N16" s="791"/>
      <c r="O16" s="1536">
        <f t="shared" si="1"/>
        <v>0</v>
      </c>
      <c r="EM16" s="7"/>
      <c r="EN16" s="7"/>
    </row>
    <row r="17" spans="2:144" x14ac:dyDescent="0.25">
      <c r="C17" s="490">
        <f t="shared" si="2"/>
        <v>8</v>
      </c>
      <c r="D17" s="493" t="s">
        <v>30</v>
      </c>
      <c r="E17" s="496" t="s">
        <v>80</v>
      </c>
      <c r="F17" s="492"/>
      <c r="G17" s="492"/>
      <c r="H17" s="323"/>
      <c r="I17" s="964"/>
      <c r="J17" s="791"/>
      <c r="K17" s="817">
        <f t="shared" si="3"/>
        <v>0</v>
      </c>
      <c r="L17" s="816">
        <f t="shared" si="0"/>
        <v>0</v>
      </c>
      <c r="M17" s="1533"/>
      <c r="N17" s="791"/>
      <c r="O17" s="1536">
        <f t="shared" si="1"/>
        <v>0</v>
      </c>
      <c r="EM17" s="7"/>
      <c r="EN17" s="7"/>
    </row>
    <row r="18" spans="2:144" x14ac:dyDescent="0.25">
      <c r="C18" s="490">
        <f t="shared" si="2"/>
        <v>9</v>
      </c>
      <c r="D18" s="493" t="s">
        <v>30</v>
      </c>
      <c r="E18" s="496" t="s">
        <v>80</v>
      </c>
      <c r="F18" s="492"/>
      <c r="G18" s="492"/>
      <c r="H18" s="323"/>
      <c r="I18" s="964"/>
      <c r="J18" s="791"/>
      <c r="K18" s="817">
        <f t="shared" si="3"/>
        <v>0</v>
      </c>
      <c r="L18" s="816">
        <f t="shared" si="0"/>
        <v>0</v>
      </c>
      <c r="M18" s="1533"/>
      <c r="N18" s="791"/>
      <c r="O18" s="1536">
        <f t="shared" si="1"/>
        <v>0</v>
      </c>
      <c r="EM18" s="7"/>
      <c r="EN18" s="7"/>
    </row>
    <row r="19" spans="2:144" x14ac:dyDescent="0.25">
      <c r="C19" s="490">
        <f t="shared" si="2"/>
        <v>10</v>
      </c>
      <c r="D19" s="493" t="s">
        <v>30</v>
      </c>
      <c r="E19" s="496" t="s">
        <v>80</v>
      </c>
      <c r="F19" s="492"/>
      <c r="G19" s="492"/>
      <c r="H19" s="323"/>
      <c r="I19" s="964"/>
      <c r="J19" s="791"/>
      <c r="K19" s="817">
        <f t="shared" si="3"/>
        <v>0</v>
      </c>
      <c r="L19" s="816">
        <f t="shared" si="0"/>
        <v>0</v>
      </c>
      <c r="M19" s="1533"/>
      <c r="N19" s="791"/>
      <c r="O19" s="1536">
        <f t="shared" si="1"/>
        <v>0</v>
      </c>
      <c r="EM19" s="7"/>
      <c r="EN19" s="7"/>
    </row>
    <row r="20" spans="2:144" x14ac:dyDescent="0.25">
      <c r="C20" s="490">
        <f t="shared" si="2"/>
        <v>11</v>
      </c>
      <c r="D20" s="493" t="s">
        <v>30</v>
      </c>
      <c r="E20" s="496" t="s">
        <v>80</v>
      </c>
      <c r="F20" s="492"/>
      <c r="G20" s="492"/>
      <c r="H20" s="323"/>
      <c r="I20" s="964"/>
      <c r="J20" s="791"/>
      <c r="K20" s="817">
        <f t="shared" si="3"/>
        <v>0</v>
      </c>
      <c r="L20" s="816">
        <f t="shared" si="0"/>
        <v>0</v>
      </c>
      <c r="M20" s="1533"/>
      <c r="N20" s="791"/>
      <c r="O20" s="1536">
        <f t="shared" si="1"/>
        <v>0</v>
      </c>
      <c r="EM20" s="7"/>
      <c r="EN20" s="7"/>
    </row>
    <row r="21" spans="2:144" x14ac:dyDescent="0.25">
      <c r="C21" s="490">
        <f t="shared" si="2"/>
        <v>12</v>
      </c>
      <c r="D21" s="493" t="s">
        <v>30</v>
      </c>
      <c r="E21" s="496" t="s">
        <v>80</v>
      </c>
      <c r="F21" s="492"/>
      <c r="G21" s="492"/>
      <c r="H21" s="323"/>
      <c r="I21" s="964"/>
      <c r="J21" s="791"/>
      <c r="K21" s="817">
        <f t="shared" si="3"/>
        <v>0</v>
      </c>
      <c r="L21" s="816">
        <f t="shared" si="0"/>
        <v>0</v>
      </c>
      <c r="M21" s="1533"/>
      <c r="N21" s="791"/>
      <c r="O21" s="1536">
        <f t="shared" si="1"/>
        <v>0</v>
      </c>
      <c r="EM21" s="7"/>
      <c r="EN21" s="7"/>
    </row>
    <row r="22" spans="2:144" s="4" customFormat="1" x14ac:dyDescent="0.25">
      <c r="C22" s="923">
        <f t="shared" si="2"/>
        <v>13</v>
      </c>
      <c r="D22" s="924" t="s">
        <v>744</v>
      </c>
      <c r="E22" s="925"/>
      <c r="F22" s="491"/>
      <c r="G22" s="491"/>
      <c r="H22" s="926"/>
      <c r="I22" s="1528"/>
      <c r="J22" s="1534">
        <f>SUM(J10:J21)</f>
        <v>0</v>
      </c>
      <c r="K22" s="1534">
        <f>SUM(K10:K21)</f>
        <v>0</v>
      </c>
      <c r="L22" s="1534">
        <f>SUM(L10:L21)</f>
        <v>0</v>
      </c>
      <c r="M22" s="1534">
        <f>SUM(M10:M21)</f>
        <v>0</v>
      </c>
      <c r="N22" s="1534">
        <f>SUM(N10:N21)</f>
        <v>0</v>
      </c>
      <c r="O22" s="1537">
        <f t="shared" si="1"/>
        <v>0</v>
      </c>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row>
    <row r="23" spans="2:144" x14ac:dyDescent="0.25">
      <c r="C23" s="490">
        <f t="shared" si="2"/>
        <v>14</v>
      </c>
      <c r="D23" s="497" t="s">
        <v>745</v>
      </c>
      <c r="E23" s="494"/>
      <c r="F23" s="498"/>
      <c r="G23" s="498"/>
      <c r="H23" s="499"/>
      <c r="I23" s="1531" t="str">
        <f>IF(J23=0,"",J23/J22)</f>
        <v/>
      </c>
      <c r="J23" s="791"/>
      <c r="K23" s="818">
        <f>USE_ConstructionContingency*$K$8</f>
        <v>0</v>
      </c>
      <c r="L23" s="791">
        <f>USE_ConstructionContingency*$L$8</f>
        <v>0</v>
      </c>
      <c r="M23" s="1533"/>
      <c r="N23" s="819"/>
      <c r="O23" s="1536">
        <f t="shared" si="1"/>
        <v>0</v>
      </c>
      <c r="EM23" s="7"/>
      <c r="EN23" s="7"/>
    </row>
    <row r="24" spans="2:144" ht="12.75" customHeight="1" x14ac:dyDescent="0.25">
      <c r="C24" s="67">
        <f>C23+1</f>
        <v>15</v>
      </c>
      <c r="D24" s="11" t="s">
        <v>2131</v>
      </c>
      <c r="E24" s="67"/>
      <c r="F24" s="7"/>
      <c r="G24" s="285"/>
      <c r="H24" s="285"/>
      <c r="I24" s="28"/>
      <c r="J24" s="1535">
        <f>SUM(J22:J23)</f>
        <v>0</v>
      </c>
      <c r="K24" s="1535">
        <f>SUM(K22:K23)</f>
        <v>0</v>
      </c>
      <c r="L24" s="1535">
        <f>SUM(L22:L23)</f>
        <v>0</v>
      </c>
      <c r="M24" s="1535">
        <f>SUM(M22:M23)</f>
        <v>0</v>
      </c>
      <c r="N24" s="1535">
        <f>SUM(N22:N23)</f>
        <v>0</v>
      </c>
      <c r="O24" s="1535">
        <f t="shared" si="1"/>
        <v>0</v>
      </c>
      <c r="P24" s="48"/>
      <c r="EM24" s="7"/>
      <c r="EN24" s="7"/>
    </row>
    <row r="25" spans="2:144" ht="10.199999999999999" customHeight="1" x14ac:dyDescent="0.25">
      <c r="C25" s="66"/>
      <c r="D25" s="44"/>
      <c r="E25" s="287"/>
      <c r="F25" s="7"/>
      <c r="G25" s="7"/>
      <c r="H25" s="7"/>
      <c r="I25" s="7"/>
      <c r="J25" s="7"/>
      <c r="K25" s="7"/>
      <c r="L25" s="7"/>
      <c r="M25" s="7"/>
      <c r="O25"/>
      <c r="EM25" s="7"/>
      <c r="EN25" s="7"/>
    </row>
    <row r="26" spans="2:144" ht="15.6" x14ac:dyDescent="0.3">
      <c r="C26" s="65" t="s">
        <v>746</v>
      </c>
      <c r="D26" s="281"/>
      <c r="E26" s="288"/>
      <c r="F26" s="7"/>
      <c r="G26" s="7"/>
      <c r="H26" s="7"/>
      <c r="I26" s="7"/>
      <c r="J26" s="7"/>
      <c r="K26" s="7"/>
      <c r="L26" s="7"/>
      <c r="M26" s="13" t="s">
        <v>779</v>
      </c>
      <c r="EM26" s="7"/>
      <c r="EN26" s="7"/>
    </row>
    <row r="27" spans="2:144" ht="27.6" x14ac:dyDescent="0.3">
      <c r="C27" s="485" t="s">
        <v>733</v>
      </c>
      <c r="D27" s="485"/>
      <c r="E27" s="485"/>
      <c r="F27" s="486"/>
      <c r="G27" s="486"/>
      <c r="H27" s="486"/>
      <c r="I27" s="487" t="s">
        <v>734</v>
      </c>
      <c r="J27" s="488" t="s">
        <v>735</v>
      </c>
      <c r="K27" s="488" t="s">
        <v>2182</v>
      </c>
      <c r="L27" s="488" t="s">
        <v>2183</v>
      </c>
      <c r="M27" s="488" t="s">
        <v>736</v>
      </c>
      <c r="N27" s="488" t="s">
        <v>737</v>
      </c>
      <c r="O27" s="488" t="s">
        <v>738</v>
      </c>
      <c r="P27" s="45"/>
      <c r="EM27" s="7"/>
      <c r="EN27" s="7"/>
    </row>
    <row r="28" spans="2:144" x14ac:dyDescent="0.25">
      <c r="B28" s="7"/>
      <c r="C28" s="324">
        <f>C24+1</f>
        <v>16</v>
      </c>
      <c r="D28" s="500" t="s">
        <v>747</v>
      </c>
      <c r="E28" s="501"/>
      <c r="F28" s="492"/>
      <c r="G28" s="492"/>
      <c r="H28" s="1102"/>
      <c r="I28" s="1529" t="str">
        <f>IF(J28=0,"",J28/J22)</f>
        <v/>
      </c>
      <c r="J28" s="822"/>
      <c r="K28" s="823">
        <f>J28*$K$8</f>
        <v>0</v>
      </c>
      <c r="L28" s="823">
        <f>J28*$L$8</f>
        <v>0</v>
      </c>
      <c r="M28" s="823"/>
      <c r="N28" s="822"/>
      <c r="O28" s="1539">
        <f>J28-M28-N28</f>
        <v>0</v>
      </c>
      <c r="P28" s="46"/>
      <c r="EM28" s="7"/>
      <c r="EN28" s="7"/>
    </row>
    <row r="29" spans="2:144" x14ac:dyDescent="0.25">
      <c r="B29" s="7"/>
      <c r="C29" s="324">
        <f>C28+1</f>
        <v>17</v>
      </c>
      <c r="D29" s="500" t="s">
        <v>748</v>
      </c>
      <c r="E29" s="501"/>
      <c r="F29" s="492"/>
      <c r="G29" s="492"/>
      <c r="H29" s="1102"/>
      <c r="I29" s="1529" t="str">
        <f>IF(J29=0,"",J29/J22)</f>
        <v/>
      </c>
      <c r="J29" s="824"/>
      <c r="K29" s="823">
        <f t="shared" ref="K29:K60" si="4">J29*$K$8</f>
        <v>0</v>
      </c>
      <c r="L29" s="823">
        <f t="shared" ref="L29:L60" si="5">J29*$L$8</f>
        <v>0</v>
      </c>
      <c r="M29" s="824"/>
      <c r="N29" s="820"/>
      <c r="O29" s="1539">
        <f t="shared" ref="O29:O60" si="6">J29-M29-N29</f>
        <v>0</v>
      </c>
      <c r="P29" s="49"/>
      <c r="EM29" s="7"/>
      <c r="EN29" s="7"/>
    </row>
    <row r="30" spans="2:144" x14ac:dyDescent="0.25">
      <c r="B30" s="7"/>
      <c r="C30" s="324">
        <f t="shared" ref="C30:C60" si="7">C29+1</f>
        <v>18</v>
      </c>
      <c r="D30" s="500" t="s">
        <v>749</v>
      </c>
      <c r="E30" s="501"/>
      <c r="F30" s="492"/>
      <c r="G30" s="492"/>
      <c r="H30" s="1102"/>
      <c r="I30" s="1529" t="str">
        <f>IF(J30=0,"",J30/J22)</f>
        <v/>
      </c>
      <c r="J30" s="824"/>
      <c r="K30" s="823">
        <f t="shared" si="4"/>
        <v>0</v>
      </c>
      <c r="L30" s="823">
        <f t="shared" si="5"/>
        <v>0</v>
      </c>
      <c r="M30" s="824"/>
      <c r="N30" s="820"/>
      <c r="O30" s="1539">
        <f t="shared" si="6"/>
        <v>0</v>
      </c>
      <c r="P30" s="49"/>
      <c r="EM30" s="7"/>
      <c r="EN30" s="7"/>
    </row>
    <row r="31" spans="2:144" x14ac:dyDescent="0.25">
      <c r="B31" s="7"/>
      <c r="C31" s="324">
        <f t="shared" si="7"/>
        <v>19</v>
      </c>
      <c r="D31" s="500" t="s">
        <v>750</v>
      </c>
      <c r="E31" s="501"/>
      <c r="F31" s="492"/>
      <c r="G31" s="492"/>
      <c r="H31" s="323"/>
      <c r="I31" s="964"/>
      <c r="J31" s="824"/>
      <c r="K31" s="823">
        <f t="shared" si="4"/>
        <v>0</v>
      </c>
      <c r="L31" s="823">
        <f t="shared" si="5"/>
        <v>0</v>
      </c>
      <c r="M31" s="824"/>
      <c r="N31" s="820"/>
      <c r="O31" s="1539">
        <f t="shared" si="6"/>
        <v>0</v>
      </c>
      <c r="P31" s="50"/>
      <c r="EM31" s="7"/>
      <c r="EN31" s="7"/>
    </row>
    <row r="32" spans="2:144" x14ac:dyDescent="0.25">
      <c r="B32" s="7"/>
      <c r="C32" s="324">
        <f t="shared" si="7"/>
        <v>20</v>
      </c>
      <c r="D32" s="500" t="s">
        <v>2662</v>
      </c>
      <c r="E32" s="501"/>
      <c r="F32" s="492"/>
      <c r="G32" s="492"/>
      <c r="H32" s="1102"/>
      <c r="I32" s="1529" t="str">
        <f>IF(J32=0,"",J32/J10)</f>
        <v/>
      </c>
      <c r="J32" s="824"/>
      <c r="K32" s="823">
        <f t="shared" si="4"/>
        <v>0</v>
      </c>
      <c r="L32" s="823">
        <f t="shared" si="5"/>
        <v>0</v>
      </c>
      <c r="M32" s="824"/>
      <c r="N32" s="820"/>
      <c r="O32" s="1539">
        <f t="shared" si="6"/>
        <v>0</v>
      </c>
      <c r="P32" s="50"/>
      <c r="EM32" s="7"/>
      <c r="EN32" s="7"/>
    </row>
    <row r="33" spans="2:144" x14ac:dyDescent="0.25">
      <c r="B33" s="7"/>
      <c r="C33" s="324">
        <f>C32+1</f>
        <v>21</v>
      </c>
      <c r="D33" s="500" t="s">
        <v>2663</v>
      </c>
      <c r="E33" s="501"/>
      <c r="F33" s="492"/>
      <c r="G33" s="492"/>
      <c r="H33" s="1102"/>
      <c r="I33" s="1529" t="str">
        <f>IF(J33=0,"",J33/J10)</f>
        <v/>
      </c>
      <c r="J33" s="824"/>
      <c r="K33" s="823">
        <f>J33*$K$8</f>
        <v>0</v>
      </c>
      <c r="L33" s="823">
        <f>J33*$L$8</f>
        <v>0</v>
      </c>
      <c r="M33" s="824"/>
      <c r="N33" s="820"/>
      <c r="O33" s="1539">
        <f>J33-M33-N33</f>
        <v>0</v>
      </c>
      <c r="P33" s="50"/>
      <c r="EM33" s="7"/>
      <c r="EN33" s="7"/>
    </row>
    <row r="34" spans="2:144" x14ac:dyDescent="0.25">
      <c r="B34" s="7"/>
      <c r="C34" s="324">
        <f>C33+1</f>
        <v>22</v>
      </c>
      <c r="D34" s="500" t="s">
        <v>751</v>
      </c>
      <c r="E34" s="501"/>
      <c r="F34" s="492"/>
      <c r="G34" s="492"/>
      <c r="H34" s="846" t="s">
        <v>2472</v>
      </c>
      <c r="I34" s="964"/>
      <c r="J34" s="824"/>
      <c r="K34" s="823">
        <f t="shared" si="4"/>
        <v>0</v>
      </c>
      <c r="L34" s="823">
        <f t="shared" si="5"/>
        <v>0</v>
      </c>
      <c r="M34" s="824"/>
      <c r="N34" s="823"/>
      <c r="O34" s="1539">
        <f t="shared" si="6"/>
        <v>0</v>
      </c>
      <c r="P34" s="50"/>
      <c r="EM34" s="7"/>
      <c r="EN34" s="7"/>
    </row>
    <row r="35" spans="2:144" x14ac:dyDescent="0.25">
      <c r="B35" s="7"/>
      <c r="C35" s="324">
        <f t="shared" si="7"/>
        <v>23</v>
      </c>
      <c r="D35" s="500" t="s">
        <v>30</v>
      </c>
      <c r="E35" s="51" t="s">
        <v>80</v>
      </c>
      <c r="F35" s="492"/>
      <c r="G35" s="7"/>
      <c r="H35" s="7"/>
      <c r="I35" s="964"/>
      <c r="J35" s="824"/>
      <c r="K35" s="823">
        <f>J35*$K$8</f>
        <v>0</v>
      </c>
      <c r="L35" s="823">
        <f>J35*$L$8</f>
        <v>0</v>
      </c>
      <c r="M35" s="824"/>
      <c r="N35" s="823"/>
      <c r="O35" s="1539">
        <f t="shared" si="6"/>
        <v>0</v>
      </c>
      <c r="P35" s="50"/>
      <c r="EM35" s="7"/>
      <c r="EN35" s="7"/>
    </row>
    <row r="36" spans="2:144" x14ac:dyDescent="0.25">
      <c r="B36" s="7"/>
      <c r="C36" s="324">
        <f t="shared" si="7"/>
        <v>24</v>
      </c>
      <c r="D36" s="500" t="s">
        <v>752</v>
      </c>
      <c r="E36" s="501"/>
      <c r="F36" s="492"/>
      <c r="G36" s="492"/>
      <c r="H36" s="323"/>
      <c r="I36" s="964"/>
      <c r="J36" s="824"/>
      <c r="K36" s="823">
        <f>J36*$K$8</f>
        <v>0</v>
      </c>
      <c r="L36" s="823">
        <f>J36*$L$8</f>
        <v>0</v>
      </c>
      <c r="M36" s="824"/>
      <c r="N36" s="823"/>
      <c r="O36" s="1539">
        <f t="shared" si="6"/>
        <v>0</v>
      </c>
      <c r="P36" s="50"/>
      <c r="EM36" s="7"/>
      <c r="EN36" s="7"/>
    </row>
    <row r="37" spans="2:144" x14ac:dyDescent="0.25">
      <c r="B37" s="7"/>
      <c r="C37" s="324">
        <f t="shared" si="7"/>
        <v>25</v>
      </c>
      <c r="D37" s="500" t="s">
        <v>753</v>
      </c>
      <c r="E37" s="501"/>
      <c r="F37" s="492"/>
      <c r="G37" s="492"/>
      <c r="H37" s="323"/>
      <c r="I37" s="964"/>
      <c r="J37" s="824"/>
      <c r="K37" s="823">
        <f t="shared" si="4"/>
        <v>0</v>
      </c>
      <c r="L37" s="823">
        <f t="shared" si="5"/>
        <v>0</v>
      </c>
      <c r="M37" s="824"/>
      <c r="N37" s="823"/>
      <c r="O37" s="1539">
        <f t="shared" si="6"/>
        <v>0</v>
      </c>
      <c r="P37" s="50"/>
      <c r="EM37" s="7"/>
      <c r="EN37" s="7"/>
    </row>
    <row r="38" spans="2:144" ht="11.7" customHeight="1" x14ac:dyDescent="0.25">
      <c r="B38" s="7"/>
      <c r="C38" s="324">
        <f t="shared" si="7"/>
        <v>26</v>
      </c>
      <c r="D38" s="500" t="s">
        <v>754</v>
      </c>
      <c r="E38" s="501"/>
      <c r="F38" s="492"/>
      <c r="G38" s="492"/>
      <c r="H38" s="323"/>
      <c r="I38" s="964"/>
      <c r="J38" s="824"/>
      <c r="K38" s="823">
        <f t="shared" si="4"/>
        <v>0</v>
      </c>
      <c r="L38" s="823">
        <f t="shared" si="5"/>
        <v>0</v>
      </c>
      <c r="M38" s="824"/>
      <c r="N38" s="823"/>
      <c r="O38" s="1539">
        <f t="shared" si="6"/>
        <v>0</v>
      </c>
      <c r="P38" s="50"/>
      <c r="EM38" s="7"/>
      <c r="EN38" s="7"/>
    </row>
    <row r="39" spans="2:144" x14ac:dyDescent="0.25">
      <c r="B39" s="7"/>
      <c r="C39" s="324">
        <f t="shared" si="7"/>
        <v>27</v>
      </c>
      <c r="D39" s="500" t="s">
        <v>755</v>
      </c>
      <c r="E39" s="501"/>
      <c r="F39" s="492"/>
      <c r="G39" s="492"/>
      <c r="H39" s="323"/>
      <c r="I39" s="964"/>
      <c r="J39" s="824"/>
      <c r="K39" s="823">
        <f t="shared" si="4"/>
        <v>0</v>
      </c>
      <c r="L39" s="823">
        <f t="shared" si="5"/>
        <v>0</v>
      </c>
      <c r="M39" s="824"/>
      <c r="N39" s="823"/>
      <c r="O39" s="1539">
        <f t="shared" si="6"/>
        <v>0</v>
      </c>
      <c r="P39" s="50"/>
      <c r="EM39" s="7"/>
      <c r="EN39" s="7"/>
    </row>
    <row r="40" spans="2:144" x14ac:dyDescent="0.25">
      <c r="B40" s="7"/>
      <c r="C40" s="324">
        <f t="shared" si="7"/>
        <v>28</v>
      </c>
      <c r="D40" s="500" t="s">
        <v>756</v>
      </c>
      <c r="E40" s="501"/>
      <c r="F40" s="492"/>
      <c r="G40" s="492"/>
      <c r="H40" s="323"/>
      <c r="I40" s="964"/>
      <c r="J40" s="824"/>
      <c r="K40" s="823">
        <f t="shared" si="4"/>
        <v>0</v>
      </c>
      <c r="L40" s="823">
        <f t="shared" si="5"/>
        <v>0</v>
      </c>
      <c r="M40" s="824"/>
      <c r="N40" s="823"/>
      <c r="O40" s="1539">
        <f t="shared" si="6"/>
        <v>0</v>
      </c>
      <c r="P40" s="50"/>
      <c r="EM40" s="7"/>
      <c r="EN40" s="7"/>
    </row>
    <row r="41" spans="2:144" x14ac:dyDescent="0.25">
      <c r="B41" s="7"/>
      <c r="C41" s="324">
        <f t="shared" si="7"/>
        <v>29</v>
      </c>
      <c r="D41" s="500" t="s">
        <v>757</v>
      </c>
      <c r="E41" s="501"/>
      <c r="F41" s="502"/>
      <c r="G41" s="502"/>
      <c r="H41" s="323"/>
      <c r="I41" s="964"/>
      <c r="J41" s="824"/>
      <c r="K41" s="823">
        <f t="shared" si="4"/>
        <v>0</v>
      </c>
      <c r="L41" s="823">
        <f t="shared" si="5"/>
        <v>0</v>
      </c>
      <c r="M41" s="824"/>
      <c r="N41" s="823"/>
      <c r="O41" s="1539">
        <f t="shared" si="6"/>
        <v>0</v>
      </c>
      <c r="P41" s="50"/>
      <c r="EM41" s="7"/>
      <c r="EN41" s="7"/>
    </row>
    <row r="42" spans="2:144" x14ac:dyDescent="0.25">
      <c r="B42" s="7"/>
      <c r="C42" s="324">
        <f t="shared" si="7"/>
        <v>30</v>
      </c>
      <c r="D42" s="500" t="s">
        <v>758</v>
      </c>
      <c r="E42" s="501"/>
      <c r="F42" s="492"/>
      <c r="G42" s="492"/>
      <c r="H42" s="323"/>
      <c r="I42" s="964"/>
      <c r="J42" s="824"/>
      <c r="K42" s="823">
        <f t="shared" si="4"/>
        <v>0</v>
      </c>
      <c r="L42" s="823">
        <f t="shared" si="5"/>
        <v>0</v>
      </c>
      <c r="M42" s="824"/>
      <c r="N42" s="823"/>
      <c r="O42" s="1539">
        <f t="shared" si="6"/>
        <v>0</v>
      </c>
      <c r="P42" s="50"/>
      <c r="EM42" s="7"/>
      <c r="EN42" s="7"/>
    </row>
    <row r="43" spans="2:144" x14ac:dyDescent="0.25">
      <c r="B43" s="7"/>
      <c r="C43" s="324">
        <f t="shared" si="7"/>
        <v>31</v>
      </c>
      <c r="D43" s="500" t="s">
        <v>759</v>
      </c>
      <c r="E43" s="501"/>
      <c r="F43" s="492"/>
      <c r="G43" s="492"/>
      <c r="H43" s="323"/>
      <c r="I43" s="964"/>
      <c r="J43" s="824"/>
      <c r="K43" s="823">
        <f t="shared" si="4"/>
        <v>0</v>
      </c>
      <c r="L43" s="823">
        <f t="shared" si="5"/>
        <v>0</v>
      </c>
      <c r="M43" s="824"/>
      <c r="N43" s="823"/>
      <c r="O43" s="1539">
        <f t="shared" si="6"/>
        <v>0</v>
      </c>
      <c r="P43" s="50"/>
      <c r="EM43" s="7"/>
      <c r="EN43" s="7"/>
    </row>
    <row r="44" spans="2:144" x14ac:dyDescent="0.25">
      <c r="B44" s="7"/>
      <c r="C44" s="324">
        <f t="shared" si="7"/>
        <v>32</v>
      </c>
      <c r="D44" s="500" t="s">
        <v>760</v>
      </c>
      <c r="E44" s="501"/>
      <c r="F44" s="492"/>
      <c r="G44" s="492"/>
      <c r="H44" s="846" t="s">
        <v>2473</v>
      </c>
      <c r="I44" s="964"/>
      <c r="J44" s="824"/>
      <c r="K44" s="823">
        <f t="shared" si="4"/>
        <v>0</v>
      </c>
      <c r="L44" s="823">
        <f t="shared" si="5"/>
        <v>0</v>
      </c>
      <c r="M44" s="824"/>
      <c r="N44" s="823"/>
      <c r="O44" s="1539">
        <f t="shared" si="6"/>
        <v>0</v>
      </c>
      <c r="P44" s="50"/>
      <c r="EM44" s="7"/>
      <c r="EN44" s="7"/>
    </row>
    <row r="45" spans="2:144" x14ac:dyDescent="0.25">
      <c r="B45" s="7"/>
      <c r="C45" s="324">
        <f t="shared" si="7"/>
        <v>33</v>
      </c>
      <c r="D45" s="500" t="s">
        <v>2664</v>
      </c>
      <c r="E45" s="501"/>
      <c r="F45" s="492"/>
      <c r="G45" s="492"/>
      <c r="H45" s="323"/>
      <c r="I45" s="964"/>
      <c r="J45" s="824"/>
      <c r="K45" s="823">
        <f t="shared" si="4"/>
        <v>0</v>
      </c>
      <c r="L45" s="823">
        <f t="shared" si="5"/>
        <v>0</v>
      </c>
      <c r="M45" s="824"/>
      <c r="N45" s="823"/>
      <c r="O45" s="1539">
        <f t="shared" si="6"/>
        <v>0</v>
      </c>
      <c r="P45" s="50"/>
      <c r="EM45" s="7"/>
      <c r="EN45" s="7"/>
    </row>
    <row r="46" spans="2:144" x14ac:dyDescent="0.25">
      <c r="B46" s="7"/>
      <c r="C46" s="324">
        <f t="shared" si="7"/>
        <v>34</v>
      </c>
      <c r="D46" s="1390" t="s">
        <v>2665</v>
      </c>
      <c r="E46" s="1391"/>
      <c r="F46" s="1301"/>
      <c r="G46" s="1301"/>
      <c r="H46" s="1393"/>
      <c r="I46" s="1538"/>
      <c r="J46" s="824"/>
      <c r="K46" s="823">
        <f>J46*$K$8</f>
        <v>0</v>
      </c>
      <c r="L46" s="823">
        <f>J46*$L$8</f>
        <v>0</v>
      </c>
      <c r="M46" s="1392"/>
      <c r="N46" s="823"/>
      <c r="O46" s="1540">
        <f t="shared" si="6"/>
        <v>0</v>
      </c>
      <c r="P46" s="50"/>
      <c r="EM46" s="7"/>
      <c r="EN46" s="7"/>
    </row>
    <row r="47" spans="2:144" x14ac:dyDescent="0.25">
      <c r="B47" s="7"/>
      <c r="C47" s="324">
        <f t="shared" si="7"/>
        <v>35</v>
      </c>
      <c r="D47" s="500" t="s">
        <v>2666</v>
      </c>
      <c r="E47" s="501"/>
      <c r="F47" s="492"/>
      <c r="G47" s="492"/>
      <c r="H47" s="323"/>
      <c r="I47" s="964"/>
      <c r="J47" s="824"/>
      <c r="K47" s="823">
        <f t="shared" si="4"/>
        <v>0</v>
      </c>
      <c r="L47" s="823">
        <f t="shared" si="5"/>
        <v>0</v>
      </c>
      <c r="M47" s="824"/>
      <c r="N47" s="823"/>
      <c r="O47" s="1539">
        <f t="shared" si="6"/>
        <v>0</v>
      </c>
      <c r="P47" s="50"/>
      <c r="EM47" s="7"/>
      <c r="EN47" s="7"/>
    </row>
    <row r="48" spans="2:144" x14ac:dyDescent="0.25">
      <c r="B48" s="7"/>
      <c r="C48" s="324">
        <f t="shared" si="7"/>
        <v>36</v>
      </c>
      <c r="D48" s="1390" t="s">
        <v>2667</v>
      </c>
      <c r="E48" s="1391"/>
      <c r="F48" s="1301"/>
      <c r="G48" s="1301"/>
      <c r="H48" s="1393"/>
      <c r="I48" s="1538"/>
      <c r="J48" s="824"/>
      <c r="K48" s="823">
        <f>J48*$K$8</f>
        <v>0</v>
      </c>
      <c r="L48" s="823">
        <f>J48*$L$8</f>
        <v>0</v>
      </c>
      <c r="M48" s="824"/>
      <c r="N48" s="823"/>
      <c r="O48" s="1539">
        <f t="shared" si="6"/>
        <v>0</v>
      </c>
      <c r="P48" s="50"/>
      <c r="EM48" s="7"/>
      <c r="EN48" s="7"/>
    </row>
    <row r="49" spans="2:144" x14ac:dyDescent="0.25">
      <c r="B49" s="7"/>
      <c r="C49" s="324">
        <f t="shared" si="7"/>
        <v>37</v>
      </c>
      <c r="D49" s="500" t="s">
        <v>2750</v>
      </c>
      <c r="E49" s="501"/>
      <c r="F49" s="492"/>
      <c r="G49" s="492"/>
      <c r="H49" s="323"/>
      <c r="I49" s="964"/>
      <c r="J49" s="824"/>
      <c r="K49" s="823">
        <f t="shared" si="4"/>
        <v>0</v>
      </c>
      <c r="L49" s="823">
        <f t="shared" si="5"/>
        <v>0</v>
      </c>
      <c r="M49" s="824"/>
      <c r="N49" s="820"/>
      <c r="O49" s="1539">
        <f t="shared" si="6"/>
        <v>0</v>
      </c>
      <c r="P49" s="50"/>
      <c r="EM49" s="7"/>
      <c r="EN49" s="7"/>
    </row>
    <row r="50" spans="2:144" x14ac:dyDescent="0.25">
      <c r="B50" s="7"/>
      <c r="C50" s="324">
        <f t="shared" si="7"/>
        <v>38</v>
      </c>
      <c r="D50" s="500" t="s">
        <v>2751</v>
      </c>
      <c r="E50" s="501"/>
      <c r="F50" s="492"/>
      <c r="G50" s="492"/>
      <c r="H50" s="323"/>
      <c r="I50" s="964"/>
      <c r="J50" s="824"/>
      <c r="K50" s="823">
        <f t="shared" si="4"/>
        <v>0</v>
      </c>
      <c r="L50" s="823">
        <f t="shared" si="5"/>
        <v>0</v>
      </c>
      <c r="M50" s="824"/>
      <c r="N50" s="820"/>
      <c r="O50" s="1539">
        <f t="shared" si="6"/>
        <v>0</v>
      </c>
      <c r="P50" s="50"/>
      <c r="EM50" s="7"/>
      <c r="EN50" s="7"/>
    </row>
    <row r="51" spans="2:144" x14ac:dyDescent="0.25">
      <c r="B51" s="7"/>
      <c r="C51" s="324">
        <f t="shared" si="7"/>
        <v>39</v>
      </c>
      <c r="D51" s="500" t="s">
        <v>30</v>
      </c>
      <c r="E51" s="496" t="s">
        <v>80</v>
      </c>
      <c r="F51" s="492"/>
      <c r="G51" s="492"/>
      <c r="H51" s="323"/>
      <c r="I51" s="964"/>
      <c r="J51" s="824"/>
      <c r="K51" s="823">
        <f t="shared" si="4"/>
        <v>0</v>
      </c>
      <c r="L51" s="823">
        <f t="shared" si="5"/>
        <v>0</v>
      </c>
      <c r="M51" s="824"/>
      <c r="N51" s="820"/>
      <c r="O51" s="1539">
        <f t="shared" si="6"/>
        <v>0</v>
      </c>
      <c r="P51" s="50"/>
      <c r="EM51" s="7"/>
      <c r="EN51" s="7"/>
    </row>
    <row r="52" spans="2:144" x14ac:dyDescent="0.25">
      <c r="B52" s="7"/>
      <c r="C52" s="324">
        <f t="shared" si="7"/>
        <v>40</v>
      </c>
      <c r="D52" s="500" t="s">
        <v>30</v>
      </c>
      <c r="E52" s="496" t="s">
        <v>80</v>
      </c>
      <c r="F52" s="492"/>
      <c r="G52" s="492"/>
      <c r="H52" s="323"/>
      <c r="I52" s="964"/>
      <c r="J52" s="824"/>
      <c r="K52" s="823">
        <f t="shared" si="4"/>
        <v>0</v>
      </c>
      <c r="L52" s="823">
        <f t="shared" si="5"/>
        <v>0</v>
      </c>
      <c r="M52" s="824"/>
      <c r="N52" s="820"/>
      <c r="O52" s="1539">
        <f t="shared" si="6"/>
        <v>0</v>
      </c>
      <c r="P52" s="50"/>
      <c r="EM52" s="7"/>
      <c r="EN52" s="7"/>
    </row>
    <row r="53" spans="2:144" x14ac:dyDescent="0.25">
      <c r="B53" s="7"/>
      <c r="C53" s="324">
        <f t="shared" si="7"/>
        <v>41</v>
      </c>
      <c r="D53" s="500" t="s">
        <v>30</v>
      </c>
      <c r="E53" s="496" t="s">
        <v>80</v>
      </c>
      <c r="F53" s="492"/>
      <c r="G53" s="492"/>
      <c r="H53" s="323"/>
      <c r="I53" s="964"/>
      <c r="J53" s="824"/>
      <c r="K53" s="823">
        <f t="shared" si="4"/>
        <v>0</v>
      </c>
      <c r="L53" s="823">
        <f t="shared" si="5"/>
        <v>0</v>
      </c>
      <c r="M53" s="824"/>
      <c r="N53" s="824"/>
      <c r="O53" s="1539">
        <f t="shared" si="6"/>
        <v>0</v>
      </c>
      <c r="P53" s="50"/>
      <c r="EM53" s="7"/>
      <c r="EN53" s="7"/>
    </row>
    <row r="54" spans="2:144" x14ac:dyDescent="0.25">
      <c r="B54" s="7"/>
      <c r="C54" s="324">
        <f t="shared" si="7"/>
        <v>42</v>
      </c>
      <c r="D54" s="500" t="s">
        <v>30</v>
      </c>
      <c r="E54" s="496" t="s">
        <v>80</v>
      </c>
      <c r="F54" s="492"/>
      <c r="G54" s="492"/>
      <c r="H54" s="323"/>
      <c r="I54" s="964"/>
      <c r="J54" s="824"/>
      <c r="K54" s="823">
        <f t="shared" si="4"/>
        <v>0</v>
      </c>
      <c r="L54" s="823">
        <f t="shared" si="5"/>
        <v>0</v>
      </c>
      <c r="M54" s="824"/>
      <c r="N54" s="824"/>
      <c r="O54" s="1539">
        <f t="shared" si="6"/>
        <v>0</v>
      </c>
      <c r="P54" s="50"/>
      <c r="EM54" s="7"/>
      <c r="EN54" s="7"/>
    </row>
    <row r="55" spans="2:144" ht="12.75" customHeight="1" x14ac:dyDescent="0.25">
      <c r="B55" s="7"/>
      <c r="C55" s="324">
        <f t="shared" si="7"/>
        <v>43</v>
      </c>
      <c r="D55" s="500" t="s">
        <v>30</v>
      </c>
      <c r="E55" s="496" t="s">
        <v>80</v>
      </c>
      <c r="F55" s="492"/>
      <c r="G55" s="492"/>
      <c r="H55" s="323"/>
      <c r="I55" s="964"/>
      <c r="J55" s="824"/>
      <c r="K55" s="823">
        <f t="shared" si="4"/>
        <v>0</v>
      </c>
      <c r="L55" s="823">
        <f t="shared" si="5"/>
        <v>0</v>
      </c>
      <c r="M55" s="824"/>
      <c r="N55" s="820"/>
      <c r="O55" s="1539">
        <f t="shared" si="6"/>
        <v>0</v>
      </c>
      <c r="P55" s="50"/>
      <c r="EM55" s="7"/>
      <c r="EN55" s="7"/>
    </row>
    <row r="56" spans="2:144" x14ac:dyDescent="0.25">
      <c r="B56" s="7"/>
      <c r="C56" s="324">
        <f t="shared" si="7"/>
        <v>44</v>
      </c>
      <c r="D56" s="500" t="s">
        <v>30</v>
      </c>
      <c r="E56" s="496" t="s">
        <v>80</v>
      </c>
      <c r="F56" s="492"/>
      <c r="G56" s="492"/>
      <c r="H56" s="323"/>
      <c r="I56" s="964"/>
      <c r="J56" s="824"/>
      <c r="K56" s="823">
        <f t="shared" si="4"/>
        <v>0</v>
      </c>
      <c r="L56" s="823">
        <f t="shared" si="5"/>
        <v>0</v>
      </c>
      <c r="M56" s="824"/>
      <c r="N56" s="824"/>
      <c r="O56" s="1539">
        <f t="shared" si="6"/>
        <v>0</v>
      </c>
      <c r="P56" s="50"/>
      <c r="EM56" s="7"/>
      <c r="EN56" s="7"/>
    </row>
    <row r="57" spans="2:144" x14ac:dyDescent="0.25">
      <c r="B57" s="7"/>
      <c r="C57" s="324">
        <f t="shared" si="7"/>
        <v>45</v>
      </c>
      <c r="D57" s="500" t="s">
        <v>30</v>
      </c>
      <c r="E57" s="496" t="s">
        <v>80</v>
      </c>
      <c r="F57" s="492"/>
      <c r="G57" s="492"/>
      <c r="H57" s="323"/>
      <c r="I57" s="964"/>
      <c r="J57" s="824"/>
      <c r="K57" s="823">
        <f t="shared" si="4"/>
        <v>0</v>
      </c>
      <c r="L57" s="823">
        <f t="shared" si="5"/>
        <v>0</v>
      </c>
      <c r="M57" s="824"/>
      <c r="N57" s="824"/>
      <c r="O57" s="1539">
        <f t="shared" si="6"/>
        <v>0</v>
      </c>
      <c r="P57" s="50"/>
      <c r="EM57" s="7"/>
      <c r="EN57" s="7"/>
    </row>
    <row r="58" spans="2:144" x14ac:dyDescent="0.25">
      <c r="B58" s="7"/>
      <c r="C58" s="324">
        <f t="shared" si="7"/>
        <v>46</v>
      </c>
      <c r="D58" s="500" t="s">
        <v>30</v>
      </c>
      <c r="E58" s="496" t="s">
        <v>80</v>
      </c>
      <c r="F58" s="492"/>
      <c r="G58" s="492"/>
      <c r="H58" s="323"/>
      <c r="I58" s="964"/>
      <c r="J58" s="824"/>
      <c r="K58" s="823">
        <f t="shared" si="4"/>
        <v>0</v>
      </c>
      <c r="L58" s="823">
        <f t="shared" si="5"/>
        <v>0</v>
      </c>
      <c r="M58" s="824"/>
      <c r="N58" s="824"/>
      <c r="O58" s="1539">
        <f t="shared" si="6"/>
        <v>0</v>
      </c>
      <c r="P58" s="50"/>
      <c r="EM58" s="7"/>
      <c r="EN58" s="7"/>
    </row>
    <row r="59" spans="2:144" x14ac:dyDescent="0.25">
      <c r="B59" s="7"/>
      <c r="C59" s="324">
        <f t="shared" si="7"/>
        <v>47</v>
      </c>
      <c r="D59" s="500" t="s">
        <v>30</v>
      </c>
      <c r="E59" s="496" t="s">
        <v>80</v>
      </c>
      <c r="F59" s="492"/>
      <c r="G59" s="492"/>
      <c r="H59" s="323"/>
      <c r="I59" s="964"/>
      <c r="J59" s="824"/>
      <c r="K59" s="823">
        <f t="shared" si="4"/>
        <v>0</v>
      </c>
      <c r="L59" s="823">
        <f t="shared" si="5"/>
        <v>0</v>
      </c>
      <c r="M59" s="824"/>
      <c r="N59" s="824"/>
      <c r="O59" s="1539">
        <f t="shared" si="6"/>
        <v>0</v>
      </c>
      <c r="P59" s="50"/>
      <c r="EM59" s="7"/>
      <c r="EN59" s="7"/>
    </row>
    <row r="60" spans="2:144" x14ac:dyDescent="0.25">
      <c r="B60" s="7"/>
      <c r="C60" s="324">
        <f t="shared" si="7"/>
        <v>48</v>
      </c>
      <c r="D60" s="500" t="s">
        <v>30</v>
      </c>
      <c r="E60" s="496" t="s">
        <v>80</v>
      </c>
      <c r="F60" s="492"/>
      <c r="G60" s="492"/>
      <c r="H60" s="323"/>
      <c r="I60" s="964"/>
      <c r="J60" s="824"/>
      <c r="K60" s="823">
        <f t="shared" si="4"/>
        <v>0</v>
      </c>
      <c r="L60" s="823">
        <f t="shared" si="5"/>
        <v>0</v>
      </c>
      <c r="M60" s="824"/>
      <c r="N60" s="824"/>
      <c r="O60" s="1539">
        <f t="shared" si="6"/>
        <v>0</v>
      </c>
      <c r="P60" s="50"/>
      <c r="EM60" s="7"/>
      <c r="EN60" s="7"/>
    </row>
    <row r="61" spans="2:144" ht="12.75" customHeight="1" x14ac:dyDescent="0.25">
      <c r="C61" s="67">
        <f>C60+1</f>
        <v>49</v>
      </c>
      <c r="D61" s="11" t="s">
        <v>2611</v>
      </c>
      <c r="E61" s="67"/>
      <c r="F61" s="7"/>
      <c r="G61" s="285"/>
      <c r="H61" s="285"/>
      <c r="I61" s="28"/>
      <c r="J61" s="1535">
        <f t="shared" ref="J61:O61" si="8">+SUM(J28:J60)</f>
        <v>0</v>
      </c>
      <c r="K61" s="1535">
        <f t="shared" si="8"/>
        <v>0</v>
      </c>
      <c r="L61" s="1535">
        <f t="shared" si="8"/>
        <v>0</v>
      </c>
      <c r="M61" s="1535">
        <f t="shared" si="8"/>
        <v>0</v>
      </c>
      <c r="N61" s="1535">
        <f t="shared" si="8"/>
        <v>0</v>
      </c>
      <c r="O61" s="1535">
        <f t="shared" si="8"/>
        <v>0</v>
      </c>
      <c r="P61" s="48"/>
      <c r="EM61" s="7"/>
      <c r="EN61" s="7"/>
    </row>
    <row r="62" spans="2:144" ht="10.199999999999999" customHeight="1" x14ac:dyDescent="0.25">
      <c r="C62" s="66"/>
      <c r="D62" s="12"/>
      <c r="E62" s="66"/>
      <c r="F62" s="7"/>
      <c r="G62" s="7"/>
      <c r="H62" s="7"/>
      <c r="N62"/>
      <c r="O62"/>
      <c r="EM62" s="7"/>
      <c r="EN62" s="7"/>
    </row>
    <row r="63" spans="2:144" ht="15.6" x14ac:dyDescent="0.3">
      <c r="C63" s="65" t="s">
        <v>763</v>
      </c>
      <c r="D63" s="23"/>
      <c r="E63" s="65"/>
      <c r="F63" s="7"/>
      <c r="G63" s="1707" t="s">
        <v>2765</v>
      </c>
      <c r="H63" s="7"/>
      <c r="M63" s="13" t="s">
        <v>779</v>
      </c>
      <c r="N63"/>
      <c r="O63"/>
      <c r="EM63" s="7"/>
      <c r="EN63" s="7"/>
    </row>
    <row r="64" spans="2:144" ht="27.6" x14ac:dyDescent="0.3">
      <c r="C64" s="485" t="s">
        <v>733</v>
      </c>
      <c r="D64" s="485"/>
      <c r="E64" s="485"/>
      <c r="F64" s="486"/>
      <c r="G64" s="486"/>
      <c r="H64" s="486"/>
      <c r="I64" s="487"/>
      <c r="J64" s="488" t="s">
        <v>735</v>
      </c>
      <c r="K64" s="488" t="s">
        <v>2182</v>
      </c>
      <c r="L64" s="488" t="s">
        <v>2183</v>
      </c>
      <c r="M64" s="488" t="s">
        <v>736</v>
      </c>
      <c r="N64" s="488" t="s">
        <v>737</v>
      </c>
      <c r="O64" s="488" t="s">
        <v>738</v>
      </c>
      <c r="P64" s="45"/>
      <c r="EM64" s="7"/>
      <c r="EN64" s="7"/>
    </row>
    <row r="65" spans="2:144" x14ac:dyDescent="0.25">
      <c r="B65" s="7"/>
      <c r="C65" s="490">
        <f>C61+1</f>
        <v>50</v>
      </c>
      <c r="D65" s="493" t="s">
        <v>2398</v>
      </c>
      <c r="E65" s="494"/>
      <c r="F65" s="492"/>
      <c r="G65" s="492"/>
      <c r="H65" s="492"/>
      <c r="I65" s="323"/>
      <c r="J65" s="816"/>
      <c r="K65" s="817">
        <f>J65*$K$8</f>
        <v>0</v>
      </c>
      <c r="L65" s="816">
        <f>J65*$L$8</f>
        <v>0</v>
      </c>
      <c r="M65" s="816"/>
      <c r="N65" s="817"/>
      <c r="O65" s="1536">
        <f>J65-M65-N65</f>
        <v>0</v>
      </c>
      <c r="P65" s="46"/>
      <c r="EM65" s="7"/>
      <c r="EN65" s="7"/>
    </row>
    <row r="66" spans="2:144" x14ac:dyDescent="0.25">
      <c r="B66" s="7"/>
      <c r="C66" s="490">
        <f>C65+1</f>
        <v>51</v>
      </c>
      <c r="D66" s="935" t="s">
        <v>2397</v>
      </c>
      <c r="E66" s="928"/>
      <c r="F66" s="929"/>
      <c r="G66" s="929"/>
      <c r="H66" s="929"/>
      <c r="I66" s="937"/>
      <c r="J66" s="930"/>
      <c r="K66" s="817">
        <f t="shared" ref="K66:K71" si="9">J66*$K$8</f>
        <v>0</v>
      </c>
      <c r="L66" s="816">
        <f t="shared" ref="L66:L71" si="10">J66*$L$8</f>
        <v>0</v>
      </c>
      <c r="M66" s="930"/>
      <c r="N66" s="817"/>
      <c r="O66" s="1536">
        <f t="shared" ref="O66:O112" si="11">J66-M66-N66</f>
        <v>0</v>
      </c>
      <c r="P66" s="46"/>
      <c r="EM66" s="7"/>
      <c r="EN66" s="7"/>
    </row>
    <row r="67" spans="2:144" x14ac:dyDescent="0.25">
      <c r="B67" s="7"/>
      <c r="C67" s="490">
        <f>C66+1</f>
        <v>52</v>
      </c>
      <c r="D67" s="493" t="s">
        <v>764</v>
      </c>
      <c r="E67" s="503"/>
      <c r="F67" s="504"/>
      <c r="G67" s="492"/>
      <c r="H67" s="492"/>
      <c r="I67" s="323"/>
      <c r="J67" s="821"/>
      <c r="K67" s="817">
        <f t="shared" si="9"/>
        <v>0</v>
      </c>
      <c r="L67" s="816">
        <f t="shared" si="10"/>
        <v>0</v>
      </c>
      <c r="M67" s="821"/>
      <c r="N67" s="817"/>
      <c r="O67" s="1536">
        <f t="shared" si="11"/>
        <v>0</v>
      </c>
      <c r="P67" s="46"/>
      <c r="EM67" s="7"/>
      <c r="EN67" s="7"/>
    </row>
    <row r="68" spans="2:144" x14ac:dyDescent="0.25">
      <c r="B68" s="7"/>
      <c r="C68" s="490">
        <f t="shared" ref="C68:C107" si="12">C67+1</f>
        <v>53</v>
      </c>
      <c r="D68" s="493" t="s">
        <v>669</v>
      </c>
      <c r="E68" s="494"/>
      <c r="F68" s="492"/>
      <c r="G68" s="492"/>
      <c r="H68" s="492"/>
      <c r="I68" s="323"/>
      <c r="J68" s="816"/>
      <c r="K68" s="817">
        <f t="shared" si="9"/>
        <v>0</v>
      </c>
      <c r="L68" s="816">
        <f t="shared" si="10"/>
        <v>0</v>
      </c>
      <c r="M68" s="791"/>
      <c r="N68" s="817"/>
      <c r="O68" s="1536">
        <f t="shared" si="11"/>
        <v>0</v>
      </c>
      <c r="P68" s="50"/>
      <c r="EM68" s="7"/>
      <c r="EN68" s="7"/>
    </row>
    <row r="69" spans="2:144" x14ac:dyDescent="0.25">
      <c r="B69" s="7"/>
      <c r="C69" s="490">
        <f t="shared" si="12"/>
        <v>54</v>
      </c>
      <c r="D69" s="493" t="s">
        <v>765</v>
      </c>
      <c r="E69" s="494"/>
      <c r="F69" s="492"/>
      <c r="G69" s="492"/>
      <c r="H69" s="492"/>
      <c r="I69" s="323"/>
      <c r="J69" s="930"/>
      <c r="K69" s="817">
        <f t="shared" si="9"/>
        <v>0</v>
      </c>
      <c r="L69" s="816">
        <f>J69*$L$8</f>
        <v>0</v>
      </c>
      <c r="M69" s="791"/>
      <c r="N69" s="817"/>
      <c r="O69" s="1536">
        <f t="shared" si="11"/>
        <v>0</v>
      </c>
      <c r="P69" s="50"/>
      <c r="EM69" s="7"/>
      <c r="EN69" s="7"/>
    </row>
    <row r="70" spans="2:144" x14ac:dyDescent="0.25">
      <c r="B70" s="7"/>
      <c r="C70" s="490">
        <f t="shared" si="12"/>
        <v>55</v>
      </c>
      <c r="D70" s="493" t="s">
        <v>766</v>
      </c>
      <c r="E70" s="494"/>
      <c r="F70" s="492"/>
      <c r="G70" s="492"/>
      <c r="H70" s="492"/>
      <c r="I70" s="323"/>
      <c r="J70" s="821"/>
      <c r="K70" s="817">
        <f t="shared" si="9"/>
        <v>0</v>
      </c>
      <c r="L70" s="816">
        <f t="shared" si="10"/>
        <v>0</v>
      </c>
      <c r="M70" s="791"/>
      <c r="N70" s="817"/>
      <c r="O70" s="1536">
        <f t="shared" si="11"/>
        <v>0</v>
      </c>
      <c r="P70" s="50"/>
      <c r="EM70" s="7"/>
      <c r="EN70" s="7"/>
    </row>
    <row r="71" spans="2:144" x14ac:dyDescent="0.25">
      <c r="B71" s="7"/>
      <c r="C71" s="490">
        <f t="shared" si="12"/>
        <v>56</v>
      </c>
      <c r="D71" s="493" t="s">
        <v>767</v>
      </c>
      <c r="E71" s="494"/>
      <c r="F71" s="492"/>
      <c r="G71" s="492"/>
      <c r="H71" s="492"/>
      <c r="I71" s="323"/>
      <c r="J71" s="816"/>
      <c r="K71" s="817">
        <f t="shared" si="9"/>
        <v>0</v>
      </c>
      <c r="L71" s="816">
        <f t="shared" si="10"/>
        <v>0</v>
      </c>
      <c r="M71" s="791"/>
      <c r="N71" s="817"/>
      <c r="O71" s="1536">
        <f t="shared" si="11"/>
        <v>0</v>
      </c>
      <c r="P71" s="50"/>
      <c r="EM71" s="7"/>
      <c r="EN71" s="7"/>
    </row>
    <row r="72" spans="2:144" x14ac:dyDescent="0.25">
      <c r="B72" s="7"/>
      <c r="C72" s="490">
        <f t="shared" si="12"/>
        <v>57</v>
      </c>
      <c r="D72" s="935" t="s">
        <v>2476</v>
      </c>
      <c r="E72" s="928"/>
      <c r="F72" s="929"/>
      <c r="G72" s="814"/>
      <c r="H72" s="929"/>
      <c r="I72" s="942" t="s">
        <v>2477</v>
      </c>
      <c r="J72" s="930"/>
      <c r="K72" s="817">
        <f>J72*$K$8</f>
        <v>0</v>
      </c>
      <c r="L72" s="816">
        <f>J72*$L$8</f>
        <v>0</v>
      </c>
      <c r="M72" s="931"/>
      <c r="N72" s="817"/>
      <c r="O72" s="1536">
        <f>J72-M72-N72</f>
        <v>0</v>
      </c>
      <c r="P72" s="50"/>
      <c r="EM72" s="7"/>
      <c r="EN72" s="7"/>
    </row>
    <row r="73" spans="2:144" x14ac:dyDescent="0.25">
      <c r="B73" s="7"/>
      <c r="C73" s="490">
        <f>C72+1</f>
        <v>58</v>
      </c>
      <c r="D73" s="935" t="s">
        <v>2474</v>
      </c>
      <c r="E73" s="928"/>
      <c r="F73" s="929"/>
      <c r="G73" s="814"/>
      <c r="H73" s="929"/>
      <c r="I73" s="942" t="s">
        <v>2475</v>
      </c>
      <c r="J73" s="821"/>
      <c r="K73" s="817">
        <f>J73*$K$8</f>
        <v>0</v>
      </c>
      <c r="L73" s="816">
        <f>J73*$L$8</f>
        <v>0</v>
      </c>
      <c r="M73" s="931"/>
      <c r="N73" s="817"/>
      <c r="O73" s="1536">
        <f>J73-M73-N73</f>
        <v>0</v>
      </c>
      <c r="P73" s="50"/>
      <c r="EM73" s="7"/>
      <c r="EN73" s="7"/>
    </row>
    <row r="74" spans="2:144" x14ac:dyDescent="0.25">
      <c r="B74" s="7"/>
      <c r="C74" s="490">
        <f>C73+1</f>
        <v>59</v>
      </c>
      <c r="D74" s="493" t="s">
        <v>2363</v>
      </c>
      <c r="E74" s="494"/>
      <c r="F74" s="498"/>
      <c r="G74" s="505"/>
      <c r="H74" s="283" t="s">
        <v>768</v>
      </c>
      <c r="I74" s="303">
        <f>(J61+J113-J74)*2.5%</f>
        <v>0</v>
      </c>
      <c r="J74" s="816"/>
      <c r="K74" s="817">
        <f t="shared" ref="K74:K102" si="13">J74*$K$8</f>
        <v>0</v>
      </c>
      <c r="L74" s="816">
        <f t="shared" ref="L74:L90" si="14">J74*$L$8</f>
        <v>0</v>
      </c>
      <c r="M74" s="791"/>
      <c r="N74" s="817"/>
      <c r="O74" s="1536">
        <f t="shared" si="11"/>
        <v>0</v>
      </c>
      <c r="P74" s="50"/>
      <c r="EM74" s="7"/>
      <c r="EN74" s="7"/>
    </row>
    <row r="75" spans="2:144" x14ac:dyDescent="0.25">
      <c r="B75" s="7"/>
      <c r="C75" s="490">
        <f t="shared" si="12"/>
        <v>60</v>
      </c>
      <c r="D75" s="493" t="s">
        <v>769</v>
      </c>
      <c r="E75" s="848"/>
      <c r="F75" s="849"/>
      <c r="G75" s="492"/>
      <c r="H75" s="850" t="s">
        <v>2762</v>
      </c>
      <c r="I75" s="303">
        <f>SOURCES!M29*1.5%</f>
        <v>0</v>
      </c>
      <c r="J75" s="930"/>
      <c r="K75" s="817">
        <f t="shared" si="13"/>
        <v>0</v>
      </c>
      <c r="L75" s="816">
        <f t="shared" si="14"/>
        <v>0</v>
      </c>
      <c r="M75" s="791"/>
      <c r="N75" s="817"/>
      <c r="O75" s="1536">
        <f t="shared" si="11"/>
        <v>0</v>
      </c>
      <c r="P75" s="50"/>
      <c r="EM75" s="7"/>
      <c r="EN75" s="7"/>
    </row>
    <row r="76" spans="2:144" x14ac:dyDescent="0.25">
      <c r="B76" s="7"/>
      <c r="C76" s="490">
        <f t="shared" si="12"/>
        <v>61</v>
      </c>
      <c r="D76" s="493" t="s">
        <v>770</v>
      </c>
      <c r="E76" s="848"/>
      <c r="F76" s="849"/>
      <c r="G76" s="492"/>
      <c r="H76" s="850" t="s">
        <v>2762</v>
      </c>
      <c r="I76" s="303">
        <f>SOURCES!M30*1.5%</f>
        <v>0</v>
      </c>
      <c r="J76" s="821"/>
      <c r="K76" s="817">
        <f t="shared" si="13"/>
        <v>0</v>
      </c>
      <c r="L76" s="816">
        <f t="shared" si="14"/>
        <v>0</v>
      </c>
      <c r="M76" s="791"/>
      <c r="N76" s="817"/>
      <c r="O76" s="1536">
        <f t="shared" si="11"/>
        <v>0</v>
      </c>
      <c r="P76" s="50"/>
      <c r="EM76" s="7"/>
      <c r="EN76" s="7"/>
    </row>
    <row r="77" spans="2:144" x14ac:dyDescent="0.25">
      <c r="B77" s="7"/>
      <c r="C77" s="490">
        <f>C76+1</f>
        <v>62</v>
      </c>
      <c r="D77" s="1346" t="s">
        <v>771</v>
      </c>
      <c r="E77" s="848"/>
      <c r="F77" s="849"/>
      <c r="G77" s="492"/>
      <c r="H77" s="850" t="s">
        <v>2763</v>
      </c>
      <c r="I77" s="303">
        <f>SOURCES!M34*0.5%</f>
        <v>0</v>
      </c>
      <c r="J77" s="816"/>
      <c r="K77" s="817">
        <f t="shared" si="13"/>
        <v>0</v>
      </c>
      <c r="L77" s="816">
        <f t="shared" si="14"/>
        <v>0</v>
      </c>
      <c r="M77" s="791"/>
      <c r="N77" s="817"/>
      <c r="O77" s="1536">
        <f t="shared" si="11"/>
        <v>0</v>
      </c>
      <c r="P77" s="50"/>
      <c r="EM77" s="7"/>
      <c r="EN77" s="7"/>
    </row>
    <row r="78" spans="2:144" x14ac:dyDescent="0.25">
      <c r="B78" s="7"/>
      <c r="C78" s="490">
        <f t="shared" si="12"/>
        <v>63</v>
      </c>
      <c r="D78" s="1346" t="s">
        <v>2197</v>
      </c>
      <c r="E78" s="503"/>
      <c r="F78" s="504"/>
      <c r="G78" s="492"/>
      <c r="H78" s="492"/>
      <c r="I78" s="303" t="s">
        <v>2199</v>
      </c>
      <c r="J78" s="930"/>
      <c r="K78" s="817">
        <f t="shared" si="13"/>
        <v>0</v>
      </c>
      <c r="L78" s="816">
        <f t="shared" si="14"/>
        <v>0</v>
      </c>
      <c r="M78" s="791"/>
      <c r="N78" s="817"/>
      <c r="O78" s="1536">
        <f t="shared" si="11"/>
        <v>0</v>
      </c>
      <c r="P78" s="50"/>
      <c r="EM78" s="7"/>
      <c r="EN78" s="7"/>
    </row>
    <row r="79" spans="2:144" x14ac:dyDescent="0.25">
      <c r="B79" s="7"/>
      <c r="C79" s="490">
        <f t="shared" si="12"/>
        <v>64</v>
      </c>
      <c r="D79" s="1346" t="s">
        <v>2198</v>
      </c>
      <c r="E79" s="675"/>
      <c r="F79" s="676"/>
      <c r="G79" s="602"/>
      <c r="H79" s="602"/>
      <c r="I79" s="677" t="s">
        <v>2200</v>
      </c>
      <c r="J79" s="821"/>
      <c r="K79" s="817">
        <f t="shared" si="13"/>
        <v>0</v>
      </c>
      <c r="L79" s="816">
        <f t="shared" si="14"/>
        <v>0</v>
      </c>
      <c r="M79" s="825"/>
      <c r="N79" s="817"/>
      <c r="O79" s="1536">
        <f t="shared" si="11"/>
        <v>0</v>
      </c>
      <c r="P79" s="50"/>
      <c r="EM79" s="7"/>
      <c r="EN79" s="7"/>
    </row>
    <row r="80" spans="2:144" x14ac:dyDescent="0.25">
      <c r="B80" s="7"/>
      <c r="C80" s="490">
        <f t="shared" si="12"/>
        <v>65</v>
      </c>
      <c r="D80" s="493" t="s">
        <v>772</v>
      </c>
      <c r="E80" s="494"/>
      <c r="F80" s="492"/>
      <c r="G80" s="492"/>
      <c r="H80" s="492"/>
      <c r="I80" s="851" t="s">
        <v>2189</v>
      </c>
      <c r="J80" s="816"/>
      <c r="K80" s="817">
        <f t="shared" si="13"/>
        <v>0</v>
      </c>
      <c r="L80" s="816">
        <f t="shared" si="14"/>
        <v>0</v>
      </c>
      <c r="M80" s="791"/>
      <c r="N80" s="817"/>
      <c r="O80" s="1536">
        <f t="shared" si="11"/>
        <v>0</v>
      </c>
      <c r="P80" s="50"/>
      <c r="EM80" s="7"/>
      <c r="EN80" s="7"/>
    </row>
    <row r="81" spans="2:144" x14ac:dyDescent="0.25">
      <c r="B81" s="7"/>
      <c r="C81" s="490">
        <f t="shared" si="12"/>
        <v>66</v>
      </c>
      <c r="D81" s="493" t="s">
        <v>2553</v>
      </c>
      <c r="E81" s="494"/>
      <c r="F81" s="502"/>
      <c r="H81" s="506"/>
      <c r="I81" s="303">
        <v>1500</v>
      </c>
      <c r="J81" s="930"/>
      <c r="K81" s="817">
        <f t="shared" si="13"/>
        <v>0</v>
      </c>
      <c r="L81" s="816">
        <f t="shared" si="14"/>
        <v>0</v>
      </c>
      <c r="M81" s="791"/>
      <c r="N81" s="817"/>
      <c r="O81" s="1536">
        <f t="shared" si="11"/>
        <v>0</v>
      </c>
      <c r="P81" s="50"/>
      <c r="EM81" s="7"/>
      <c r="EN81" s="7"/>
    </row>
    <row r="82" spans="2:144" x14ac:dyDescent="0.25">
      <c r="B82" s="7"/>
      <c r="C82" s="490">
        <f t="shared" si="12"/>
        <v>67</v>
      </c>
      <c r="D82" s="493" t="s">
        <v>2184</v>
      </c>
      <c r="E82" s="493"/>
      <c r="F82" s="493"/>
      <c r="G82" s="845"/>
      <c r="H82" s="492"/>
      <c r="I82" s="846" t="s">
        <v>2186</v>
      </c>
      <c r="J82" s="821"/>
      <c r="K82" s="817">
        <f t="shared" si="13"/>
        <v>0</v>
      </c>
      <c r="L82" s="816">
        <f t="shared" si="14"/>
        <v>0</v>
      </c>
      <c r="M82" s="791"/>
      <c r="N82" s="817"/>
      <c r="O82" s="1536">
        <f t="shared" si="11"/>
        <v>0</v>
      </c>
      <c r="P82" s="50"/>
      <c r="EM82" s="7"/>
      <c r="EN82" s="7"/>
    </row>
    <row r="83" spans="2:144" s="68" customFormat="1" x14ac:dyDescent="0.25">
      <c r="B83" s="52"/>
      <c r="C83" s="490">
        <f t="shared" si="12"/>
        <v>68</v>
      </c>
      <c r="D83" s="493" t="s">
        <v>2347</v>
      </c>
      <c r="E83" s="493"/>
      <c r="F83" s="493"/>
      <c r="G83" s="507"/>
      <c r="H83" s="507"/>
      <c r="I83" s="508"/>
      <c r="J83" s="816"/>
      <c r="K83" s="817">
        <f t="shared" si="13"/>
        <v>0</v>
      </c>
      <c r="L83" s="816">
        <f t="shared" si="14"/>
        <v>0</v>
      </c>
      <c r="M83" s="932"/>
      <c r="N83" s="817"/>
      <c r="O83" s="1536">
        <f t="shared" si="11"/>
        <v>0</v>
      </c>
      <c r="P83" s="50"/>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row>
    <row r="84" spans="2:144" s="68" customFormat="1" ht="13.5" customHeight="1" x14ac:dyDescent="0.25">
      <c r="B84" s="52"/>
      <c r="C84" s="490">
        <f t="shared" si="12"/>
        <v>69</v>
      </c>
      <c r="D84" s="493" t="s">
        <v>2456</v>
      </c>
      <c r="E84" s="493"/>
      <c r="F84" s="493"/>
      <c r="H84" s="509"/>
      <c r="I84" s="846" t="s">
        <v>2460</v>
      </c>
      <c r="J84" s="930"/>
      <c r="K84" s="817">
        <f t="shared" si="13"/>
        <v>0</v>
      </c>
      <c r="L84" s="816">
        <f t="shared" si="14"/>
        <v>0</v>
      </c>
      <c r="M84" s="934"/>
      <c r="N84" s="817"/>
      <c r="O84" s="1536">
        <f t="shared" si="11"/>
        <v>0</v>
      </c>
      <c r="P84" s="50"/>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row>
    <row r="85" spans="2:144" s="68" customFormat="1" ht="13.5" customHeight="1" x14ac:dyDescent="0.25">
      <c r="B85" s="52"/>
      <c r="C85" s="490">
        <f t="shared" si="12"/>
        <v>70</v>
      </c>
      <c r="D85" s="935" t="s">
        <v>2352</v>
      </c>
      <c r="E85" s="935"/>
      <c r="F85" s="935"/>
      <c r="G85" s="940"/>
      <c r="H85" s="940"/>
      <c r="I85" s="943" t="s">
        <v>2355</v>
      </c>
      <c r="J85" s="821"/>
      <c r="K85" s="817">
        <f t="shared" si="13"/>
        <v>0</v>
      </c>
      <c r="L85" s="816">
        <f t="shared" si="14"/>
        <v>0</v>
      </c>
      <c r="M85" s="934"/>
      <c r="N85" s="817"/>
      <c r="O85" s="1536">
        <f t="shared" si="11"/>
        <v>0</v>
      </c>
      <c r="P85" s="50"/>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row>
    <row r="86" spans="2:144" s="68" customFormat="1" ht="13.5" customHeight="1" x14ac:dyDescent="0.25">
      <c r="B86" s="52"/>
      <c r="C86" s="490">
        <f t="shared" si="12"/>
        <v>71</v>
      </c>
      <c r="D86" s="493" t="s">
        <v>2353</v>
      </c>
      <c r="E86" s="510"/>
      <c r="F86" s="511"/>
      <c r="G86" s="941"/>
      <c r="H86" s="941"/>
      <c r="I86" s="942" t="s">
        <v>2354</v>
      </c>
      <c r="J86" s="816"/>
      <c r="K86" s="817">
        <f t="shared" si="13"/>
        <v>0</v>
      </c>
      <c r="L86" s="816">
        <f t="shared" si="14"/>
        <v>0</v>
      </c>
      <c r="M86" s="944"/>
      <c r="N86" s="817"/>
      <c r="O86" s="1536">
        <f t="shared" si="11"/>
        <v>0</v>
      </c>
      <c r="P86" s="50"/>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row>
    <row r="87" spans="2:144" s="68" customFormat="1" ht="13.5" customHeight="1" x14ac:dyDescent="0.25">
      <c r="B87" s="52"/>
      <c r="C87" s="490">
        <f t="shared" si="12"/>
        <v>72</v>
      </c>
      <c r="D87" s="935" t="s">
        <v>2358</v>
      </c>
      <c r="E87" s="928"/>
      <c r="F87" s="929"/>
      <c r="G87" s="941"/>
      <c r="H87" s="941"/>
      <c r="I87" s="942" t="s">
        <v>2372</v>
      </c>
      <c r="J87" s="930"/>
      <c r="K87" s="817">
        <f t="shared" si="13"/>
        <v>0</v>
      </c>
      <c r="L87" s="816">
        <f t="shared" si="14"/>
        <v>0</v>
      </c>
      <c r="M87" s="934"/>
      <c r="N87" s="817"/>
      <c r="O87" s="1536">
        <f t="shared" si="11"/>
        <v>0</v>
      </c>
      <c r="P87" s="50"/>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row>
    <row r="88" spans="2:144" x14ac:dyDescent="0.25">
      <c r="B88" s="7"/>
      <c r="C88" s="490">
        <f t="shared" si="12"/>
        <v>73</v>
      </c>
      <c r="D88" s="1347" t="s">
        <v>2369</v>
      </c>
      <c r="E88" s="510"/>
      <c r="F88" s="511"/>
      <c r="G88" s="511"/>
      <c r="H88" s="814"/>
      <c r="I88" s="852" t="s">
        <v>2191</v>
      </c>
      <c r="J88" s="821"/>
      <c r="K88" s="817">
        <f t="shared" si="13"/>
        <v>0</v>
      </c>
      <c r="L88" s="816">
        <f t="shared" si="14"/>
        <v>0</v>
      </c>
      <c r="M88" s="933"/>
      <c r="N88" s="817"/>
      <c r="O88" s="1536">
        <f t="shared" si="11"/>
        <v>0</v>
      </c>
      <c r="P88" s="50"/>
      <c r="EM88" s="7"/>
      <c r="EN88" s="7"/>
    </row>
    <row r="89" spans="2:144" x14ac:dyDescent="0.25">
      <c r="B89" s="7"/>
      <c r="C89" s="490">
        <f t="shared" si="12"/>
        <v>74</v>
      </c>
      <c r="D89" s="1347" t="s">
        <v>2370</v>
      </c>
      <c r="E89" s="510"/>
      <c r="F89" s="511"/>
      <c r="G89" s="234"/>
      <c r="H89" s="234"/>
      <c r="I89" s="852" t="s">
        <v>2192</v>
      </c>
      <c r="J89" s="816"/>
      <c r="K89" s="817">
        <f t="shared" si="13"/>
        <v>0</v>
      </c>
      <c r="L89" s="816">
        <f t="shared" si="14"/>
        <v>0</v>
      </c>
      <c r="M89" s="826"/>
      <c r="N89" s="817"/>
      <c r="O89" s="1536">
        <f t="shared" si="11"/>
        <v>0</v>
      </c>
      <c r="P89" s="50"/>
      <c r="EM89" s="7"/>
      <c r="EN89" s="7"/>
    </row>
    <row r="90" spans="2:144" x14ac:dyDescent="0.25">
      <c r="B90" s="7"/>
      <c r="C90" s="490">
        <f t="shared" si="12"/>
        <v>75</v>
      </c>
      <c r="D90" s="1347" t="s">
        <v>2359</v>
      </c>
      <c r="E90" s="510"/>
      <c r="F90" s="512"/>
      <c r="G90" s="234"/>
      <c r="H90" s="234"/>
      <c r="I90" s="852" t="s">
        <v>2193</v>
      </c>
      <c r="J90" s="930"/>
      <c r="K90" s="817">
        <f t="shared" si="13"/>
        <v>0</v>
      </c>
      <c r="L90" s="816">
        <f t="shared" si="14"/>
        <v>0</v>
      </c>
      <c r="M90" s="826"/>
      <c r="N90" s="817"/>
      <c r="O90" s="1536">
        <f t="shared" si="11"/>
        <v>0</v>
      </c>
      <c r="P90" s="50"/>
      <c r="EM90" s="7"/>
      <c r="EN90" s="7"/>
    </row>
    <row r="91" spans="2:144" x14ac:dyDescent="0.25">
      <c r="B91" s="7"/>
      <c r="C91" s="490">
        <f t="shared" si="12"/>
        <v>76</v>
      </c>
      <c r="D91" s="1347" t="s">
        <v>2360</v>
      </c>
      <c r="E91" s="510"/>
      <c r="F91" s="511"/>
      <c r="G91" s="511"/>
      <c r="H91" s="513"/>
      <c r="I91" s="852" t="s">
        <v>2194</v>
      </c>
      <c r="J91" s="821"/>
      <c r="K91" s="817">
        <f t="shared" si="13"/>
        <v>0</v>
      </c>
      <c r="L91" s="816">
        <f t="shared" ref="L91:L102" si="15">J91*$L$8</f>
        <v>0</v>
      </c>
      <c r="M91" s="826"/>
      <c r="N91" s="817"/>
      <c r="O91" s="1536">
        <f t="shared" si="11"/>
        <v>0</v>
      </c>
      <c r="P91" s="50"/>
      <c r="EM91" s="7"/>
      <c r="EN91" s="7"/>
    </row>
    <row r="92" spans="2:144" x14ac:dyDescent="0.25">
      <c r="B92" s="7"/>
      <c r="C92" s="490">
        <f t="shared" si="12"/>
        <v>77</v>
      </c>
      <c r="D92" s="493" t="s">
        <v>2554</v>
      </c>
      <c r="E92" s="494"/>
      <c r="F92" s="1141"/>
      <c r="G92" s="845"/>
      <c r="H92" s="844"/>
      <c r="I92" s="945" t="s">
        <v>2361</v>
      </c>
      <c r="J92" s="816"/>
      <c r="K92" s="817">
        <f t="shared" si="13"/>
        <v>0</v>
      </c>
      <c r="L92" s="816">
        <f t="shared" si="15"/>
        <v>0</v>
      </c>
      <c r="M92" s="791"/>
      <c r="N92" s="817"/>
      <c r="O92" s="1536">
        <f t="shared" si="11"/>
        <v>0</v>
      </c>
      <c r="P92" s="50"/>
      <c r="EM92" s="7"/>
      <c r="EN92" s="7"/>
    </row>
    <row r="93" spans="2:144" x14ac:dyDescent="0.25">
      <c r="B93" s="7"/>
      <c r="C93" s="490">
        <f t="shared" si="12"/>
        <v>78</v>
      </c>
      <c r="D93" s="493" t="s">
        <v>2738</v>
      </c>
      <c r="E93" s="939"/>
      <c r="F93" s="492"/>
      <c r="G93" s="514"/>
      <c r="H93" s="492"/>
      <c r="I93" s="852" t="s">
        <v>2190</v>
      </c>
      <c r="J93" s="930"/>
      <c r="K93" s="817">
        <f t="shared" si="13"/>
        <v>0</v>
      </c>
      <c r="L93" s="816">
        <f t="shared" si="15"/>
        <v>0</v>
      </c>
      <c r="M93" s="826"/>
      <c r="N93" s="817"/>
      <c r="O93" s="1536">
        <f t="shared" si="11"/>
        <v>0</v>
      </c>
      <c r="P93" s="50"/>
      <c r="EM93" s="7"/>
      <c r="EN93" s="7"/>
    </row>
    <row r="94" spans="2:144" x14ac:dyDescent="0.25">
      <c r="B94" s="7"/>
      <c r="C94" s="490">
        <f t="shared" si="12"/>
        <v>79</v>
      </c>
      <c r="D94" s="935" t="s">
        <v>2357</v>
      </c>
      <c r="E94" s="938"/>
      <c r="F94" s="929"/>
      <c r="G94" s="936"/>
      <c r="H94" s="929"/>
      <c r="I94" s="852" t="s">
        <v>2349</v>
      </c>
      <c r="J94" s="821"/>
      <c r="K94" s="817">
        <f t="shared" si="13"/>
        <v>0</v>
      </c>
      <c r="L94" s="816">
        <f t="shared" si="15"/>
        <v>0</v>
      </c>
      <c r="M94" s="931"/>
      <c r="N94" s="817"/>
      <c r="O94" s="1536">
        <f t="shared" si="11"/>
        <v>0</v>
      </c>
      <c r="P94" s="50"/>
      <c r="EM94" s="7"/>
      <c r="EN94" s="7"/>
    </row>
    <row r="95" spans="2:144" x14ac:dyDescent="0.25">
      <c r="B95" s="7"/>
      <c r="C95" s="490">
        <f t="shared" si="12"/>
        <v>80</v>
      </c>
      <c r="D95" s="935" t="s">
        <v>2350</v>
      </c>
      <c r="E95" s="938"/>
      <c r="F95" s="929"/>
      <c r="G95" s="936"/>
      <c r="H95" s="929"/>
      <c r="I95" s="852" t="s">
        <v>2351</v>
      </c>
      <c r="J95" s="816"/>
      <c r="K95" s="817">
        <f t="shared" si="13"/>
        <v>0</v>
      </c>
      <c r="L95" s="816">
        <f t="shared" si="15"/>
        <v>0</v>
      </c>
      <c r="M95" s="931"/>
      <c r="N95" s="817"/>
      <c r="O95" s="1536">
        <f t="shared" si="11"/>
        <v>0</v>
      </c>
      <c r="P95" s="50"/>
      <c r="EM95" s="7"/>
      <c r="EN95" s="7"/>
    </row>
    <row r="96" spans="2:144" x14ac:dyDescent="0.25">
      <c r="B96" s="7"/>
      <c r="C96" s="490">
        <f t="shared" si="12"/>
        <v>81</v>
      </c>
      <c r="D96" s="935" t="s">
        <v>2362</v>
      </c>
      <c r="E96" s="938"/>
      <c r="F96" s="929"/>
      <c r="G96" s="936"/>
      <c r="H96" s="929"/>
      <c r="I96" s="852" t="s">
        <v>2356</v>
      </c>
      <c r="J96" s="930"/>
      <c r="K96" s="817">
        <f t="shared" si="13"/>
        <v>0</v>
      </c>
      <c r="L96" s="816">
        <f t="shared" si="15"/>
        <v>0</v>
      </c>
      <c r="M96" s="931"/>
      <c r="N96" s="817"/>
      <c r="O96" s="1536">
        <f t="shared" si="11"/>
        <v>0</v>
      </c>
      <c r="P96" s="50"/>
      <c r="EM96" s="7"/>
      <c r="EN96" s="7"/>
    </row>
    <row r="97" spans="2:144" x14ac:dyDescent="0.25">
      <c r="B97" s="7"/>
      <c r="C97" s="490">
        <f t="shared" si="12"/>
        <v>82</v>
      </c>
      <c r="D97" s="935" t="s">
        <v>2739</v>
      </c>
      <c r="E97" s="938"/>
      <c r="F97" s="929"/>
      <c r="G97" s="936"/>
      <c r="H97" s="929"/>
      <c r="I97" s="852" t="s">
        <v>2371</v>
      </c>
      <c r="J97" s="821"/>
      <c r="K97" s="817">
        <f t="shared" si="13"/>
        <v>0</v>
      </c>
      <c r="L97" s="816">
        <f t="shared" si="15"/>
        <v>0</v>
      </c>
      <c r="M97" s="931"/>
      <c r="N97" s="817"/>
      <c r="O97" s="1536">
        <f t="shared" si="11"/>
        <v>0</v>
      </c>
      <c r="P97" s="50"/>
      <c r="EM97" s="7"/>
      <c r="EN97" s="7"/>
    </row>
    <row r="98" spans="2:144" x14ac:dyDescent="0.25">
      <c r="B98" s="7"/>
      <c r="C98" s="490">
        <f t="shared" si="12"/>
        <v>83</v>
      </c>
      <c r="D98" s="1347" t="s">
        <v>2195</v>
      </c>
      <c r="E98" s="510"/>
      <c r="F98" s="511"/>
      <c r="G98" s="492"/>
      <c r="H98" s="492"/>
      <c r="I98" s="846" t="s">
        <v>2196</v>
      </c>
      <c r="J98" s="816"/>
      <c r="K98" s="817">
        <f t="shared" si="13"/>
        <v>0</v>
      </c>
      <c r="L98" s="816">
        <f t="shared" si="15"/>
        <v>0</v>
      </c>
      <c r="M98" s="931"/>
      <c r="N98" s="817"/>
      <c r="O98" s="1536">
        <f t="shared" si="11"/>
        <v>0</v>
      </c>
      <c r="P98" s="50"/>
      <c r="EM98" s="7"/>
      <c r="EN98" s="7"/>
    </row>
    <row r="99" spans="2:144" x14ac:dyDescent="0.25">
      <c r="B99" s="7"/>
      <c r="C99" s="490">
        <f t="shared" si="12"/>
        <v>84</v>
      </c>
      <c r="D99" s="1347" t="s">
        <v>2555</v>
      </c>
      <c r="E99" s="510"/>
      <c r="F99" s="511"/>
      <c r="G99" s="492"/>
      <c r="H99" s="492"/>
      <c r="I99" s="846">
        <v>15000</v>
      </c>
      <c r="J99" s="930"/>
      <c r="K99" s="817">
        <f t="shared" si="13"/>
        <v>0</v>
      </c>
      <c r="L99" s="816">
        <f t="shared" si="15"/>
        <v>0</v>
      </c>
      <c r="M99" s="931"/>
      <c r="N99" s="817"/>
      <c r="O99" s="1536">
        <f t="shared" si="11"/>
        <v>0</v>
      </c>
      <c r="P99" s="50"/>
      <c r="EM99" s="7"/>
      <c r="EN99" s="7"/>
    </row>
    <row r="100" spans="2:144" x14ac:dyDescent="0.25">
      <c r="B100" s="7"/>
      <c r="C100" s="490">
        <f t="shared" si="12"/>
        <v>85</v>
      </c>
      <c r="D100" s="493" t="s">
        <v>773</v>
      </c>
      <c r="E100" s="494"/>
      <c r="F100" s="492"/>
      <c r="G100" s="492"/>
      <c r="H100" s="492"/>
      <c r="I100" s="853"/>
      <c r="J100" s="821"/>
      <c r="K100" s="817">
        <f t="shared" si="13"/>
        <v>0</v>
      </c>
      <c r="L100" s="816">
        <f t="shared" si="15"/>
        <v>0</v>
      </c>
      <c r="M100" s="791"/>
      <c r="N100" s="817"/>
      <c r="O100" s="1536">
        <f t="shared" si="11"/>
        <v>0</v>
      </c>
      <c r="P100" s="50"/>
      <c r="EM100" s="7"/>
      <c r="EN100" s="7"/>
    </row>
    <row r="101" spans="2:144" x14ac:dyDescent="0.25">
      <c r="B101" s="7"/>
      <c r="C101" s="490">
        <f t="shared" si="12"/>
        <v>86</v>
      </c>
      <c r="D101" s="493" t="s">
        <v>774</v>
      </c>
      <c r="E101" s="515"/>
      <c r="F101" s="492"/>
      <c r="G101" s="514"/>
      <c r="H101" s="492"/>
      <c r="I101" s="323"/>
      <c r="J101" s="816"/>
      <c r="K101" s="817">
        <f t="shared" si="13"/>
        <v>0</v>
      </c>
      <c r="L101" s="816">
        <f t="shared" si="15"/>
        <v>0</v>
      </c>
      <c r="M101" s="791"/>
      <c r="N101" s="817"/>
      <c r="O101" s="1536">
        <f t="shared" si="11"/>
        <v>0</v>
      </c>
      <c r="P101" s="50"/>
      <c r="EM101" s="7"/>
      <c r="EN101" s="7"/>
    </row>
    <row r="102" spans="2:144" x14ac:dyDescent="0.25">
      <c r="B102" s="7"/>
      <c r="C102" s="490">
        <f t="shared" si="12"/>
        <v>87</v>
      </c>
      <c r="D102" s="493" t="s">
        <v>2348</v>
      </c>
      <c r="E102" s="515"/>
      <c r="F102" s="492"/>
      <c r="G102" s="514"/>
      <c r="H102" s="492"/>
      <c r="I102" s="323"/>
      <c r="J102" s="930"/>
      <c r="K102" s="817">
        <f t="shared" si="13"/>
        <v>0</v>
      </c>
      <c r="L102" s="816">
        <f t="shared" si="15"/>
        <v>0</v>
      </c>
      <c r="M102" s="791"/>
      <c r="N102" s="817"/>
      <c r="O102" s="1536">
        <f t="shared" si="11"/>
        <v>0</v>
      </c>
      <c r="P102" s="50"/>
      <c r="EM102" s="7"/>
      <c r="EN102" s="7"/>
    </row>
    <row r="103" spans="2:144" x14ac:dyDescent="0.25">
      <c r="B103" s="7"/>
      <c r="C103" s="490">
        <f t="shared" si="12"/>
        <v>88</v>
      </c>
      <c r="D103" s="493" t="s">
        <v>775</v>
      </c>
      <c r="E103" s="503"/>
      <c r="F103" s="504"/>
      <c r="G103" s="514"/>
      <c r="H103" s="492"/>
      <c r="I103" s="323"/>
      <c r="J103" s="821"/>
      <c r="K103" s="817">
        <f t="shared" ref="K103:K112" si="16">J103*$K$8</f>
        <v>0</v>
      </c>
      <c r="L103" s="816">
        <f t="shared" ref="L103:L112" si="17">J103*$L$8</f>
        <v>0</v>
      </c>
      <c r="M103" s="826"/>
      <c r="N103" s="817"/>
      <c r="O103" s="1536">
        <f t="shared" si="11"/>
        <v>0</v>
      </c>
      <c r="P103" s="50"/>
      <c r="EM103" s="7"/>
      <c r="EN103" s="7"/>
    </row>
    <row r="104" spans="2:144" x14ac:dyDescent="0.25">
      <c r="B104" s="7"/>
      <c r="C104" s="490">
        <f t="shared" si="12"/>
        <v>89</v>
      </c>
      <c r="D104" s="493" t="s">
        <v>2461</v>
      </c>
      <c r="E104" s="503"/>
      <c r="F104" s="504"/>
      <c r="G104" s="514"/>
      <c r="H104" s="492"/>
      <c r="I104" s="323"/>
      <c r="J104" s="816"/>
      <c r="K104" s="817">
        <f t="shared" si="16"/>
        <v>0</v>
      </c>
      <c r="L104" s="816">
        <f t="shared" si="17"/>
        <v>0</v>
      </c>
      <c r="M104" s="826"/>
      <c r="N104" s="817"/>
      <c r="O104" s="1536">
        <f t="shared" si="11"/>
        <v>0</v>
      </c>
      <c r="P104" s="50"/>
      <c r="EM104" s="7"/>
      <c r="EN104" s="7"/>
    </row>
    <row r="105" spans="2:144" x14ac:dyDescent="0.25">
      <c r="B105" s="7"/>
      <c r="C105" s="490">
        <f t="shared" si="12"/>
        <v>90</v>
      </c>
      <c r="D105" s="493" t="s">
        <v>2462</v>
      </c>
      <c r="E105" s="503"/>
      <c r="F105" s="504"/>
      <c r="G105" s="516"/>
      <c r="H105" s="492"/>
      <c r="I105" s="323"/>
      <c r="J105" s="930"/>
      <c r="K105" s="817">
        <f t="shared" si="16"/>
        <v>0</v>
      </c>
      <c r="L105" s="816">
        <f t="shared" si="17"/>
        <v>0</v>
      </c>
      <c r="M105" s="826"/>
      <c r="N105" s="817"/>
      <c r="O105" s="1536">
        <f t="shared" si="11"/>
        <v>0</v>
      </c>
      <c r="P105" s="50"/>
      <c r="EM105" s="7"/>
      <c r="EN105" s="7"/>
    </row>
    <row r="106" spans="2:144" x14ac:dyDescent="0.25">
      <c r="B106" s="7"/>
      <c r="C106" s="490">
        <f t="shared" si="12"/>
        <v>91</v>
      </c>
      <c r="D106" s="493" t="s">
        <v>776</v>
      </c>
      <c r="E106" s="503"/>
      <c r="F106" s="504"/>
      <c r="G106" s="516"/>
      <c r="H106" s="492"/>
      <c r="I106" s="323"/>
      <c r="J106" s="821"/>
      <c r="K106" s="817">
        <f t="shared" si="16"/>
        <v>0</v>
      </c>
      <c r="L106" s="816">
        <f t="shared" si="17"/>
        <v>0</v>
      </c>
      <c r="M106" s="826"/>
      <c r="N106" s="817"/>
      <c r="O106" s="1536">
        <f t="shared" si="11"/>
        <v>0</v>
      </c>
      <c r="P106" s="50"/>
      <c r="EM106" s="7"/>
      <c r="EN106" s="7"/>
    </row>
    <row r="107" spans="2:144" x14ac:dyDescent="0.25">
      <c r="B107" s="7"/>
      <c r="C107" s="490">
        <f t="shared" si="12"/>
        <v>92</v>
      </c>
      <c r="D107" s="493" t="s">
        <v>777</v>
      </c>
      <c r="E107" s="503"/>
      <c r="F107" s="504"/>
      <c r="G107" s="516"/>
      <c r="H107" s="492"/>
      <c r="I107" s="323"/>
      <c r="J107" s="816"/>
      <c r="K107" s="817">
        <f t="shared" si="16"/>
        <v>0</v>
      </c>
      <c r="L107" s="816">
        <f t="shared" si="17"/>
        <v>0</v>
      </c>
      <c r="M107" s="826"/>
      <c r="N107" s="817"/>
      <c r="O107" s="1536">
        <f t="shared" si="11"/>
        <v>0</v>
      </c>
      <c r="P107" s="50"/>
      <c r="EM107" s="7"/>
      <c r="EN107" s="7"/>
    </row>
    <row r="108" spans="2:144" x14ac:dyDescent="0.25">
      <c r="B108" s="7"/>
      <c r="C108" s="490">
        <f>C103+1</f>
        <v>89</v>
      </c>
      <c r="D108" s="493" t="s">
        <v>2463</v>
      </c>
      <c r="E108" s="503"/>
      <c r="F108" s="504"/>
      <c r="G108" s="1264"/>
      <c r="H108" s="929"/>
      <c r="I108" s="937"/>
      <c r="J108" s="930"/>
      <c r="K108" s="817">
        <f>J108*$K$8</f>
        <v>0</v>
      </c>
      <c r="L108" s="816">
        <f>J108*$L$8</f>
        <v>0</v>
      </c>
      <c r="M108" s="818"/>
      <c r="N108" s="817"/>
      <c r="O108" s="1536">
        <f t="shared" si="11"/>
        <v>0</v>
      </c>
      <c r="P108" s="50"/>
      <c r="EM108" s="7"/>
      <c r="EN108" s="7"/>
    </row>
    <row r="109" spans="2:144" x14ac:dyDescent="0.25">
      <c r="B109" s="7"/>
      <c r="C109" s="490">
        <f>C104+1</f>
        <v>90</v>
      </c>
      <c r="D109" s="500" t="s">
        <v>30</v>
      </c>
      <c r="E109" s="496" t="s">
        <v>80</v>
      </c>
      <c r="F109" s="1263"/>
      <c r="G109" s="1264"/>
      <c r="H109" s="929"/>
      <c r="I109" s="937"/>
      <c r="J109" s="821"/>
      <c r="K109" s="817">
        <f>J109*$K$8</f>
        <v>0</v>
      </c>
      <c r="L109" s="816">
        <f>J109*$L$8</f>
        <v>0</v>
      </c>
      <c r="M109" s="818"/>
      <c r="N109" s="817"/>
      <c r="O109" s="1536">
        <f t="shared" si="11"/>
        <v>0</v>
      </c>
      <c r="P109" s="50"/>
      <c r="EM109" s="7"/>
      <c r="EN109" s="7"/>
    </row>
    <row r="110" spans="2:144" x14ac:dyDescent="0.25">
      <c r="B110" s="7"/>
      <c r="C110" s="490">
        <f>C105+1</f>
        <v>91</v>
      </c>
      <c r="D110" s="500" t="s">
        <v>30</v>
      </c>
      <c r="E110" s="496" t="s">
        <v>80</v>
      </c>
      <c r="F110" s="1263"/>
      <c r="G110" s="1264"/>
      <c r="H110" s="929"/>
      <c r="I110" s="937"/>
      <c r="J110" s="816"/>
      <c r="K110" s="817">
        <f>J110*$K$8</f>
        <v>0</v>
      </c>
      <c r="L110" s="816">
        <f>J110*$L$8</f>
        <v>0</v>
      </c>
      <c r="M110" s="818"/>
      <c r="N110" s="817"/>
      <c r="O110" s="1536">
        <f t="shared" si="11"/>
        <v>0</v>
      </c>
      <c r="P110" s="50"/>
      <c r="EM110" s="7"/>
      <c r="EN110" s="7"/>
    </row>
    <row r="111" spans="2:144" x14ac:dyDescent="0.25">
      <c r="B111" s="7"/>
      <c r="C111" s="490">
        <f>C106+1</f>
        <v>92</v>
      </c>
      <c r="D111" s="500" t="s">
        <v>30</v>
      </c>
      <c r="E111" s="496" t="s">
        <v>80</v>
      </c>
      <c r="F111" s="1263"/>
      <c r="G111" s="1264"/>
      <c r="H111" s="929"/>
      <c r="I111" s="937"/>
      <c r="J111" s="930"/>
      <c r="K111" s="817">
        <f>J111*$K$8</f>
        <v>0</v>
      </c>
      <c r="L111" s="816">
        <f>J111*$L$8</f>
        <v>0</v>
      </c>
      <c r="M111" s="818"/>
      <c r="N111" s="817"/>
      <c r="O111" s="1536">
        <f t="shared" si="11"/>
        <v>0</v>
      </c>
      <c r="P111" s="50"/>
      <c r="EM111" s="7"/>
      <c r="EN111" s="7"/>
    </row>
    <row r="112" spans="2:144" x14ac:dyDescent="0.25">
      <c r="B112" s="7"/>
      <c r="C112" s="490">
        <f>C107+1</f>
        <v>93</v>
      </c>
      <c r="D112" s="500" t="s">
        <v>30</v>
      </c>
      <c r="E112" s="496" t="s">
        <v>80</v>
      </c>
      <c r="F112" s="504"/>
      <c r="G112" s="516"/>
      <c r="H112" s="492"/>
      <c r="I112" s="323"/>
      <c r="J112" s="821"/>
      <c r="K112" s="817">
        <f t="shared" si="16"/>
        <v>0</v>
      </c>
      <c r="L112" s="816">
        <f t="shared" si="17"/>
        <v>0</v>
      </c>
      <c r="M112" s="826"/>
      <c r="N112" s="817"/>
      <c r="O112" s="1536">
        <f t="shared" si="11"/>
        <v>0</v>
      </c>
      <c r="P112" s="50"/>
      <c r="EM112" s="7"/>
      <c r="EN112" s="7"/>
    </row>
    <row r="113" spans="2:144" x14ac:dyDescent="0.25">
      <c r="C113" s="67">
        <f>C112+1</f>
        <v>94</v>
      </c>
      <c r="D113" s="11" t="s">
        <v>778</v>
      </c>
      <c r="E113" s="67"/>
      <c r="F113" s="7"/>
      <c r="G113" s="7"/>
      <c r="H113" s="7"/>
      <c r="I113" s="7"/>
      <c r="J113" s="1541">
        <f t="shared" ref="J113:O113" si="18">+SUM(J65:J112)</f>
        <v>0</v>
      </c>
      <c r="K113" s="1541">
        <f t="shared" si="18"/>
        <v>0</v>
      </c>
      <c r="L113" s="1541">
        <f t="shared" si="18"/>
        <v>0</v>
      </c>
      <c r="M113" s="1541">
        <f t="shared" si="18"/>
        <v>0</v>
      </c>
      <c r="N113" s="1541">
        <f t="shared" si="18"/>
        <v>0</v>
      </c>
      <c r="O113" s="1541">
        <f t="shared" si="18"/>
        <v>0</v>
      </c>
      <c r="P113" s="48"/>
      <c r="EM113" s="7"/>
      <c r="EN113" s="7"/>
    </row>
    <row r="114" spans="2:144" x14ac:dyDescent="0.25">
      <c r="C114" s="66"/>
      <c r="E114" s="66"/>
      <c r="F114" s="7"/>
      <c r="G114" s="7"/>
      <c r="H114" s="7"/>
      <c r="I114" s="7"/>
      <c r="N114"/>
      <c r="O114"/>
      <c r="EM114" s="7"/>
      <c r="EN114" s="7"/>
    </row>
    <row r="115" spans="2:144" x14ac:dyDescent="0.25">
      <c r="C115" s="22" t="s">
        <v>779</v>
      </c>
      <c r="D115" s="22"/>
      <c r="E115" s="289"/>
      <c r="F115" s="7"/>
      <c r="G115" s="7"/>
      <c r="H115" s="7"/>
      <c r="I115" s="7"/>
      <c r="J115" s="7"/>
      <c r="K115" s="7"/>
      <c r="L115" s="7"/>
      <c r="M115" s="7"/>
      <c r="EM115" s="7"/>
      <c r="EN115" s="7"/>
    </row>
    <row r="116" spans="2:144" x14ac:dyDescent="0.25">
      <c r="C116" s="23" t="s">
        <v>780</v>
      </c>
      <c r="D116" s="23"/>
      <c r="E116" s="281"/>
      <c r="F116" s="7"/>
      <c r="G116" s="284"/>
      <c r="H116" s="7"/>
      <c r="I116" s="7"/>
      <c r="J116" s="7"/>
      <c r="K116" s="7"/>
      <c r="L116" s="7"/>
      <c r="M116" s="13" t="s">
        <v>779</v>
      </c>
      <c r="EM116" s="7"/>
      <c r="EN116" s="7"/>
    </row>
    <row r="117" spans="2:144" ht="27.6" x14ac:dyDescent="0.3">
      <c r="C117" s="485" t="s">
        <v>733</v>
      </c>
      <c r="D117" s="485"/>
      <c r="E117" s="485"/>
      <c r="F117" s="486"/>
      <c r="G117" s="486"/>
      <c r="H117" s="486"/>
      <c r="I117" s="487"/>
      <c r="J117" s="488" t="s">
        <v>735</v>
      </c>
      <c r="K117" s="488" t="s">
        <v>2182</v>
      </c>
      <c r="L117" s="488" t="s">
        <v>2183</v>
      </c>
      <c r="M117" s="488" t="s">
        <v>736</v>
      </c>
      <c r="N117" s="488" t="s">
        <v>737</v>
      </c>
      <c r="O117" s="488" t="s">
        <v>738</v>
      </c>
      <c r="P117" s="45"/>
      <c r="EM117" s="7"/>
      <c r="EN117" s="7"/>
    </row>
    <row r="118" spans="2:144" x14ac:dyDescent="0.25">
      <c r="B118" s="7"/>
      <c r="C118" s="324">
        <f>C113+1</f>
        <v>95</v>
      </c>
      <c r="D118" s="493" t="s">
        <v>781</v>
      </c>
      <c r="E118" s="494"/>
      <c r="F118" s="492"/>
      <c r="G118" s="492"/>
      <c r="H118" s="492"/>
      <c r="I118" s="323"/>
      <c r="J118" s="830"/>
      <c r="K118" s="831">
        <f>J118*$K$8</f>
        <v>0</v>
      </c>
      <c r="L118" s="830">
        <f>J118*$L$8</f>
        <v>0</v>
      </c>
      <c r="M118" s="822"/>
      <c r="N118" s="1544"/>
      <c r="O118" s="1539">
        <f>J118-M118-N118</f>
        <v>0</v>
      </c>
      <c r="P118" s="46"/>
      <c r="EM118" s="7"/>
      <c r="EN118" s="7"/>
    </row>
    <row r="119" spans="2:144" x14ac:dyDescent="0.25">
      <c r="B119" s="7"/>
      <c r="C119" s="324">
        <f t="shared" ref="C119:C127" si="19">C118+1</f>
        <v>96</v>
      </c>
      <c r="D119" s="493" t="s">
        <v>782</v>
      </c>
      <c r="E119" s="494"/>
      <c r="F119" s="492"/>
      <c r="G119" s="492"/>
      <c r="H119" s="492"/>
      <c r="I119" s="846" t="s">
        <v>783</v>
      </c>
      <c r="J119" s="832"/>
      <c r="K119" s="831">
        <f t="shared" ref="K119:K125" si="20">J119*$K$8</f>
        <v>0</v>
      </c>
      <c r="L119" s="830">
        <f t="shared" ref="L119:L125" si="21">J119*$L$8</f>
        <v>0</v>
      </c>
      <c r="M119" s="1542"/>
      <c r="N119" s="1543"/>
      <c r="O119" s="1539">
        <f t="shared" ref="O119:O125" si="22">J119-M119-N119</f>
        <v>0</v>
      </c>
      <c r="P119" s="50"/>
      <c r="EM119" s="7"/>
      <c r="EN119" s="7"/>
    </row>
    <row r="120" spans="2:144" x14ac:dyDescent="0.25">
      <c r="B120" s="7"/>
      <c r="C120" s="324">
        <f t="shared" si="19"/>
        <v>97</v>
      </c>
      <c r="D120" s="493" t="s">
        <v>784</v>
      </c>
      <c r="E120" s="494"/>
      <c r="F120" s="492"/>
      <c r="G120" s="492"/>
      <c r="H120" s="492"/>
      <c r="I120" s="323"/>
      <c r="J120" s="833"/>
      <c r="K120" s="831">
        <f t="shared" si="20"/>
        <v>0</v>
      </c>
      <c r="L120" s="830">
        <f t="shared" si="21"/>
        <v>0</v>
      </c>
      <c r="M120" s="820"/>
      <c r="N120" s="1545"/>
      <c r="O120" s="1539">
        <f t="shared" si="22"/>
        <v>0</v>
      </c>
      <c r="P120" s="50"/>
      <c r="EM120" s="7"/>
      <c r="EN120" s="7"/>
    </row>
    <row r="121" spans="2:144" x14ac:dyDescent="0.25">
      <c r="B121" s="7"/>
      <c r="C121" s="324">
        <f t="shared" si="19"/>
        <v>98</v>
      </c>
      <c r="D121" s="493" t="s">
        <v>785</v>
      </c>
      <c r="E121" s="494"/>
      <c r="F121" s="492"/>
      <c r="G121" s="492"/>
      <c r="H121" s="492"/>
      <c r="I121" s="323"/>
      <c r="J121" s="833"/>
      <c r="K121" s="831">
        <f t="shared" si="20"/>
        <v>0</v>
      </c>
      <c r="L121" s="830">
        <f t="shared" si="21"/>
        <v>0</v>
      </c>
      <c r="M121" s="820"/>
      <c r="N121" s="1545"/>
      <c r="O121" s="1539">
        <f t="shared" si="22"/>
        <v>0</v>
      </c>
      <c r="P121" s="50"/>
      <c r="EM121" s="7"/>
      <c r="EN121" s="7"/>
    </row>
    <row r="122" spans="2:144" x14ac:dyDescent="0.25">
      <c r="B122" s="7"/>
      <c r="C122" s="324">
        <f t="shared" si="19"/>
        <v>99</v>
      </c>
      <c r="D122" s="493" t="s">
        <v>786</v>
      </c>
      <c r="E122" s="494"/>
      <c r="F122" s="492"/>
      <c r="G122" s="492"/>
      <c r="H122" s="492"/>
      <c r="I122" s="323"/>
      <c r="J122" s="833"/>
      <c r="K122" s="831">
        <f t="shared" si="20"/>
        <v>0</v>
      </c>
      <c r="L122" s="830">
        <f t="shared" si="21"/>
        <v>0</v>
      </c>
      <c r="M122" s="820"/>
      <c r="N122" s="1545"/>
      <c r="O122" s="1539">
        <f t="shared" si="22"/>
        <v>0</v>
      </c>
      <c r="P122" s="50"/>
      <c r="EM122" s="7"/>
      <c r="EN122" s="7"/>
    </row>
    <row r="123" spans="2:144" x14ac:dyDescent="0.25">
      <c r="B123" s="7"/>
      <c r="C123" s="324">
        <f t="shared" si="19"/>
        <v>100</v>
      </c>
      <c r="D123" s="493" t="s">
        <v>787</v>
      </c>
      <c r="E123" s="494"/>
      <c r="F123" s="492"/>
      <c r="G123" s="492"/>
      <c r="H123" s="492"/>
      <c r="I123" s="323"/>
      <c r="J123" s="833"/>
      <c r="K123" s="831">
        <f t="shared" si="20"/>
        <v>0</v>
      </c>
      <c r="L123" s="830">
        <f t="shared" si="21"/>
        <v>0</v>
      </c>
      <c r="M123" s="834"/>
      <c r="N123" s="1546"/>
      <c r="O123" s="1539">
        <f t="shared" si="22"/>
        <v>0</v>
      </c>
      <c r="P123" s="50"/>
      <c r="EM123" s="7"/>
      <c r="EN123" s="7"/>
    </row>
    <row r="124" spans="2:144" x14ac:dyDescent="0.25">
      <c r="B124" s="7"/>
      <c r="C124" s="324">
        <f t="shared" si="19"/>
        <v>101</v>
      </c>
      <c r="D124" s="500" t="s">
        <v>30</v>
      </c>
      <c r="E124" s="496" t="s">
        <v>80</v>
      </c>
      <c r="F124" s="492"/>
      <c r="G124" s="492"/>
      <c r="H124" s="492"/>
      <c r="I124" s="323"/>
      <c r="J124" s="835"/>
      <c r="K124" s="831">
        <f t="shared" si="20"/>
        <v>0</v>
      </c>
      <c r="L124" s="830">
        <f t="shared" si="21"/>
        <v>0</v>
      </c>
      <c r="M124" s="834"/>
      <c r="N124" s="1546"/>
      <c r="O124" s="1539">
        <f t="shared" si="22"/>
        <v>0</v>
      </c>
      <c r="P124" s="50"/>
      <c r="EM124" s="7"/>
      <c r="EN124" s="7"/>
    </row>
    <row r="125" spans="2:144" x14ac:dyDescent="0.25">
      <c r="B125" s="7"/>
      <c r="C125" s="324">
        <f t="shared" si="19"/>
        <v>102</v>
      </c>
      <c r="D125" s="500" t="s">
        <v>30</v>
      </c>
      <c r="E125" s="496" t="s">
        <v>80</v>
      </c>
      <c r="F125" s="492"/>
      <c r="G125" s="492"/>
      <c r="H125" s="492"/>
      <c r="I125" s="323"/>
      <c r="J125" s="834"/>
      <c r="K125" s="831">
        <f t="shared" si="20"/>
        <v>0</v>
      </c>
      <c r="L125" s="830">
        <f t="shared" si="21"/>
        <v>0</v>
      </c>
      <c r="M125" s="834"/>
      <c r="N125" s="1546"/>
      <c r="O125" s="1539">
        <f t="shared" si="22"/>
        <v>0</v>
      </c>
      <c r="P125" s="50"/>
      <c r="EM125" s="7"/>
      <c r="EN125" s="7"/>
    </row>
    <row r="126" spans="2:144" ht="13.8" thickBot="1" x14ac:dyDescent="0.3">
      <c r="C126" s="125">
        <f t="shared" si="19"/>
        <v>103</v>
      </c>
      <c r="D126" s="11" t="s">
        <v>788</v>
      </c>
      <c r="E126" s="67"/>
      <c r="F126" s="43"/>
      <c r="G126" s="43"/>
      <c r="H126" s="43"/>
      <c r="I126" s="99"/>
      <c r="J126" s="1547">
        <f>SUM(J118:J125)</f>
        <v>0</v>
      </c>
      <c r="K126" s="1547">
        <f>SUM(K118:K125)</f>
        <v>0</v>
      </c>
      <c r="L126" s="1547">
        <f>SUM(L118:L125)</f>
        <v>0</v>
      </c>
      <c r="M126" s="1547">
        <f>SUM(M118:M125)</f>
        <v>0</v>
      </c>
      <c r="N126" s="1547">
        <f>SUM(N118:N125)</f>
        <v>0</v>
      </c>
      <c r="O126" s="1547">
        <f>+SUM(O118:O125)</f>
        <v>0</v>
      </c>
      <c r="P126" s="48"/>
      <c r="EM126" s="7"/>
      <c r="EN126" s="7"/>
    </row>
    <row r="127" spans="2:144" s="1313" customFormat="1" ht="14.4" thickBot="1" x14ac:dyDescent="0.3">
      <c r="C127" s="1314">
        <f t="shared" si="19"/>
        <v>104</v>
      </c>
      <c r="D127" s="1315" t="s">
        <v>789</v>
      </c>
      <c r="E127" s="1316"/>
      <c r="F127" s="1317"/>
      <c r="G127" s="1317"/>
      <c r="H127" s="1317"/>
      <c r="I127" s="1317"/>
      <c r="J127" s="1548">
        <f t="shared" ref="J127:O127" si="23">+SUM(+J24+J61+J113+J126)</f>
        <v>0</v>
      </c>
      <c r="K127" s="1548">
        <f t="shared" si="23"/>
        <v>0</v>
      </c>
      <c r="L127" s="1548">
        <f t="shared" si="23"/>
        <v>0</v>
      </c>
      <c r="M127" s="1548">
        <f t="shared" si="23"/>
        <v>0</v>
      </c>
      <c r="N127" s="1548">
        <f t="shared" si="23"/>
        <v>0</v>
      </c>
      <c r="O127" s="1548">
        <f t="shared" si="23"/>
        <v>0</v>
      </c>
      <c r="P127" s="1318"/>
      <c r="Q127" s="1195"/>
      <c r="R127" s="1195"/>
      <c r="S127" s="1195"/>
      <c r="T127" s="1195"/>
      <c r="U127" s="1195"/>
      <c r="V127" s="1195"/>
      <c r="W127" s="1195"/>
      <c r="X127" s="1195"/>
      <c r="Y127" s="1195"/>
      <c r="Z127" s="1195"/>
      <c r="AA127" s="1195"/>
      <c r="AB127" s="1195"/>
      <c r="AC127" s="1195"/>
      <c r="AD127" s="1195"/>
      <c r="AE127" s="1195"/>
      <c r="AF127" s="1195"/>
      <c r="AG127" s="1195"/>
      <c r="AH127" s="1195"/>
      <c r="AI127" s="1195"/>
      <c r="AJ127" s="1195"/>
      <c r="AK127" s="1195"/>
      <c r="AL127" s="1195"/>
      <c r="AM127" s="1195"/>
      <c r="AN127" s="1195"/>
      <c r="AO127" s="1195"/>
      <c r="AP127" s="1195"/>
      <c r="AQ127" s="1195"/>
      <c r="AR127" s="1195"/>
      <c r="AS127" s="1195"/>
      <c r="AT127" s="1195"/>
      <c r="AU127" s="1195"/>
      <c r="AV127" s="1195"/>
      <c r="AW127" s="1195"/>
      <c r="AX127" s="1195"/>
      <c r="AY127" s="1195"/>
      <c r="AZ127" s="1195"/>
      <c r="BA127" s="1195"/>
      <c r="BB127" s="1195"/>
      <c r="BC127" s="1195"/>
      <c r="BD127" s="1195"/>
      <c r="BE127" s="1195"/>
      <c r="BF127" s="1195"/>
      <c r="BG127" s="1195"/>
      <c r="BH127" s="1195"/>
      <c r="BI127" s="1195"/>
      <c r="BJ127" s="1195"/>
      <c r="BK127" s="1195"/>
      <c r="BL127" s="1195"/>
      <c r="BM127" s="1195"/>
      <c r="BN127" s="1195"/>
      <c r="BO127" s="1195"/>
      <c r="BP127" s="1195"/>
      <c r="BQ127" s="1195"/>
      <c r="BR127" s="1195"/>
      <c r="BS127" s="1195"/>
      <c r="BT127" s="1195"/>
      <c r="BU127" s="1195"/>
      <c r="BV127" s="1195"/>
      <c r="BW127" s="1195"/>
      <c r="BX127" s="1195"/>
      <c r="BY127" s="1195"/>
      <c r="BZ127" s="1195"/>
      <c r="CA127" s="1195"/>
      <c r="CB127" s="1195"/>
      <c r="CC127" s="1195"/>
      <c r="CD127" s="1195"/>
      <c r="CE127" s="1195"/>
      <c r="CF127" s="1195"/>
      <c r="CG127" s="1195"/>
      <c r="CH127" s="1195"/>
      <c r="CI127" s="1195"/>
      <c r="CJ127" s="1195"/>
      <c r="CK127" s="1195"/>
      <c r="CL127" s="1195"/>
      <c r="CM127" s="1195"/>
      <c r="CN127" s="1195"/>
      <c r="CO127" s="1195"/>
      <c r="CP127" s="1195"/>
      <c r="CQ127" s="1195"/>
      <c r="CR127" s="1195"/>
      <c r="CS127" s="1195"/>
      <c r="CT127" s="1195"/>
      <c r="CU127" s="1195"/>
      <c r="CV127" s="1195"/>
      <c r="CW127" s="1195"/>
      <c r="CX127" s="1195"/>
      <c r="CY127" s="1195"/>
      <c r="CZ127" s="1195"/>
      <c r="DA127" s="1195"/>
      <c r="DB127" s="1195"/>
      <c r="DC127" s="1195"/>
      <c r="DD127" s="1195"/>
      <c r="DE127" s="1195"/>
      <c r="DF127" s="1195"/>
      <c r="DG127" s="1195"/>
      <c r="DH127" s="1195"/>
      <c r="DI127" s="1195"/>
      <c r="DJ127" s="1195"/>
      <c r="DK127" s="1195"/>
      <c r="DL127" s="1195"/>
      <c r="DM127" s="1195"/>
      <c r="DN127" s="1195"/>
      <c r="DO127" s="1195"/>
      <c r="DP127" s="1195"/>
      <c r="DQ127" s="1195"/>
      <c r="DR127" s="1195"/>
      <c r="DS127" s="1195"/>
      <c r="DT127" s="1195"/>
      <c r="DU127" s="1195"/>
      <c r="DV127" s="1195"/>
      <c r="DW127" s="1195"/>
      <c r="DX127" s="1195"/>
      <c r="DY127" s="1195"/>
      <c r="DZ127" s="1195"/>
      <c r="EA127" s="1195"/>
      <c r="EB127" s="1195"/>
      <c r="EC127" s="1195"/>
      <c r="ED127" s="1195"/>
      <c r="EE127" s="1195"/>
      <c r="EF127" s="1195"/>
      <c r="EG127" s="1195"/>
      <c r="EH127" s="1195"/>
      <c r="EI127" s="1195"/>
      <c r="EJ127" s="1195"/>
      <c r="EK127" s="1195"/>
      <c r="EL127" s="1195"/>
      <c r="EM127" s="1195"/>
      <c r="EN127" s="1195"/>
    </row>
    <row r="128" spans="2:144" x14ac:dyDescent="0.25">
      <c r="C128" s="20"/>
      <c r="D128" s="47"/>
      <c r="E128" s="53"/>
      <c r="F128" s="7"/>
      <c r="G128" s="7"/>
      <c r="H128" s="7"/>
      <c r="I128" s="7"/>
      <c r="J128" s="7"/>
      <c r="K128" s="7"/>
      <c r="L128" s="7"/>
      <c r="M128" s="7"/>
      <c r="EM128" s="7"/>
      <c r="EN128" s="7"/>
    </row>
    <row r="129" spans="2:144" ht="15" x14ac:dyDescent="0.25">
      <c r="C129" s="354" t="s">
        <v>790</v>
      </c>
      <c r="D129" s="518"/>
      <c r="E129" s="336"/>
      <c r="F129" s="234"/>
      <c r="G129" s="290"/>
      <c r="H129" s="234"/>
      <c r="I129" s="234"/>
      <c r="J129" s="234"/>
      <c r="K129" s="814"/>
      <c r="L129" s="234"/>
      <c r="M129" s="234"/>
      <c r="N129" s="234"/>
      <c r="O129" s="234"/>
      <c r="EM129" s="7"/>
      <c r="EN129" s="7"/>
    </row>
    <row r="130" spans="2:144" s="7" customFormat="1" x14ac:dyDescent="0.25">
      <c r="C130" s="53"/>
      <c r="D130" s="44"/>
      <c r="E130" s="53"/>
      <c r="G130" s="64"/>
    </row>
    <row r="131" spans="2:144" s="7" customFormat="1" x14ac:dyDescent="0.25">
      <c r="C131" s="23" t="s">
        <v>791</v>
      </c>
      <c r="D131" s="281"/>
      <c r="E131" s="281"/>
      <c r="G131" s="64"/>
      <c r="M131" s="13" t="s">
        <v>779</v>
      </c>
    </row>
    <row r="132" spans="2:144" ht="27.6" x14ac:dyDescent="0.3">
      <c r="C132" s="485" t="s">
        <v>733</v>
      </c>
      <c r="D132" s="485"/>
      <c r="E132" s="485"/>
      <c r="F132" s="486"/>
      <c r="G132" s="486"/>
      <c r="H132" s="486"/>
      <c r="I132" s="487"/>
      <c r="J132" s="488" t="s">
        <v>735</v>
      </c>
      <c r="K132" s="488" t="s">
        <v>2182</v>
      </c>
      <c r="L132" s="488" t="s">
        <v>2183</v>
      </c>
      <c r="M132" s="488" t="s">
        <v>736</v>
      </c>
      <c r="N132" s="815" t="s">
        <v>737</v>
      </c>
      <c r="O132" s="489" t="s">
        <v>738</v>
      </c>
      <c r="P132" s="45"/>
      <c r="EM132" s="7"/>
      <c r="EN132" s="7"/>
    </row>
    <row r="133" spans="2:144" x14ac:dyDescent="0.25">
      <c r="B133" s="7"/>
      <c r="C133" s="490">
        <f>C127+1</f>
        <v>105</v>
      </c>
      <c r="D133" s="493" t="s">
        <v>792</v>
      </c>
      <c r="E133" s="501"/>
      <c r="F133" s="492"/>
      <c r="G133" s="492"/>
      <c r="H133" s="492"/>
      <c r="I133" s="323"/>
      <c r="J133" s="791"/>
      <c r="K133" s="818">
        <f>USE_FeeonNonAcquisitionCosts</f>
        <v>0</v>
      </c>
      <c r="L133" s="1549"/>
      <c r="M133" s="1549"/>
      <c r="N133" s="836"/>
      <c r="O133" s="1536">
        <f>J133-M133-N133</f>
        <v>0</v>
      </c>
      <c r="P133" s="46"/>
      <c r="EM133" s="7"/>
      <c r="EN133" s="7"/>
    </row>
    <row r="134" spans="2:144" x14ac:dyDescent="0.25">
      <c r="B134" s="7"/>
      <c r="C134" s="490">
        <f>C133+1</f>
        <v>106</v>
      </c>
      <c r="D134" s="493" t="s">
        <v>793</v>
      </c>
      <c r="E134" s="501"/>
      <c r="F134" s="492"/>
      <c r="G134" s="492"/>
      <c r="H134" s="492"/>
      <c r="I134" s="323"/>
      <c r="J134" s="820"/>
      <c r="K134" s="818">
        <f>USE_FeeonAcquisitionCosts</f>
        <v>0</v>
      </c>
      <c r="L134" s="1549"/>
      <c r="M134" s="836"/>
      <c r="N134" s="1549"/>
      <c r="O134" s="1536">
        <f>J134-M134-N134</f>
        <v>0</v>
      </c>
      <c r="P134" s="50"/>
      <c r="EM134" s="7"/>
      <c r="EN134" s="7"/>
    </row>
    <row r="135" spans="2:144" x14ac:dyDescent="0.25">
      <c r="C135" s="67">
        <f>C134+1</f>
        <v>107</v>
      </c>
      <c r="D135" s="11" t="s">
        <v>794</v>
      </c>
      <c r="E135" s="67"/>
      <c r="G135" s="7"/>
      <c r="H135" s="519"/>
      <c r="I135" s="7"/>
      <c r="J135" s="1541">
        <f t="shared" ref="J135:O135" si="24">SUM(J133:J134)</f>
        <v>0</v>
      </c>
      <c r="K135" s="1541">
        <f t="shared" si="24"/>
        <v>0</v>
      </c>
      <c r="L135" s="1541">
        <f t="shared" si="24"/>
        <v>0</v>
      </c>
      <c r="M135" s="1541">
        <f t="shared" si="24"/>
        <v>0</v>
      </c>
      <c r="N135" s="1541">
        <f t="shared" si="24"/>
        <v>0</v>
      </c>
      <c r="O135" s="1550">
        <f t="shared" si="24"/>
        <v>0</v>
      </c>
      <c r="P135" s="48"/>
      <c r="EM135" s="7"/>
      <c r="EN135" s="7"/>
    </row>
    <row r="136" spans="2:144" x14ac:dyDescent="0.25">
      <c r="C136" s="20"/>
      <c r="D136" s="44"/>
      <c r="E136" s="53"/>
      <c r="F136" s="7"/>
      <c r="G136" s="211" t="str">
        <f>IF(GENERAL!$D9="4% Twinning Project","$5 million maximum combined developer fee",IF(GENERAL!$D9="9% Twinning Project","$5 million maximum combined developer fee"))</f>
        <v>$5 million maximum combined developer fee</v>
      </c>
      <c r="H136" s="7"/>
      <c r="I136" s="7"/>
      <c r="J136" s="7"/>
      <c r="K136" s="7"/>
      <c r="L136" s="7"/>
      <c r="M136" s="7"/>
      <c r="EM136" s="7"/>
      <c r="EN136" s="7"/>
    </row>
    <row r="137" spans="2:144" x14ac:dyDescent="0.25">
      <c r="C137" s="23" t="s">
        <v>795</v>
      </c>
      <c r="D137" s="281"/>
      <c r="E137" s="281"/>
      <c r="F137" s="7"/>
      <c r="G137" s="64"/>
      <c r="H137" s="280"/>
      <c r="I137" s="7"/>
      <c r="J137" s="7"/>
      <c r="K137" s="7"/>
      <c r="L137" s="7"/>
      <c r="M137" s="13" t="s">
        <v>779</v>
      </c>
      <c r="EM137" s="7"/>
      <c r="EN137" s="7"/>
    </row>
    <row r="138" spans="2:144" ht="27.6" x14ac:dyDescent="0.3">
      <c r="C138" s="485" t="s">
        <v>733</v>
      </c>
      <c r="D138" s="485"/>
      <c r="E138" s="485"/>
      <c r="F138" s="486"/>
      <c r="G138" s="486"/>
      <c r="H138" s="486"/>
      <c r="I138" s="487"/>
      <c r="J138" s="488" t="s">
        <v>735</v>
      </c>
      <c r="K138" s="488" t="s">
        <v>2182</v>
      </c>
      <c r="L138" s="488" t="s">
        <v>2183</v>
      </c>
      <c r="M138" s="488" t="s">
        <v>736</v>
      </c>
      <c r="N138" s="488" t="s">
        <v>737</v>
      </c>
      <c r="O138" s="488" t="s">
        <v>738</v>
      </c>
      <c r="P138" s="45"/>
      <c r="EM138" s="7"/>
      <c r="EN138" s="7"/>
    </row>
    <row r="139" spans="2:144" x14ac:dyDescent="0.25">
      <c r="B139" s="7"/>
      <c r="C139" s="490">
        <f>C135+1</f>
        <v>108</v>
      </c>
      <c r="D139" s="493" t="s">
        <v>796</v>
      </c>
      <c r="E139" s="494"/>
      <c r="F139" s="492"/>
      <c r="G139" s="492"/>
      <c r="H139" s="492"/>
      <c r="I139" s="323"/>
      <c r="J139" s="816"/>
      <c r="K139" s="817">
        <f>J139</f>
        <v>0</v>
      </c>
      <c r="L139" s="1549"/>
      <c r="M139" s="816"/>
      <c r="N139" s="816"/>
      <c r="O139" s="1536">
        <f t="shared" ref="O139:O149" si="25">J139-M139-N139</f>
        <v>0</v>
      </c>
      <c r="P139" s="46"/>
      <c r="EM139" s="7"/>
      <c r="EN139" s="7"/>
    </row>
    <row r="140" spans="2:144" x14ac:dyDescent="0.25">
      <c r="B140" s="7"/>
      <c r="C140" s="490">
        <f t="shared" ref="C140:C149" si="26">C139+1</f>
        <v>109</v>
      </c>
      <c r="D140" s="493" t="s">
        <v>797</v>
      </c>
      <c r="E140" s="494"/>
      <c r="F140" s="520"/>
      <c r="G140" s="492"/>
      <c r="H140" s="492"/>
      <c r="I140" s="323"/>
      <c r="J140" s="828"/>
      <c r="K140" s="817">
        <f>J140</f>
        <v>0</v>
      </c>
      <c r="L140" s="1549"/>
      <c r="M140" s="791"/>
      <c r="N140" s="791"/>
      <c r="O140" s="1536">
        <f t="shared" si="25"/>
        <v>0</v>
      </c>
      <c r="P140" s="50"/>
      <c r="EM140" s="7"/>
      <c r="EN140" s="7"/>
    </row>
    <row r="141" spans="2:144" x14ac:dyDescent="0.25">
      <c r="B141" s="7"/>
      <c r="C141" s="490">
        <f t="shared" si="26"/>
        <v>110</v>
      </c>
      <c r="D141" s="493" t="s">
        <v>798</v>
      </c>
      <c r="E141" s="494"/>
      <c r="F141" s="520"/>
      <c r="G141" s="492"/>
      <c r="H141" s="492"/>
      <c r="I141" s="323"/>
      <c r="J141" s="828"/>
      <c r="K141" s="829">
        <f>J141*$K$8</f>
        <v>0</v>
      </c>
      <c r="L141" s="829">
        <f>J141*$L$8</f>
        <v>0</v>
      </c>
      <c r="M141" s="791"/>
      <c r="N141" s="791"/>
      <c r="O141" s="1536">
        <f t="shared" si="25"/>
        <v>0</v>
      </c>
      <c r="P141" s="50"/>
      <c r="EM141" s="7"/>
      <c r="EN141" s="7"/>
    </row>
    <row r="142" spans="2:144" x14ac:dyDescent="0.25">
      <c r="B142" s="7"/>
      <c r="C142" s="490">
        <f t="shared" si="26"/>
        <v>111</v>
      </c>
      <c r="D142" s="493" t="s">
        <v>799</v>
      </c>
      <c r="E142" s="494"/>
      <c r="F142" s="492"/>
      <c r="G142" s="492"/>
      <c r="H142" s="492"/>
      <c r="I142" s="972"/>
      <c r="J142" s="828"/>
      <c r="K142" s="829">
        <f>J142*$K$8</f>
        <v>0</v>
      </c>
      <c r="L142" s="829">
        <f>J142*$L$8</f>
        <v>0</v>
      </c>
      <c r="M142" s="791"/>
      <c r="N142" s="791"/>
      <c r="O142" s="1536">
        <f t="shared" si="25"/>
        <v>0</v>
      </c>
      <c r="P142" s="50"/>
      <c r="EM142" s="7"/>
      <c r="EN142" s="7"/>
    </row>
    <row r="143" spans="2:144" x14ac:dyDescent="0.25">
      <c r="B143" s="7"/>
      <c r="C143" s="490">
        <f t="shared" si="26"/>
        <v>112</v>
      </c>
      <c r="D143" s="493" t="s">
        <v>800</v>
      </c>
      <c r="E143" s="494"/>
      <c r="F143" s="492"/>
      <c r="G143" s="492"/>
      <c r="H143" s="492"/>
      <c r="I143" s="972"/>
      <c r="J143" s="828"/>
      <c r="K143" s="829">
        <f>J143*$K$8</f>
        <v>0</v>
      </c>
      <c r="L143" s="829">
        <f>J143*$L$8</f>
        <v>0</v>
      </c>
      <c r="M143" s="791"/>
      <c r="N143" s="791"/>
      <c r="O143" s="1536">
        <f t="shared" si="25"/>
        <v>0</v>
      </c>
      <c r="P143" s="50"/>
      <c r="EM143" s="7"/>
      <c r="EN143" s="7"/>
    </row>
    <row r="144" spans="2:144" x14ac:dyDescent="0.25">
      <c r="B144" s="7"/>
      <c r="C144" s="490">
        <f t="shared" si="26"/>
        <v>113</v>
      </c>
      <c r="D144" s="497" t="s">
        <v>801</v>
      </c>
      <c r="E144" s="1142"/>
      <c r="F144" s="492"/>
      <c r="G144" s="492"/>
      <c r="H144" s="521"/>
      <c r="I144" s="846">
        <v>5000</v>
      </c>
      <c r="J144" s="828"/>
      <c r="K144" s="837">
        <f>J144</f>
        <v>0</v>
      </c>
      <c r="L144" s="1549"/>
      <c r="M144" s="791"/>
      <c r="N144" s="791"/>
      <c r="O144" s="1536">
        <f t="shared" si="25"/>
        <v>0</v>
      </c>
      <c r="P144" s="50"/>
      <c r="EM144" s="7"/>
      <c r="EN144" s="7"/>
    </row>
    <row r="145" spans="2:144" x14ac:dyDescent="0.25">
      <c r="B145" s="7"/>
      <c r="C145" s="490">
        <f t="shared" si="26"/>
        <v>114</v>
      </c>
      <c r="D145" s="497" t="s">
        <v>2188</v>
      </c>
      <c r="E145" s="1143"/>
      <c r="F145" s="492"/>
      <c r="G145" s="492"/>
      <c r="H145" s="845" t="s">
        <v>2764</v>
      </c>
      <c r="I145" s="847">
        <f>5%*'TAX CREDIT'!J199</f>
        <v>0</v>
      </c>
      <c r="J145" s="828"/>
      <c r="K145" s="837">
        <f>J145</f>
        <v>0</v>
      </c>
      <c r="L145" s="1549"/>
      <c r="M145" s="791"/>
      <c r="N145" s="791"/>
      <c r="O145" s="1536">
        <f t="shared" si="25"/>
        <v>0</v>
      </c>
      <c r="P145" s="50"/>
      <c r="EM145" s="7"/>
      <c r="EN145" s="7"/>
    </row>
    <row r="146" spans="2:144" x14ac:dyDescent="0.25">
      <c r="B146" s="7"/>
      <c r="C146" s="490">
        <f t="shared" si="26"/>
        <v>115</v>
      </c>
      <c r="D146" s="497" t="s">
        <v>2185</v>
      </c>
      <c r="E146" s="1142"/>
      <c r="F146" s="492"/>
      <c r="G146" s="492"/>
      <c r="H146" s="492"/>
      <c r="I146" s="517" t="s">
        <v>2556</v>
      </c>
      <c r="J146" s="828"/>
      <c r="K146" s="837">
        <f>J146</f>
        <v>0</v>
      </c>
      <c r="L146" s="1549"/>
      <c r="M146" s="791"/>
      <c r="N146" s="791"/>
      <c r="O146" s="1536">
        <f t="shared" si="25"/>
        <v>0</v>
      </c>
      <c r="P146" s="50"/>
      <c r="EM146" s="7"/>
      <c r="EN146" s="7"/>
    </row>
    <row r="147" spans="2:144" x14ac:dyDescent="0.25">
      <c r="B147" s="7"/>
      <c r="C147" s="490">
        <f t="shared" si="26"/>
        <v>116</v>
      </c>
      <c r="D147" s="493" t="s">
        <v>804</v>
      </c>
      <c r="E147" s="494"/>
      <c r="F147" s="492"/>
      <c r="G147" s="492"/>
      <c r="H147" s="492"/>
      <c r="I147" s="972"/>
      <c r="J147" s="828"/>
      <c r="K147" s="829">
        <f>J147*$K$8</f>
        <v>0</v>
      </c>
      <c r="L147" s="829">
        <f>J147*$L$8</f>
        <v>0</v>
      </c>
      <c r="M147" s="791"/>
      <c r="N147" s="828"/>
      <c r="O147" s="1536">
        <f t="shared" si="25"/>
        <v>0</v>
      </c>
      <c r="P147" s="50"/>
      <c r="EM147" s="7"/>
      <c r="EN147" s="7"/>
    </row>
    <row r="148" spans="2:144" x14ac:dyDescent="0.25">
      <c r="B148" s="7"/>
      <c r="C148" s="490">
        <f t="shared" si="26"/>
        <v>117</v>
      </c>
      <c r="D148" s="500" t="s">
        <v>30</v>
      </c>
      <c r="E148" s="496" t="s">
        <v>80</v>
      </c>
      <c r="F148" s="492"/>
      <c r="G148" s="492"/>
      <c r="H148" s="492"/>
      <c r="I148" s="323"/>
      <c r="J148" s="828"/>
      <c r="K148" s="829">
        <f>J148*$K$8</f>
        <v>0</v>
      </c>
      <c r="L148" s="829">
        <f>J148*$L$8</f>
        <v>0</v>
      </c>
      <c r="M148" s="827"/>
      <c r="N148" s="828"/>
      <c r="O148" s="1551">
        <f t="shared" si="25"/>
        <v>0</v>
      </c>
      <c r="P148" s="50"/>
      <c r="EM148" s="7"/>
      <c r="EN148" s="7"/>
    </row>
    <row r="149" spans="2:144" x14ac:dyDescent="0.25">
      <c r="B149" s="7"/>
      <c r="C149" s="490">
        <f t="shared" si="26"/>
        <v>118</v>
      </c>
      <c r="D149" s="500" t="s">
        <v>30</v>
      </c>
      <c r="E149" s="496" t="s">
        <v>80</v>
      </c>
      <c r="F149" s="492"/>
      <c r="G149" s="492"/>
      <c r="H149" s="492"/>
      <c r="I149" s="323"/>
      <c r="J149" s="828"/>
      <c r="K149" s="829">
        <f>J149*$K$8</f>
        <v>0</v>
      </c>
      <c r="L149" s="829">
        <f>J149*$L$8</f>
        <v>0</v>
      </c>
      <c r="M149" s="791"/>
      <c r="N149" s="791"/>
      <c r="O149" s="1536">
        <f t="shared" si="25"/>
        <v>0</v>
      </c>
      <c r="P149" s="50"/>
      <c r="EM149" s="7"/>
      <c r="EN149" s="7"/>
    </row>
    <row r="150" spans="2:144" x14ac:dyDescent="0.25">
      <c r="C150" s="67">
        <f>C149+1</f>
        <v>119</v>
      </c>
      <c r="D150" s="11" t="s">
        <v>805</v>
      </c>
      <c r="E150" s="67"/>
      <c r="F150" s="7"/>
      <c r="G150" s="7"/>
      <c r="H150" s="7"/>
      <c r="I150" s="7"/>
      <c r="J150" s="838">
        <f t="shared" ref="J150:O150" si="27">SUM(J139:J149)</f>
        <v>0</v>
      </c>
      <c r="K150" s="838">
        <f t="shared" si="27"/>
        <v>0</v>
      </c>
      <c r="L150" s="838">
        <f t="shared" si="27"/>
        <v>0</v>
      </c>
      <c r="M150" s="838">
        <f t="shared" si="27"/>
        <v>0</v>
      </c>
      <c r="N150" s="838">
        <f t="shared" si="27"/>
        <v>0</v>
      </c>
      <c r="O150" s="838">
        <f t="shared" si="27"/>
        <v>0</v>
      </c>
      <c r="P150" s="55"/>
      <c r="EM150" s="7"/>
      <c r="EN150" s="7"/>
    </row>
    <row r="151" spans="2:144" x14ac:dyDescent="0.25">
      <c r="C151" s="20"/>
      <c r="D151" s="44"/>
      <c r="E151" s="53"/>
      <c r="F151" s="7"/>
      <c r="G151" s="7"/>
      <c r="H151" s="7"/>
      <c r="I151" s="7"/>
      <c r="J151" s="7"/>
      <c r="K151" s="7"/>
      <c r="L151" s="7"/>
      <c r="M151" s="7"/>
      <c r="EM151" s="7"/>
      <c r="EN151" s="7"/>
    </row>
    <row r="152" spans="2:144" x14ac:dyDescent="0.25">
      <c r="C152" s="23" t="s">
        <v>806</v>
      </c>
      <c r="D152" s="47"/>
      <c r="E152" s="281"/>
      <c r="F152" s="7"/>
      <c r="G152" s="7"/>
      <c r="H152" s="7"/>
      <c r="I152" s="7"/>
      <c r="J152" s="7"/>
      <c r="K152" s="7"/>
      <c r="L152" s="7"/>
      <c r="M152" s="13" t="s">
        <v>779</v>
      </c>
      <c r="EM152" s="7"/>
      <c r="EN152" s="7"/>
    </row>
    <row r="153" spans="2:144" ht="27.6" x14ac:dyDescent="0.3">
      <c r="C153" s="485" t="s">
        <v>733</v>
      </c>
      <c r="D153" s="523"/>
      <c r="E153" s="485"/>
      <c r="F153" s="524"/>
      <c r="G153" s="524"/>
      <c r="H153" s="524"/>
      <c r="I153" s="525"/>
      <c r="J153" s="488" t="s">
        <v>735</v>
      </c>
      <c r="K153" s="488" t="s">
        <v>2182</v>
      </c>
      <c r="L153" s="488" t="s">
        <v>2183</v>
      </c>
      <c r="M153" s="488" t="s">
        <v>736</v>
      </c>
      <c r="N153" s="488" t="s">
        <v>737</v>
      </c>
      <c r="O153" s="488" t="s">
        <v>738</v>
      </c>
      <c r="P153" s="56"/>
      <c r="EM153" s="7"/>
      <c r="EN153" s="7"/>
    </row>
    <row r="154" spans="2:144" x14ac:dyDescent="0.25">
      <c r="B154" s="7"/>
      <c r="C154" s="490">
        <f>C150+1</f>
        <v>120</v>
      </c>
      <c r="D154" s="493" t="s">
        <v>807</v>
      </c>
      <c r="E154" s="501"/>
      <c r="F154" s="492"/>
      <c r="G154" s="492"/>
      <c r="H154" s="492"/>
      <c r="I154" s="323"/>
      <c r="J154" s="822"/>
      <c r="K154" s="839">
        <f>J154</f>
        <v>0</v>
      </c>
      <c r="L154" s="1542"/>
      <c r="M154" s="1542"/>
      <c r="N154" s="1552"/>
      <c r="O154" s="1539">
        <f t="shared" ref="O154:O162" si="28">J154-M154-N154</f>
        <v>0</v>
      </c>
      <c r="P154" s="46"/>
      <c r="EM154" s="7"/>
      <c r="EN154" s="7"/>
    </row>
    <row r="155" spans="2:144" x14ac:dyDescent="0.25">
      <c r="B155" s="7"/>
      <c r="C155" s="490">
        <f t="shared" ref="C155:C164" si="29">C154+1</f>
        <v>121</v>
      </c>
      <c r="D155" s="493" t="s">
        <v>808</v>
      </c>
      <c r="E155" s="501"/>
      <c r="F155" s="492"/>
      <c r="G155" s="492"/>
      <c r="H155" s="526" t="s">
        <v>809</v>
      </c>
      <c r="I155" s="522">
        <f>(SOURCES!I21+EXPENSES!K75)/12*6</f>
        <v>0</v>
      </c>
      <c r="J155" s="833"/>
      <c r="K155" s="839">
        <f t="shared" ref="K155:K162" si="30">J155</f>
        <v>0</v>
      </c>
      <c r="L155" s="1542"/>
      <c r="M155" s="1542"/>
      <c r="N155" s="1552"/>
      <c r="O155" s="1539">
        <f t="shared" si="28"/>
        <v>0</v>
      </c>
      <c r="P155" s="50"/>
      <c r="EM155" s="7"/>
      <c r="EN155" s="7"/>
    </row>
    <row r="156" spans="2:144" x14ac:dyDescent="0.25">
      <c r="B156" s="7"/>
      <c r="C156" s="490">
        <f t="shared" si="29"/>
        <v>122</v>
      </c>
      <c r="D156" s="493" t="s">
        <v>810</v>
      </c>
      <c r="E156" s="527"/>
      <c r="F156" s="492"/>
      <c r="G156" s="492"/>
      <c r="J156" s="840"/>
      <c r="K156" s="839">
        <f t="shared" si="30"/>
        <v>0</v>
      </c>
      <c r="L156" s="1542"/>
      <c r="M156" s="1553"/>
      <c r="N156" s="1552"/>
      <c r="O156" s="1539">
        <f t="shared" si="28"/>
        <v>0</v>
      </c>
      <c r="P156" s="50"/>
      <c r="EM156" s="7"/>
      <c r="EN156" s="7"/>
    </row>
    <row r="157" spans="2:144" x14ac:dyDescent="0.25">
      <c r="B157" s="7"/>
      <c r="C157" s="490">
        <f t="shared" si="29"/>
        <v>123</v>
      </c>
      <c r="D157" s="493" t="s">
        <v>811</v>
      </c>
      <c r="E157" s="501"/>
      <c r="F157" s="492"/>
      <c r="G157" s="492"/>
      <c r="H157" s="492"/>
      <c r="I157" s="1121" t="s">
        <v>2478</v>
      </c>
      <c r="J157" s="833"/>
      <c r="K157" s="839">
        <f t="shared" si="30"/>
        <v>0</v>
      </c>
      <c r="L157" s="1542"/>
      <c r="M157" s="1542"/>
      <c r="N157" s="1552"/>
      <c r="O157" s="1539">
        <f t="shared" si="28"/>
        <v>0</v>
      </c>
      <c r="P157" s="50"/>
      <c r="EM157" s="7"/>
      <c r="EN157" s="7"/>
    </row>
    <row r="158" spans="2:144" x14ac:dyDescent="0.25">
      <c r="B158" s="7"/>
      <c r="C158" s="490">
        <f t="shared" si="29"/>
        <v>124</v>
      </c>
      <c r="D158" s="493" t="s">
        <v>812</v>
      </c>
      <c r="E158" s="501"/>
      <c r="F158" s="492"/>
      <c r="G158" s="492"/>
      <c r="H158" s="492"/>
      <c r="I158" s="323"/>
      <c r="J158" s="833"/>
      <c r="K158" s="839">
        <f t="shared" si="30"/>
        <v>0</v>
      </c>
      <c r="L158" s="1542"/>
      <c r="M158" s="1542"/>
      <c r="N158" s="1552"/>
      <c r="O158" s="1539">
        <f t="shared" si="28"/>
        <v>0</v>
      </c>
      <c r="P158" s="50"/>
      <c r="EM158" s="7"/>
      <c r="EN158" s="7"/>
    </row>
    <row r="159" spans="2:144" x14ac:dyDescent="0.25">
      <c r="B159" s="7"/>
      <c r="C159" s="490">
        <f t="shared" si="29"/>
        <v>125</v>
      </c>
      <c r="D159" s="493" t="s">
        <v>813</v>
      </c>
      <c r="E159" s="501"/>
      <c r="F159" s="502"/>
      <c r="G159" s="502"/>
      <c r="H159" s="502"/>
      <c r="I159" s="528">
        <f>M213</f>
        <v>0</v>
      </c>
      <c r="J159" s="841"/>
      <c r="K159" s="839">
        <f t="shared" si="30"/>
        <v>0</v>
      </c>
      <c r="L159" s="1542"/>
      <c r="M159" s="820"/>
      <c r="N159" s="842"/>
      <c r="O159" s="1539">
        <f t="shared" si="28"/>
        <v>0</v>
      </c>
      <c r="P159" s="50"/>
      <c r="EM159" s="7"/>
      <c r="EN159" s="7"/>
    </row>
    <row r="160" spans="2:144" x14ac:dyDescent="0.25">
      <c r="B160" s="7"/>
      <c r="C160" s="490">
        <f t="shared" si="29"/>
        <v>126</v>
      </c>
      <c r="D160" s="529" t="s">
        <v>814</v>
      </c>
      <c r="E160" s="530"/>
      <c r="F160" s="531"/>
      <c r="G160" s="531"/>
      <c r="H160" s="531"/>
      <c r="I160" s="283"/>
      <c r="J160" s="843"/>
      <c r="K160" s="839">
        <f t="shared" si="30"/>
        <v>0</v>
      </c>
      <c r="L160" s="1542"/>
      <c r="M160" s="1542"/>
      <c r="N160" s="1552"/>
      <c r="O160" s="1539">
        <f t="shared" si="28"/>
        <v>0</v>
      </c>
      <c r="P160" s="50"/>
      <c r="EM160" s="7"/>
      <c r="EN160" s="7"/>
    </row>
    <row r="161" spans="2:144" x14ac:dyDescent="0.25">
      <c r="B161" s="7"/>
      <c r="C161" s="490">
        <f t="shared" si="29"/>
        <v>127</v>
      </c>
      <c r="D161" s="500" t="s">
        <v>815</v>
      </c>
      <c r="E161" s="501"/>
      <c r="F161" s="496" t="s">
        <v>80</v>
      </c>
      <c r="G161" s="492"/>
      <c r="H161" s="492"/>
      <c r="I161" s="323"/>
      <c r="J161" s="833"/>
      <c r="K161" s="839">
        <f>J161</f>
        <v>0</v>
      </c>
      <c r="L161" s="1542"/>
      <c r="M161" s="1542"/>
      <c r="N161" s="1552"/>
      <c r="O161" s="1539">
        <f t="shared" si="28"/>
        <v>0</v>
      </c>
      <c r="P161" s="50"/>
      <c r="EM161" s="7"/>
      <c r="EN161" s="7"/>
    </row>
    <row r="162" spans="2:144" x14ac:dyDescent="0.25">
      <c r="B162" s="7"/>
      <c r="C162" s="490">
        <f t="shared" si="29"/>
        <v>128</v>
      </c>
      <c r="D162" s="500" t="s">
        <v>815</v>
      </c>
      <c r="E162" s="501"/>
      <c r="F162" s="496" t="s">
        <v>80</v>
      </c>
      <c r="G162" s="492"/>
      <c r="H162" s="492"/>
      <c r="I162" s="323"/>
      <c r="J162" s="833"/>
      <c r="K162" s="839">
        <f t="shared" si="30"/>
        <v>0</v>
      </c>
      <c r="L162" s="1542"/>
      <c r="M162" s="1542"/>
      <c r="N162" s="1552"/>
      <c r="O162" s="1539">
        <f t="shared" si="28"/>
        <v>0</v>
      </c>
      <c r="P162" s="50"/>
      <c r="EM162" s="7"/>
      <c r="EN162" s="7"/>
    </row>
    <row r="163" spans="2:144" ht="13.8" thickBot="1" x14ac:dyDescent="0.3">
      <c r="C163" s="67">
        <f>C162+1</f>
        <v>129</v>
      </c>
      <c r="D163" s="11" t="s">
        <v>816</v>
      </c>
      <c r="E163" s="125"/>
      <c r="F163" s="7"/>
      <c r="G163" s="7"/>
      <c r="H163" s="7"/>
      <c r="I163" s="7"/>
      <c r="J163" s="1345">
        <f t="shared" ref="J163:O163" si="31">SUM(J154:J162)</f>
        <v>0</v>
      </c>
      <c r="K163" s="1345">
        <f t="shared" si="31"/>
        <v>0</v>
      </c>
      <c r="L163" s="1345">
        <f t="shared" si="31"/>
        <v>0</v>
      </c>
      <c r="M163" s="1345">
        <f t="shared" si="31"/>
        <v>0</v>
      </c>
      <c r="N163" s="1345">
        <f t="shared" si="31"/>
        <v>0</v>
      </c>
      <c r="O163" s="1345">
        <f t="shared" si="31"/>
        <v>0</v>
      </c>
      <c r="P163" s="55"/>
      <c r="EM163" s="7"/>
      <c r="EN163" s="7"/>
    </row>
    <row r="164" spans="2:144" s="1313" customFormat="1" ht="14.4" thickBot="1" x14ac:dyDescent="0.3">
      <c r="C164" s="1314">
        <f t="shared" si="29"/>
        <v>130</v>
      </c>
      <c r="D164" s="1315" t="s">
        <v>817</v>
      </c>
      <c r="E164" s="1316"/>
      <c r="F164" s="1317"/>
      <c r="G164" s="1317"/>
      <c r="H164" s="1317"/>
      <c r="I164" s="1317"/>
      <c r="J164" s="1548">
        <f t="shared" ref="J164:O164" si="32">+SUM(+J127+J135+J150+J163)</f>
        <v>0</v>
      </c>
      <c r="K164" s="1548">
        <f t="shared" si="32"/>
        <v>0</v>
      </c>
      <c r="L164" s="1548">
        <f t="shared" si="32"/>
        <v>0</v>
      </c>
      <c r="M164" s="1548">
        <f t="shared" si="32"/>
        <v>0</v>
      </c>
      <c r="N164" s="1548">
        <f t="shared" si="32"/>
        <v>0</v>
      </c>
      <c r="O164" s="1548">
        <f t="shared" si="32"/>
        <v>0</v>
      </c>
      <c r="P164" s="1318">
        <f>O163+O150+O135+O127</f>
        <v>0</v>
      </c>
      <c r="Q164" s="1195"/>
      <c r="R164" s="1195"/>
      <c r="S164" s="1195"/>
      <c r="T164" s="1195"/>
      <c r="U164" s="1195"/>
      <c r="V164" s="1195"/>
      <c r="W164" s="1195"/>
      <c r="X164" s="1195"/>
      <c r="Y164" s="1195"/>
      <c r="Z164" s="1195"/>
      <c r="AA164" s="1195"/>
      <c r="AB164" s="1195"/>
      <c r="AC164" s="1195"/>
      <c r="AD164" s="1195"/>
      <c r="AE164" s="1195"/>
      <c r="AF164" s="1195"/>
      <c r="AG164" s="1195"/>
      <c r="AH164" s="1195"/>
      <c r="AI164" s="1195"/>
      <c r="AJ164" s="1195"/>
      <c r="AK164" s="1195"/>
      <c r="AL164" s="1195"/>
      <c r="AM164" s="1195"/>
      <c r="AN164" s="1195"/>
      <c r="AO164" s="1195"/>
      <c r="AP164" s="1195"/>
      <c r="AQ164" s="1195"/>
      <c r="AR164" s="1195"/>
      <c r="AS164" s="1195"/>
      <c r="AT164" s="1195"/>
      <c r="AU164" s="1195"/>
      <c r="AV164" s="1195"/>
      <c r="AW164" s="1195"/>
      <c r="AX164" s="1195"/>
      <c r="AY164" s="1195"/>
      <c r="AZ164" s="1195"/>
      <c r="BA164" s="1195"/>
      <c r="BB164" s="1195"/>
      <c r="BC164" s="1195"/>
      <c r="BD164" s="1195"/>
      <c r="BE164" s="1195"/>
      <c r="BF164" s="1195"/>
      <c r="BG164" s="1195"/>
      <c r="BH164" s="1195"/>
      <c r="BI164" s="1195"/>
      <c r="BJ164" s="1195"/>
      <c r="BK164" s="1195"/>
      <c r="BL164" s="1195"/>
      <c r="BM164" s="1195"/>
      <c r="BN164" s="1195"/>
      <c r="BO164" s="1195"/>
      <c r="BP164" s="1195"/>
      <c r="BQ164" s="1195"/>
      <c r="BR164" s="1195"/>
      <c r="BS164" s="1195"/>
      <c r="BT164" s="1195"/>
      <c r="BU164" s="1195"/>
      <c r="BV164" s="1195"/>
      <c r="BW164" s="1195"/>
      <c r="BX164" s="1195"/>
      <c r="BY164" s="1195"/>
      <c r="BZ164" s="1195"/>
      <c r="CA164" s="1195"/>
      <c r="CB164" s="1195"/>
      <c r="CC164" s="1195"/>
      <c r="CD164" s="1195"/>
      <c r="CE164" s="1195"/>
      <c r="CF164" s="1195"/>
      <c r="CG164" s="1195"/>
      <c r="CH164" s="1195"/>
      <c r="CI164" s="1195"/>
      <c r="CJ164" s="1195"/>
      <c r="CK164" s="1195"/>
      <c r="CL164" s="1195"/>
      <c r="CM164" s="1195"/>
      <c r="CN164" s="1195"/>
      <c r="CO164" s="1195"/>
      <c r="CP164" s="1195"/>
      <c r="CQ164" s="1195"/>
      <c r="CR164" s="1195"/>
      <c r="CS164" s="1195"/>
      <c r="CT164" s="1195"/>
      <c r="CU164" s="1195"/>
      <c r="CV164" s="1195"/>
      <c r="CW164" s="1195"/>
      <c r="CX164" s="1195"/>
      <c r="CY164" s="1195"/>
      <c r="CZ164" s="1195"/>
      <c r="DA164" s="1195"/>
      <c r="DB164" s="1195"/>
      <c r="DC164" s="1195"/>
      <c r="DD164" s="1195"/>
      <c r="DE164" s="1195"/>
      <c r="DF164" s="1195"/>
      <c r="DG164" s="1195"/>
      <c r="DH164" s="1195"/>
      <c r="DI164" s="1195"/>
      <c r="DJ164" s="1195"/>
      <c r="DK164" s="1195"/>
      <c r="DL164" s="1195"/>
      <c r="DM164" s="1195"/>
      <c r="DN164" s="1195"/>
      <c r="DO164" s="1195"/>
      <c r="DP164" s="1195"/>
      <c r="DQ164" s="1195"/>
      <c r="DR164" s="1195"/>
      <c r="DS164" s="1195"/>
      <c r="DT164" s="1195"/>
      <c r="DU164" s="1195"/>
      <c r="DV164" s="1195"/>
      <c r="DW164" s="1195"/>
      <c r="DX164" s="1195"/>
      <c r="DY164" s="1195"/>
      <c r="DZ164" s="1195"/>
      <c r="EA164" s="1195"/>
      <c r="EB164" s="1195"/>
      <c r="EC164" s="1195"/>
      <c r="ED164" s="1195"/>
      <c r="EE164" s="1195"/>
      <c r="EF164" s="1195"/>
      <c r="EG164" s="1195"/>
      <c r="EH164" s="1195"/>
      <c r="EI164" s="1195"/>
      <c r="EJ164" s="1195"/>
      <c r="EK164" s="1195"/>
      <c r="EL164" s="1195"/>
      <c r="EM164" s="1195"/>
      <c r="EN164" s="1195"/>
    </row>
    <row r="165" spans="2:144" x14ac:dyDescent="0.25">
      <c r="C165" s="7"/>
      <c r="D165" s="57"/>
      <c r="E165" s="7"/>
      <c r="F165" s="7"/>
      <c r="G165" s="7"/>
      <c r="H165" s="54"/>
      <c r="I165" s="7"/>
      <c r="J165" s="297"/>
      <c r="K165" s="58"/>
      <c r="L165" s="58"/>
      <c r="M165" s="58"/>
      <c r="N165" s="58"/>
    </row>
    <row r="166" spans="2:144" x14ac:dyDescent="0.25">
      <c r="E166" s="7"/>
      <c r="F166" s="7"/>
      <c r="G166" s="7"/>
      <c r="H166" s="7"/>
      <c r="I166" s="7"/>
      <c r="J166" s="7"/>
      <c r="K166" s="7"/>
      <c r="L166" s="7"/>
      <c r="M166" s="7"/>
    </row>
    <row r="167" spans="2:144" x14ac:dyDescent="0.25">
      <c r="D167" s="11"/>
      <c r="E167" s="7"/>
      <c r="F167" s="7"/>
      <c r="G167" s="7"/>
      <c r="H167" s="7"/>
      <c r="I167" s="7"/>
      <c r="J167" s="7"/>
      <c r="K167" s="7"/>
      <c r="L167" s="7"/>
      <c r="M167" s="7"/>
    </row>
    <row r="168" spans="2:144" x14ac:dyDescent="0.25">
      <c r="D168" s="854" t="s">
        <v>818</v>
      </c>
      <c r="E168" s="855"/>
      <c r="F168" s="855"/>
      <c r="G168" s="855"/>
      <c r="H168" s="855"/>
      <c r="I168" s="855"/>
      <c r="J168" s="855"/>
      <c r="K168" s="855"/>
      <c r="L168" s="855"/>
      <c r="M168" s="856"/>
    </row>
    <row r="169" spans="2:144" x14ac:dyDescent="0.25">
      <c r="D169" s="4"/>
      <c r="F169" s="7"/>
      <c r="G169" s="7"/>
      <c r="H169" s="7"/>
      <c r="I169" s="7"/>
    </row>
    <row r="170" spans="2:144" ht="36" customHeight="1" x14ac:dyDescent="0.3">
      <c r="D170" s="11" t="s">
        <v>819</v>
      </c>
      <c r="F170" s="7"/>
      <c r="G170" s="7"/>
      <c r="H170" s="7"/>
      <c r="I170" s="7"/>
      <c r="J170" s="488" t="s">
        <v>820</v>
      </c>
      <c r="K170" s="488" t="s">
        <v>2201</v>
      </c>
    </row>
    <row r="171" spans="2:144" x14ac:dyDescent="0.25">
      <c r="D171" s="12" t="s">
        <v>2639</v>
      </c>
      <c r="F171" s="7"/>
      <c r="G171" s="7"/>
      <c r="H171" s="7"/>
      <c r="I171" s="7"/>
      <c r="J171" s="958">
        <f>J127</f>
        <v>0</v>
      </c>
      <c r="K171" s="959"/>
    </row>
    <row r="172" spans="2:144" x14ac:dyDescent="0.25">
      <c r="D172" s="12" t="s">
        <v>2638</v>
      </c>
      <c r="F172" s="7"/>
      <c r="G172" s="7"/>
      <c r="H172" s="7"/>
      <c r="I172" s="7"/>
      <c r="J172" s="958">
        <f>-J126</f>
        <v>0</v>
      </c>
      <c r="K172" s="959"/>
    </row>
    <row r="173" spans="2:144" x14ac:dyDescent="0.25">
      <c r="D173" s="12" t="s">
        <v>2366</v>
      </c>
      <c r="F173" s="7"/>
      <c r="G173" s="7"/>
      <c r="H173" s="7"/>
      <c r="I173" s="7"/>
      <c r="J173" s="958">
        <f>-J23</f>
        <v>0</v>
      </c>
      <c r="K173" s="959"/>
    </row>
    <row r="174" spans="2:144" x14ac:dyDescent="0.25">
      <c r="D174" s="12" t="s">
        <v>2640</v>
      </c>
      <c r="F174" s="7"/>
      <c r="G174" s="7"/>
      <c r="H174" s="7"/>
      <c r="I174" s="7"/>
      <c r="J174" s="958">
        <f>-J74</f>
        <v>0</v>
      </c>
      <c r="K174" s="960"/>
    </row>
    <row r="175" spans="2:144" x14ac:dyDescent="0.25">
      <c r="D175" s="12" t="s">
        <v>821</v>
      </c>
      <c r="F175" s="7"/>
      <c r="G175" s="7"/>
      <c r="H175" s="7"/>
      <c r="I175" s="7"/>
      <c r="J175" s="958">
        <f>J171+J172+J173+J174</f>
        <v>0</v>
      </c>
      <c r="K175" s="959"/>
    </row>
    <row r="176" spans="2:144" x14ac:dyDescent="0.25">
      <c r="D176" s="12" t="s">
        <v>2365</v>
      </c>
      <c r="F176" s="7"/>
      <c r="G176" s="7"/>
      <c r="H176" s="7"/>
      <c r="I176" s="7"/>
      <c r="J176" s="533">
        <f>IF(J175&gt;10000000,10000000,J175)</f>
        <v>0</v>
      </c>
      <c r="K176" s="958">
        <f>IF(J175&gt;10000000,10000000,J175)</f>
        <v>0</v>
      </c>
    </row>
    <row r="177" spans="4:14" x14ac:dyDescent="0.25">
      <c r="D177" s="12" t="s">
        <v>822</v>
      </c>
      <c r="F177" s="7"/>
      <c r="G177" s="7"/>
      <c r="H177" s="7"/>
      <c r="I177" s="7"/>
      <c r="J177" s="533">
        <f>J175-J176</f>
        <v>0</v>
      </c>
      <c r="K177" s="958">
        <f>K176</f>
        <v>0</v>
      </c>
    </row>
    <row r="178" spans="4:14" x14ac:dyDescent="0.25">
      <c r="D178" s="12" t="s">
        <v>823</v>
      </c>
      <c r="F178" s="7"/>
      <c r="G178" s="7"/>
      <c r="H178" s="7"/>
      <c r="I178" s="7"/>
      <c r="J178" s="859">
        <v>0.1</v>
      </c>
      <c r="K178" s="961">
        <v>0.15</v>
      </c>
    </row>
    <row r="179" spans="4:14" x14ac:dyDescent="0.25">
      <c r="D179" s="12" t="s">
        <v>819</v>
      </c>
      <c r="F179" s="7"/>
      <c r="G179" s="7"/>
      <c r="H179" s="7"/>
      <c r="I179" s="7"/>
      <c r="J179" s="860">
        <f>J177*J178</f>
        <v>0</v>
      </c>
      <c r="K179" s="860">
        <f>K177*K178</f>
        <v>0</v>
      </c>
      <c r="L179" s="962" t="s">
        <v>824</v>
      </c>
      <c r="M179" s="537">
        <f>J179+K179</f>
        <v>0</v>
      </c>
      <c r="N179" s="60"/>
    </row>
    <row r="180" spans="4:14" x14ac:dyDescent="0.25">
      <c r="D180" s="12"/>
      <c r="F180" s="7"/>
      <c r="G180" s="7"/>
      <c r="H180" s="7"/>
      <c r="I180" s="7"/>
      <c r="M180" s="19"/>
      <c r="N180" s="61"/>
    </row>
    <row r="181" spans="4:14" x14ac:dyDescent="0.25">
      <c r="D181" s="11" t="s">
        <v>825</v>
      </c>
      <c r="F181" s="7"/>
      <c r="G181" s="7"/>
      <c r="H181" s="7"/>
      <c r="I181" s="7"/>
    </row>
    <row r="182" spans="4:14" x14ac:dyDescent="0.25">
      <c r="D182" s="12" t="s">
        <v>2368</v>
      </c>
      <c r="F182" s="7"/>
      <c r="G182" s="7"/>
      <c r="H182" s="7"/>
      <c r="I182" s="7"/>
      <c r="J182" s="963">
        <f>J126</f>
        <v>0</v>
      </c>
      <c r="K182" s="964"/>
    </row>
    <row r="183" spans="4:14" x14ac:dyDescent="0.25">
      <c r="D183" s="12" t="s">
        <v>2367</v>
      </c>
      <c r="F183" s="7"/>
      <c r="G183" s="7"/>
      <c r="H183" s="7"/>
      <c r="I183" s="7"/>
      <c r="J183" s="963">
        <f>IF(J182&gt;10000000,10000000,J182)</f>
        <v>0</v>
      </c>
      <c r="K183" s="963">
        <f>IF(J182&gt;10000000,10000000,J182)</f>
        <v>0</v>
      </c>
    </row>
    <row r="184" spans="4:14" x14ac:dyDescent="0.25">
      <c r="D184" s="12" t="s">
        <v>826</v>
      </c>
      <c r="F184" s="7"/>
      <c r="G184" s="7"/>
      <c r="H184" s="7"/>
      <c r="I184" s="7"/>
      <c r="J184" s="858">
        <f>J182-J183</f>
        <v>0</v>
      </c>
      <c r="K184" s="963">
        <f>K183</f>
        <v>0</v>
      </c>
    </row>
    <row r="185" spans="4:14" x14ac:dyDescent="0.25">
      <c r="D185" s="12" t="s">
        <v>823</v>
      </c>
      <c r="F185" s="7"/>
      <c r="G185" s="7"/>
      <c r="H185" s="7"/>
      <c r="I185" s="7"/>
      <c r="J185" s="857">
        <v>0.05</v>
      </c>
      <c r="K185" s="965">
        <v>0.1</v>
      </c>
    </row>
    <row r="186" spans="4:14" x14ac:dyDescent="0.25">
      <c r="D186" s="12" t="s">
        <v>825</v>
      </c>
      <c r="F186" s="7"/>
      <c r="G186" s="7"/>
      <c r="H186" s="7"/>
      <c r="I186" s="7"/>
      <c r="J186" s="861">
        <f>+J184*J185</f>
        <v>0</v>
      </c>
      <c r="K186" s="861">
        <f>K185*K183</f>
        <v>0</v>
      </c>
      <c r="L186" s="962" t="s">
        <v>824</v>
      </c>
      <c r="M186" s="537">
        <f>J186+K186</f>
        <v>0</v>
      </c>
      <c r="N186" s="60"/>
    </row>
    <row r="187" spans="4:14" x14ac:dyDescent="0.25">
      <c r="D187" s="12"/>
      <c r="F187" s="7"/>
      <c r="G187" s="7"/>
      <c r="H187" s="7"/>
      <c r="I187" s="7"/>
      <c r="J187" s="7"/>
      <c r="K187" s="7"/>
      <c r="L187" s="7"/>
      <c r="M187" s="19"/>
      <c r="N187" s="61"/>
    </row>
    <row r="188" spans="4:14" ht="13.8" x14ac:dyDescent="0.3">
      <c r="D188" s="11" t="s">
        <v>827</v>
      </c>
      <c r="F188" s="7"/>
      <c r="G188" s="7"/>
      <c r="H188" s="7"/>
      <c r="I188" s="7"/>
      <c r="J188" s="7"/>
      <c r="K188" s="7"/>
      <c r="L188" s="7"/>
      <c r="M188" s="537">
        <f>M179+M186</f>
        <v>0</v>
      </c>
      <c r="N188" s="60"/>
    </row>
    <row r="189" spans="4:14" x14ac:dyDescent="0.25">
      <c r="D189" s="12"/>
      <c r="F189" s="7"/>
      <c r="G189" s="7"/>
      <c r="H189" s="7"/>
      <c r="I189" s="7"/>
      <c r="J189" s="7"/>
      <c r="K189" s="7"/>
      <c r="L189" s="7"/>
      <c r="M189" s="19"/>
      <c r="N189" s="61"/>
    </row>
    <row r="190" spans="4:14" x14ac:dyDescent="0.25">
      <c r="D190" s="11" t="s">
        <v>828</v>
      </c>
      <c r="F190" s="7"/>
      <c r="G190" s="7"/>
      <c r="H190" s="7"/>
      <c r="I190" s="7"/>
      <c r="J190" s="7"/>
      <c r="K190" s="7"/>
      <c r="L190" s="7"/>
    </row>
    <row r="191" spans="4:14" x14ac:dyDescent="0.25">
      <c r="F191" s="7"/>
      <c r="G191" s="7"/>
      <c r="H191" s="7"/>
      <c r="I191" s="7"/>
      <c r="J191" s="7"/>
      <c r="K191" s="7"/>
      <c r="L191" s="7"/>
    </row>
    <row r="192" spans="4:14" x14ac:dyDescent="0.25">
      <c r="F192" s="7"/>
      <c r="G192" s="7"/>
      <c r="H192" s="7"/>
      <c r="I192" s="7"/>
      <c r="J192" s="7"/>
      <c r="K192" s="7"/>
      <c r="L192" s="7"/>
    </row>
    <row r="193" spans="4:14" x14ac:dyDescent="0.25">
      <c r="D193" s="854" t="s">
        <v>829</v>
      </c>
      <c r="E193" s="855"/>
      <c r="F193" s="855"/>
      <c r="G193" s="855"/>
      <c r="H193" s="855"/>
      <c r="I193" s="855"/>
      <c r="J193" s="862"/>
      <c r="K193" s="862"/>
      <c r="L193" s="862"/>
      <c r="M193" s="856"/>
    </row>
    <row r="194" spans="4:14" ht="13.8" x14ac:dyDescent="0.25">
      <c r="D194" s="4"/>
      <c r="H194" s="7"/>
      <c r="I194" s="7"/>
      <c r="L194" s="239" t="str">
        <f>IF(GENERAL!K110="No","Fee calculated only if General Tab ''Developer Fee Funded Services / Rent Subsidy / Reserve'' question is answered Yes")</f>
        <v>Fee calculated only if General Tab ''Developer Fee Funded Services / Rent Subsidy / Reserve'' question is answered Yes</v>
      </c>
    </row>
    <row r="195" spans="4:14" ht="27.6" x14ac:dyDescent="0.3">
      <c r="D195" s="11" t="str">
        <f>D170</f>
        <v>Fee on Non-acquisition Costs</v>
      </c>
      <c r="F195" s="7"/>
      <c r="G195" s="7"/>
      <c r="H195" s="7"/>
      <c r="I195" s="7"/>
      <c r="J195" s="488" t="s">
        <v>820</v>
      </c>
      <c r="K195" s="488" t="s">
        <v>2201</v>
      </c>
      <c r="L195" s="7"/>
      <c r="M195" s="7"/>
    </row>
    <row r="196" spans="4:14" x14ac:dyDescent="0.25">
      <c r="D196" s="12" t="str">
        <f>D171</f>
        <v>Total Development Costs (from line 100 above)</v>
      </c>
      <c r="F196" s="7"/>
      <c r="G196" s="7"/>
      <c r="H196" s="7"/>
      <c r="I196" s="7"/>
      <c r="J196" s="533">
        <f>J127</f>
        <v>0</v>
      </c>
      <c r="K196" s="964"/>
      <c r="L196" s="7"/>
      <c r="M196" s="7"/>
    </row>
    <row r="197" spans="4:14" x14ac:dyDescent="0.25">
      <c r="D197" s="12" t="str">
        <f t="shared" ref="D197:D204" si="33">D172</f>
        <v>Less Acquisition Costs (from line 99 above)</v>
      </c>
      <c r="F197" s="7"/>
      <c r="G197" s="7"/>
      <c r="H197" s="7"/>
      <c r="I197" s="7"/>
      <c r="J197" s="533">
        <f>-J126</f>
        <v>0</v>
      </c>
      <c r="K197" s="964"/>
      <c r="L197" s="7"/>
      <c r="M197" s="7"/>
    </row>
    <row r="198" spans="4:14" x14ac:dyDescent="0.25">
      <c r="D198" s="12" t="str">
        <f t="shared" si="33"/>
        <v>Less Construction Contingency (from line 14 above)</v>
      </c>
      <c r="F198" s="7"/>
      <c r="G198" s="7"/>
      <c r="H198" s="7"/>
      <c r="I198" s="7"/>
      <c r="J198" s="533">
        <f>-J23</f>
        <v>0</v>
      </c>
      <c r="K198" s="964"/>
      <c r="L198" s="7"/>
      <c r="M198" s="229"/>
      <c r="N198" s="63"/>
    </row>
    <row r="199" spans="4:14" x14ac:dyDescent="0.25">
      <c r="D199" s="12" t="str">
        <f t="shared" si="33"/>
        <v>Less Soft Cost Contingency (from line 54 above)</v>
      </c>
      <c r="F199" s="7"/>
      <c r="G199" s="7"/>
      <c r="H199" s="7"/>
      <c r="I199" s="7"/>
      <c r="J199" s="533">
        <f>-J74</f>
        <v>0</v>
      </c>
      <c r="K199" s="966"/>
      <c r="L199" s="7"/>
      <c r="M199" s="967"/>
      <c r="N199" s="967"/>
    </row>
    <row r="200" spans="4:14" x14ac:dyDescent="0.25">
      <c r="D200" s="12" t="str">
        <f t="shared" si="33"/>
        <v>Non-acquisition Costs</v>
      </c>
      <c r="F200" s="7"/>
      <c r="G200" s="7"/>
      <c r="H200" s="7"/>
      <c r="I200" s="7"/>
      <c r="J200" s="533">
        <f>J171+J172+J173+J174</f>
        <v>0</v>
      </c>
      <c r="K200" s="964"/>
      <c r="L200" s="7"/>
      <c r="M200" s="967"/>
      <c r="N200" s="967"/>
    </row>
    <row r="201" spans="4:14" x14ac:dyDescent="0.25">
      <c r="D201" s="12" t="str">
        <f t="shared" si="33"/>
        <v>Lesser of $10,000,000 or Non-acquisition Costs (enter on both lines)</v>
      </c>
      <c r="F201" s="7"/>
      <c r="G201" s="7"/>
      <c r="H201" s="7"/>
      <c r="I201" s="7"/>
      <c r="J201" s="533">
        <f>IF(J200&gt;10000000,10000000,J200)</f>
        <v>0</v>
      </c>
      <c r="K201" s="533">
        <f>IF(J175&gt;10000000,10000000,J175)</f>
        <v>0</v>
      </c>
      <c r="L201" s="7"/>
      <c r="M201" s="7"/>
    </row>
    <row r="202" spans="4:14" x14ac:dyDescent="0.25">
      <c r="D202" s="12" t="str">
        <f t="shared" si="33"/>
        <v>Non-acquisition Fee Basis</v>
      </c>
      <c r="F202" s="7"/>
      <c r="G202" s="7"/>
      <c r="H202" s="7"/>
      <c r="I202" s="7"/>
      <c r="J202" s="533">
        <f>(J200-J201)</f>
        <v>0</v>
      </c>
      <c r="K202" s="361">
        <f>K176</f>
        <v>0</v>
      </c>
      <c r="L202" s="24"/>
      <c r="M202" s="7"/>
    </row>
    <row r="203" spans="4:14" x14ac:dyDescent="0.25">
      <c r="D203" s="12" t="str">
        <f t="shared" si="33"/>
        <v>Fee Percentage</v>
      </c>
      <c r="F203" s="7"/>
      <c r="G203" s="7"/>
      <c r="H203" s="7"/>
      <c r="I203" s="230" t="b">
        <f>IF($J203&gt;5%,"5% maximum")</f>
        <v>0</v>
      </c>
      <c r="J203" s="968"/>
      <c r="K203" s="968"/>
      <c r="L203" s="228" t="b">
        <f>IF($K203&gt;5%,"5% maximum")</f>
        <v>0</v>
      </c>
    </row>
    <row r="204" spans="4:14" x14ac:dyDescent="0.25">
      <c r="D204" s="12" t="str">
        <f t="shared" si="33"/>
        <v>Fee on Non-acquisition Costs</v>
      </c>
      <c r="F204" s="7"/>
      <c r="G204" s="7"/>
      <c r="H204" s="7"/>
      <c r="I204" s="7"/>
      <c r="J204" s="533">
        <f>IF(GENERAL!$K110="No", 0, J202*J203)</f>
        <v>0</v>
      </c>
      <c r="K204" s="969">
        <f>IF(GENERAL!$K110="No", 0, K202*K203)</f>
        <v>0</v>
      </c>
      <c r="L204" s="962" t="s">
        <v>824</v>
      </c>
      <c r="M204" s="537">
        <f>J204+K204</f>
        <v>0</v>
      </c>
      <c r="N204" s="60"/>
    </row>
    <row r="205" spans="4:14" x14ac:dyDescent="0.25">
      <c r="D205" s="12"/>
      <c r="F205" s="7"/>
      <c r="G205" s="7"/>
      <c r="H205" s="7"/>
      <c r="I205" s="7"/>
      <c r="K205" s="970"/>
      <c r="L205" s="7"/>
      <c r="M205" s="7"/>
    </row>
    <row r="206" spans="4:14" x14ac:dyDescent="0.25">
      <c r="D206" s="11" t="str">
        <f t="shared" ref="D206:D211" si="34">D181</f>
        <v>Fee on Acquisition Costs</v>
      </c>
      <c r="F206" s="970"/>
      <c r="G206" s="7"/>
      <c r="H206" s="7"/>
      <c r="I206" s="7"/>
      <c r="J206" s="970"/>
      <c r="L206" s="7"/>
      <c r="M206" s="7"/>
    </row>
    <row r="207" spans="4:14" x14ac:dyDescent="0.25">
      <c r="D207" s="12" t="str">
        <f t="shared" si="34"/>
        <v>Acquisition Costs (from line 96 above)</v>
      </c>
      <c r="F207" s="7"/>
      <c r="G207" s="7"/>
      <c r="H207" s="7"/>
      <c r="I207" s="7"/>
      <c r="J207" s="958">
        <f>J126</f>
        <v>0</v>
      </c>
      <c r="K207" s="964"/>
      <c r="L207" s="7"/>
      <c r="M207" s="7"/>
    </row>
    <row r="208" spans="4:14" x14ac:dyDescent="0.25">
      <c r="D208" s="12" t="str">
        <f t="shared" si="34"/>
        <v>Lesser of $10,000,000 or Acquisition Costs (enter on both lines)</v>
      </c>
      <c r="F208" s="7"/>
      <c r="G208" s="7"/>
      <c r="H208" s="7"/>
      <c r="I208" s="7"/>
      <c r="J208" s="958">
        <f>IF(J182&gt;10000000,10000000,J182)</f>
        <v>0</v>
      </c>
      <c r="K208" s="958">
        <f>IF(J182&gt;10000000,10000000,J182)</f>
        <v>0</v>
      </c>
      <c r="L208" s="971"/>
      <c r="M208" s="7"/>
    </row>
    <row r="209" spans="4:14" x14ac:dyDescent="0.25">
      <c r="D209" s="12" t="str">
        <f t="shared" si="34"/>
        <v>Acquisition Fee Basis</v>
      </c>
      <c r="F209" s="7"/>
      <c r="G209" s="7"/>
      <c r="H209" s="227"/>
      <c r="I209" s="7"/>
      <c r="J209" s="538">
        <f>(J207-J208)</f>
        <v>0</v>
      </c>
      <c r="K209" s="963">
        <f>K208</f>
        <v>0</v>
      </c>
      <c r="L209" s="24"/>
      <c r="M209" s="7"/>
    </row>
    <row r="210" spans="4:14" x14ac:dyDescent="0.25">
      <c r="D210" s="12" t="str">
        <f t="shared" si="34"/>
        <v>Fee Percentage</v>
      </c>
      <c r="F210" s="874" t="s">
        <v>2364</v>
      </c>
      <c r="G210" s="7"/>
      <c r="H210" s="7"/>
      <c r="I210" s="230" t="b">
        <f>IF($J210&gt;5%,"5% maximum")</f>
        <v>0</v>
      </c>
      <c r="J210" s="1554"/>
      <c r="K210" s="968"/>
      <c r="L210" s="970"/>
      <c r="M210" s="7"/>
    </row>
    <row r="211" spans="4:14" x14ac:dyDescent="0.25">
      <c r="D211" s="12" t="str">
        <f t="shared" si="34"/>
        <v>Fee on Acquisition Costs</v>
      </c>
      <c r="F211" s="7"/>
      <c r="G211" s="7"/>
      <c r="H211" s="7"/>
      <c r="I211" s="7"/>
      <c r="J211" s="535">
        <f>IF(GENERAL!$K110="No", 0, J210*J209)</f>
        <v>0</v>
      </c>
      <c r="K211" s="536">
        <f>IF(GENERAL!$K110="No", 0, K208*K210)</f>
        <v>0</v>
      </c>
      <c r="L211" s="962" t="s">
        <v>824</v>
      </c>
      <c r="M211" s="537">
        <f>J211+K211</f>
        <v>0</v>
      </c>
      <c r="N211" s="60"/>
    </row>
    <row r="212" spans="4:14" s="7" customFormat="1" x14ac:dyDescent="0.25">
      <c r="D212" s="44"/>
      <c r="J212" s="970"/>
    </row>
    <row r="213" spans="4:14" s="7" customFormat="1" x14ac:dyDescent="0.25">
      <c r="D213" s="11" t="s">
        <v>830</v>
      </c>
      <c r="F213" s="53"/>
      <c r="G213" s="53"/>
      <c r="H213" s="53"/>
      <c r="M213" s="537">
        <f>M204+M211</f>
        <v>0</v>
      </c>
      <c r="N213" s="60"/>
    </row>
    <row r="214" spans="4:14" s="7" customFormat="1" x14ac:dyDescent="0.25"/>
  </sheetData>
  <sheetProtection algorithmName="SHA-512" hashValue="jssxNhfgEZVB0d0T71he0WV5y39jUbp+nR1n9MyHZA4KPYGJPUSwVjJlLKgdDDFLtH8AUBOsMYiEwPkPLjEm3Q==" saltValue="E/zLMT9dx3AOrKsRC0f/gg==" spinCount="100000" sheet="1" objects="1" scenarios="1"/>
  <customSheetViews>
    <customSheetView guid="{76F395A0-B7E9-4489-8589-E8786779257B}" showPageBreaks="1" zeroValues="0" printArea="1" view="pageLayout">
      <rowBreaks count="2" manualBreakCount="2">
        <brk id="52" max="16383" man="1"/>
        <brk id="99" max="8" man="1"/>
      </rowBreaks>
      <pageMargins left="0" right="0" top="0" bottom="0" header="0" footer="0"/>
      <pageSetup scale="91" firstPageNumber="11" orientation="portrait"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zeroValues="0" printArea="1" view="pageBreakPreview">
      <selection activeCell="A2" sqref="A2"/>
      <rowBreaks count="2" manualBreakCount="2">
        <brk id="52" max="16383" man="1"/>
        <brk id="99" max="8" man="1"/>
      </rowBreaks>
      <pageMargins left="0" right="0" top="0" bottom="0" header="0" footer="0"/>
      <pageSetup scale="91" firstPageNumber="13" orientation="portrait"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howPageBreaks="1" zeroValues="0" printArea="1" view="pageBreakPreview" topLeftCell="A91">
      <selection activeCell="D18" sqref="D18"/>
      <rowBreaks count="2" manualBreakCount="2">
        <brk id="52" max="16383" man="1"/>
        <brk id="99" max="8" man="1"/>
      </rowBreaks>
      <pageMargins left="0" right="0" top="0" bottom="0" header="0" footer="0"/>
      <pageSetup scale="91" firstPageNumber="13" orientation="portrait"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howPageBreaks="1" zeroValues="0" printArea="1" view="pageBreakPreview" topLeftCell="A115">
      <selection activeCell="A100" sqref="A100"/>
      <rowBreaks count="2" manualBreakCount="2">
        <brk id="52" max="16383" man="1"/>
        <brk id="99" max="8" man="1"/>
      </rowBreaks>
      <pageMargins left="0" right="0" top="0" bottom="0" header="0" footer="0"/>
      <pageSetup scale="91" firstPageNumber="13" orientation="portrait"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zeroValues="0" printArea="1" view="pageBreakPreview" showRuler="0" topLeftCell="A96">
      <selection activeCell="E116" sqref="E116"/>
      <rowBreaks count="2" manualBreakCount="2">
        <brk id="52" max="16383" man="1"/>
        <brk id="99" max="8" man="1"/>
      </rowBreaks>
      <pageMargins left="0" right="0" top="0" bottom="0" header="0" footer="0"/>
      <pageSetup scale="91" firstPageNumber="13" orientation="portrait"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zeroValues="0" printArea="1" view="pageBreakPreview" showRuler="0" topLeftCell="A86">
      <selection activeCell="F86" sqref="F86"/>
      <rowBreaks count="2" manualBreakCount="2">
        <brk id="52" max="16383" man="1"/>
        <brk id="99" max="8" man="1"/>
      </rowBreaks>
      <pageMargins left="0" right="0" top="0" bottom="0" header="0" footer="0"/>
      <pageSetup scale="93" firstPageNumber="13" orientation="portrait"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zeroValues="0" showRuler="0" topLeftCell="A99">
      <selection activeCell="D113" sqref="D113"/>
      <rowBreaks count="1" manualBreakCount="1">
        <brk id="94" max="16383" man="1"/>
      </rowBreaks>
      <pageMargins left="0" right="0" top="0" bottom="0" header="0" footer="0"/>
      <pageSetup firstPageNumber="11" orientation="portrait" useFirstPageNumber="1" horizontalDpi="4294967292" r:id="rId7"/>
      <headerFooter alignWithMargins="0"/>
    </customSheetView>
    <customSheetView guid="{714B32FB-A92F-4F7C-8495-8C3BCEB888AE}" showPageBreaks="1" zeroValues="0" view="pageBreakPreview" showRuler="0">
      <selection activeCell="G12" sqref="G12"/>
      <rowBreaks count="2" manualBreakCount="2">
        <brk id="51" max="16383" man="1"/>
        <brk id="98" max="16383" man="1"/>
      </rowBreaks>
      <pageMargins left="0" right="0" top="0" bottom="0" header="0" footer="0"/>
      <pageSetup scale="95" firstPageNumber="13" orientation="portrait"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zeroValues="0" printArea="1" view="pageBreakPreview" showRuler="0" topLeftCell="A96">
      <selection activeCell="E116" sqref="E116"/>
      <rowBreaks count="2" manualBreakCount="2">
        <brk id="52" max="16383" man="1"/>
        <brk id="99" max="8" man="1"/>
      </rowBreaks>
      <pageMargins left="0" right="0" top="0" bottom="0" header="0" footer="0"/>
      <pageSetup scale="91" firstPageNumber="13" orientation="portrait"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zeroValues="0" printArea="1" view="pageBreakPreview">
      <selection activeCell="E88" sqref="E88"/>
      <rowBreaks count="2" manualBreakCount="2">
        <brk id="52" max="16383" man="1"/>
        <brk id="99" max="8" man="1"/>
      </rowBreaks>
      <pageMargins left="0" right="0" top="0" bottom="0" header="0" footer="0"/>
      <pageSetup scale="91" firstPageNumber="13" orientation="portrait"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zeroValues="0" printArea="1" view="pageBreakPreview" topLeftCell="A115">
      <selection activeCell="A100" sqref="A100"/>
      <rowBreaks count="2" manualBreakCount="2">
        <brk id="52" max="16383" man="1"/>
        <brk id="99" max="8" man="1"/>
      </rowBreaks>
      <pageMargins left="0" right="0" top="0" bottom="0" header="0" footer="0"/>
      <pageSetup scale="91" firstPageNumber="13" orientation="portrait"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zeroValues="0" printArea="1" view="pageBreakPreview">
      <selection activeCell="E24" sqref="E24"/>
      <rowBreaks count="2" manualBreakCount="2">
        <brk id="52" max="16383" man="1"/>
        <brk id="99" max="8" man="1"/>
      </rowBreaks>
      <pageMargins left="0" right="0" top="0" bottom="0" header="0" footer="0"/>
      <pageSetup scale="91" firstPageNumber="13" orientation="portrait"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zeroValues="0" printArea="1" view="pageBreakPreview" topLeftCell="A91">
      <selection activeCell="D18" sqref="D18"/>
      <rowBreaks count="2" manualBreakCount="2">
        <brk id="52" max="16383" man="1"/>
        <brk id="99" max="8" man="1"/>
      </rowBreaks>
      <pageMargins left="0" right="0" top="0" bottom="0" header="0" footer="0"/>
      <pageSetup scale="91" firstPageNumber="13" orientation="portrait"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howPageBreaks="1" zeroValues="0" printArea="1" view="pageBreakPreview" topLeftCell="A91">
      <selection activeCell="D18" sqref="D18"/>
      <rowBreaks count="2" manualBreakCount="2">
        <brk id="52" max="16383" man="1"/>
        <brk id="99" max="8" man="1"/>
      </rowBreaks>
      <pageMargins left="0" right="0" top="0" bottom="0" header="0" footer="0"/>
      <pageSetup scale="91" firstPageNumber="13" orientation="portrait" useFirstPageNumber="1" horizontalDpi="4294967292" r:id="rId14"/>
      <headerFooter alignWithMargins="0">
        <oddFooter>&amp;L&amp;"Times New Roman,Italic"&amp;8CDA Form 202 (09/23/2008)&amp;C&amp;"Times New Roman,Italic"&amp;9&amp;P&amp;R&amp;"Times New Roman,Italic"&amp;8&amp;A:&amp;D</oddFooter>
      </headerFooter>
    </customSheetView>
  </customSheetViews>
  <mergeCells count="1">
    <mergeCell ref="K7:L7"/>
  </mergeCells>
  <phoneticPr fontId="19" type="noConversion"/>
  <pageMargins left="0.25" right="0.25" top="0.25" bottom="0.25" header="0.25" footer="0.25"/>
  <pageSetup scale="49" fitToHeight="0" orientation="portrait" useFirstPageNumber="1" r:id="rId15"/>
  <headerFooter scaleWithDoc="0" alignWithMargins="0"/>
  <drawing r:id="rId1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0000FF"/>
    <pageSetUpPr fitToPage="1"/>
  </sheetPr>
  <dimension ref="C2:P123"/>
  <sheetViews>
    <sheetView showGridLines="0" view="pageBreakPreview" zoomScale="90" zoomScaleNormal="100" zoomScaleSheetLayoutView="90" workbookViewId="0">
      <selection activeCell="G106" sqref="G106"/>
    </sheetView>
  </sheetViews>
  <sheetFormatPr defaultColWidth="9" defaultRowHeight="13.2" x14ac:dyDescent="0.25"/>
  <cols>
    <col min="1" max="2" width="2.77734375" style="7" customWidth="1"/>
    <col min="3" max="3" width="65.44140625" style="7" customWidth="1"/>
    <col min="4" max="7" width="15.44140625" style="7" customWidth="1"/>
    <col min="8" max="8" width="17.44140625" style="7" customWidth="1"/>
    <col min="9" max="9" width="30.44140625" style="7" customWidth="1"/>
    <col min="10" max="12" width="15.44140625" style="7" customWidth="1"/>
    <col min="13" max="13" width="15.44140625" style="686" hidden="1" customWidth="1"/>
    <col min="14" max="14" width="16.109375" style="686" hidden="1" customWidth="1"/>
    <col min="15" max="15" width="9" style="686" hidden="1" customWidth="1"/>
    <col min="16" max="16" width="9" style="686"/>
    <col min="17" max="16384" width="9" style="7"/>
  </cols>
  <sheetData>
    <row r="2" spans="3:14" ht="18" x14ac:dyDescent="0.35">
      <c r="C2" s="127" t="s">
        <v>2328</v>
      </c>
      <c r="D2" s="41"/>
      <c r="E2" s="41"/>
      <c r="F2" s="41"/>
      <c r="G2" s="41"/>
      <c r="H2" s="41"/>
    </row>
    <row r="3" spans="3:14" x14ac:dyDescent="0.25">
      <c r="H3" s="42">
        <f>projname</f>
        <v>0</v>
      </c>
    </row>
    <row r="4" spans="3:14" x14ac:dyDescent="0.25">
      <c r="C4" s="125"/>
      <c r="D4" s="34"/>
      <c r="G4" s="9" t="s">
        <v>227</v>
      </c>
      <c r="H4" s="401">
        <f>GENERAL!D7</f>
        <v>0</v>
      </c>
    </row>
    <row r="6" spans="3:14" ht="17.399999999999999" x14ac:dyDescent="0.3">
      <c r="C6" s="883" t="s">
        <v>2258</v>
      </c>
      <c r="D6" s="882"/>
      <c r="E6" s="882"/>
      <c r="F6" s="882"/>
      <c r="G6" s="882"/>
      <c r="H6" s="882"/>
      <c r="I6" s="882"/>
      <c r="J6" s="882"/>
      <c r="K6" s="882"/>
      <c r="L6" s="882"/>
      <c r="M6" s="1561"/>
      <c r="N6" s="1561"/>
    </row>
    <row r="7" spans="3:14" ht="32.4" x14ac:dyDescent="0.35">
      <c r="C7" s="885" t="s">
        <v>2259</v>
      </c>
      <c r="D7" s="885" t="s">
        <v>2260</v>
      </c>
      <c r="E7" s="885" t="s">
        <v>2261</v>
      </c>
      <c r="F7" s="885" t="s">
        <v>2262</v>
      </c>
      <c r="G7" s="885" t="s">
        <v>2263</v>
      </c>
      <c r="H7" s="885" t="s">
        <v>2264</v>
      </c>
      <c r="I7" s="884"/>
      <c r="J7" s="884"/>
      <c r="K7" s="884"/>
      <c r="L7" s="884"/>
      <c r="M7" s="1562"/>
      <c r="N7" s="1562"/>
    </row>
    <row r="8" spans="3:14" ht="15.6" x14ac:dyDescent="0.3">
      <c r="C8" s="896"/>
      <c r="D8" s="896"/>
      <c r="E8" s="897"/>
      <c r="F8" s="897"/>
      <c r="G8" s="1555">
        <f ca="1">YEAR(TODAY())</f>
        <v>2026</v>
      </c>
      <c r="H8" s="1556">
        <f ca="1">F8-G8</f>
        <v>-2026</v>
      </c>
      <c r="I8" s="882"/>
      <c r="J8" s="882"/>
      <c r="K8" s="882"/>
      <c r="L8" s="882"/>
      <c r="M8" s="1561"/>
      <c r="N8" s="1561"/>
    </row>
    <row r="9" spans="3:14" ht="15.6" x14ac:dyDescent="0.3">
      <c r="C9" s="896"/>
      <c r="D9" s="896"/>
      <c r="E9" s="897"/>
      <c r="F9" s="897"/>
      <c r="G9" s="1555">
        <f t="shared" ref="G9:G15" ca="1" si="0">YEAR(TODAY())</f>
        <v>2026</v>
      </c>
      <c r="H9" s="1556">
        <f t="shared" ref="H9:H16" ca="1" si="1">F9-G9</f>
        <v>-2026</v>
      </c>
      <c r="I9" s="882"/>
      <c r="J9" s="882"/>
      <c r="K9" s="882"/>
      <c r="L9" s="882"/>
      <c r="M9" s="1561"/>
      <c r="N9" s="1561"/>
    </row>
    <row r="10" spans="3:14" ht="15.6" x14ac:dyDescent="0.3">
      <c r="C10" s="896"/>
      <c r="D10" s="896"/>
      <c r="E10" s="897"/>
      <c r="F10" s="897"/>
      <c r="G10" s="1555">
        <f ca="1">YEAR(TODAY())</f>
        <v>2026</v>
      </c>
      <c r="H10" s="1556">
        <f t="shared" ca="1" si="1"/>
        <v>-2026</v>
      </c>
      <c r="I10" s="882"/>
      <c r="J10" s="882"/>
      <c r="K10" s="882"/>
      <c r="L10" s="882"/>
      <c r="M10" s="1561"/>
      <c r="N10" s="1561"/>
    </row>
    <row r="11" spans="3:14" ht="15.6" x14ac:dyDescent="0.3">
      <c r="C11" s="896"/>
      <c r="D11" s="896"/>
      <c r="E11" s="897"/>
      <c r="F11" s="897"/>
      <c r="G11" s="1555">
        <f t="shared" ca="1" si="0"/>
        <v>2026</v>
      </c>
      <c r="H11" s="1556">
        <f t="shared" ca="1" si="1"/>
        <v>-2026</v>
      </c>
      <c r="I11" s="882"/>
      <c r="J11" s="882"/>
      <c r="K11" s="882"/>
      <c r="L11" s="882"/>
      <c r="M11" s="1561"/>
      <c r="N11" s="1561"/>
    </row>
    <row r="12" spans="3:14" ht="15.6" x14ac:dyDescent="0.3">
      <c r="C12" s="896"/>
      <c r="D12" s="896"/>
      <c r="E12" s="897"/>
      <c r="F12" s="897"/>
      <c r="G12" s="1555">
        <f t="shared" ca="1" si="0"/>
        <v>2026</v>
      </c>
      <c r="H12" s="1556">
        <f t="shared" ca="1" si="1"/>
        <v>-2026</v>
      </c>
      <c r="I12" s="882"/>
      <c r="J12" s="882"/>
      <c r="K12" s="882"/>
      <c r="L12" s="882"/>
      <c r="M12" s="1561"/>
      <c r="N12" s="1561"/>
    </row>
    <row r="13" spans="3:14" ht="15.6" x14ac:dyDescent="0.3">
      <c r="C13" s="896"/>
      <c r="D13" s="896"/>
      <c r="E13" s="897"/>
      <c r="F13" s="897"/>
      <c r="G13" s="1555">
        <f ca="1">YEAR(TODAY())</f>
        <v>2026</v>
      </c>
      <c r="H13" s="1556">
        <f t="shared" ca="1" si="1"/>
        <v>-2026</v>
      </c>
      <c r="I13" s="882"/>
      <c r="J13" s="882"/>
      <c r="K13" s="882"/>
      <c r="L13" s="882"/>
      <c r="M13" s="1561"/>
      <c r="N13" s="1561"/>
    </row>
    <row r="14" spans="3:14" ht="15.6" x14ac:dyDescent="0.3">
      <c r="C14" s="896"/>
      <c r="D14" s="896"/>
      <c r="E14" s="897"/>
      <c r="F14" s="897"/>
      <c r="G14" s="1555">
        <f t="shared" ca="1" si="0"/>
        <v>2026</v>
      </c>
      <c r="H14" s="1556">
        <f t="shared" ca="1" si="1"/>
        <v>-2026</v>
      </c>
      <c r="I14" s="882"/>
      <c r="J14" s="882"/>
      <c r="K14" s="882"/>
      <c r="L14" s="882"/>
      <c r="M14" s="1561"/>
      <c r="N14" s="1561"/>
    </row>
    <row r="15" spans="3:14" ht="15.6" x14ac:dyDescent="0.3">
      <c r="C15" s="896"/>
      <c r="D15" s="896"/>
      <c r="E15" s="897"/>
      <c r="F15" s="897"/>
      <c r="G15" s="1555">
        <f t="shared" ca="1" si="0"/>
        <v>2026</v>
      </c>
      <c r="H15" s="1556">
        <f t="shared" ca="1" si="1"/>
        <v>-2026</v>
      </c>
      <c r="I15" s="882"/>
      <c r="J15" s="882"/>
      <c r="K15" s="882"/>
      <c r="L15" s="882"/>
      <c r="M15" s="1561"/>
      <c r="N15" s="1561"/>
    </row>
    <row r="16" spans="3:14" ht="15.6" x14ac:dyDescent="0.3">
      <c r="C16" s="896"/>
      <c r="D16" s="896"/>
      <c r="E16" s="897"/>
      <c r="F16" s="897"/>
      <c r="G16" s="1555">
        <f ca="1">YEAR(TODAY())</f>
        <v>2026</v>
      </c>
      <c r="H16" s="1556">
        <f t="shared" ca="1" si="1"/>
        <v>-2026</v>
      </c>
      <c r="I16" s="882"/>
      <c r="J16" s="882"/>
      <c r="K16" s="882"/>
      <c r="L16" s="882"/>
      <c r="M16" s="1561"/>
      <c r="N16" s="1561"/>
    </row>
    <row r="17" spans="3:14" ht="15.6" x14ac:dyDescent="0.3">
      <c r="C17" s="886"/>
      <c r="D17" s="886"/>
      <c r="E17" s="886"/>
      <c r="F17" s="886"/>
      <c r="G17" s="882"/>
      <c r="H17" s="882"/>
      <c r="I17" s="882"/>
      <c r="J17" s="882"/>
      <c r="K17" s="882"/>
      <c r="L17" s="882"/>
      <c r="M17" s="1561"/>
      <c r="N17" s="1561"/>
    </row>
    <row r="18" spans="3:14" ht="17.399999999999999" x14ac:dyDescent="0.3">
      <c r="C18" s="883" t="s">
        <v>2265</v>
      </c>
      <c r="D18" s="882"/>
      <c r="E18" s="882"/>
      <c r="F18" s="882"/>
      <c r="G18" s="882"/>
      <c r="H18" s="882"/>
      <c r="I18" s="882"/>
      <c r="J18" s="882"/>
      <c r="K18" s="882"/>
      <c r="L18" s="882"/>
      <c r="M18" s="1561"/>
      <c r="N18" s="1561"/>
    </row>
    <row r="19" spans="3:14" ht="15.6" x14ac:dyDescent="0.3">
      <c r="C19" s="887" t="s">
        <v>1017</v>
      </c>
      <c r="D19" s="1557">
        <v>1</v>
      </c>
      <c r="E19" s="1557">
        <v>2</v>
      </c>
      <c r="F19" s="1557">
        <v>3</v>
      </c>
      <c r="G19" s="1557">
        <v>4</v>
      </c>
      <c r="H19" s="1557">
        <v>5</v>
      </c>
      <c r="I19" s="1557">
        <v>6</v>
      </c>
      <c r="J19" s="1557">
        <v>7</v>
      </c>
      <c r="K19" s="1558">
        <v>8</v>
      </c>
      <c r="L19" s="882"/>
    </row>
    <row r="20" spans="3:14" ht="15.6" x14ac:dyDescent="0.3">
      <c r="C20" s="888" t="s">
        <v>1018</v>
      </c>
      <c r="D20" s="1388"/>
      <c r="E20" s="1388"/>
      <c r="F20" s="1388"/>
      <c r="G20" s="1388"/>
      <c r="H20" s="1388"/>
      <c r="I20" s="1388"/>
      <c r="J20" s="1388"/>
      <c r="K20" s="1388"/>
      <c r="L20" s="882"/>
    </row>
    <row r="21" spans="3:14" ht="15.6" x14ac:dyDescent="0.3">
      <c r="C21" s="888" t="s">
        <v>2266</v>
      </c>
      <c r="D21" s="901"/>
      <c r="E21" s="901"/>
      <c r="F21" s="901"/>
      <c r="G21" s="901"/>
      <c r="H21" s="901"/>
      <c r="I21" s="901"/>
      <c r="J21" s="901"/>
      <c r="K21" s="901"/>
      <c r="L21" s="882"/>
    </row>
    <row r="22" spans="3:14" ht="15.6" x14ac:dyDescent="0.3">
      <c r="C22" s="888" t="s">
        <v>2267</v>
      </c>
      <c r="D22" s="901"/>
      <c r="E22" s="901"/>
      <c r="F22" s="901"/>
      <c r="G22" s="901"/>
      <c r="H22" s="901"/>
      <c r="I22" s="901"/>
      <c r="J22" s="901"/>
      <c r="K22" s="901"/>
      <c r="L22" s="882"/>
    </row>
    <row r="23" spans="3:14" ht="15.6" x14ac:dyDescent="0.3">
      <c r="C23" s="888" t="s">
        <v>2268</v>
      </c>
      <c r="D23" s="902"/>
      <c r="E23" s="902"/>
      <c r="F23" s="902"/>
      <c r="G23" s="902"/>
      <c r="H23" s="902"/>
      <c r="I23" s="902"/>
      <c r="J23" s="902"/>
      <c r="K23" s="902"/>
      <c r="L23" s="882"/>
    </row>
    <row r="24" spans="3:14" ht="15.6" x14ac:dyDescent="0.3">
      <c r="C24" s="888" t="s">
        <v>2269</v>
      </c>
      <c r="D24" s="903"/>
      <c r="E24" s="903"/>
      <c r="F24" s="903"/>
      <c r="G24" s="903"/>
      <c r="H24" s="903"/>
      <c r="I24" s="903"/>
      <c r="J24" s="903"/>
      <c r="K24" s="903"/>
      <c r="L24" s="882"/>
    </row>
    <row r="25" spans="3:14" ht="15.6" x14ac:dyDescent="0.3">
      <c r="C25" s="888" t="s">
        <v>2270</v>
      </c>
      <c r="D25" s="902"/>
      <c r="E25" s="902"/>
      <c r="F25" s="902"/>
      <c r="G25" s="902"/>
      <c r="H25" s="902"/>
      <c r="I25" s="902"/>
      <c r="J25" s="902"/>
      <c r="K25" s="902"/>
      <c r="L25" s="882"/>
    </row>
    <row r="26" spans="3:14" ht="15.6" x14ac:dyDescent="0.3">
      <c r="C26" s="888" t="s">
        <v>452</v>
      </c>
      <c r="D26" s="900"/>
      <c r="E26" s="900"/>
      <c r="F26" s="900"/>
      <c r="G26" s="900"/>
      <c r="H26" s="900"/>
      <c r="I26" s="900"/>
      <c r="J26" s="900"/>
      <c r="K26" s="900"/>
      <c r="L26" s="882"/>
    </row>
    <row r="27" spans="3:14" ht="15.6" x14ac:dyDescent="0.3">
      <c r="C27" s="888" t="s">
        <v>1019</v>
      </c>
      <c r="D27" s="900"/>
      <c r="E27" s="900"/>
      <c r="F27" s="900"/>
      <c r="G27" s="900"/>
      <c r="H27" s="900"/>
      <c r="I27" s="900"/>
      <c r="J27" s="900"/>
      <c r="K27" s="900"/>
      <c r="L27" s="882"/>
    </row>
    <row r="28" spans="3:14" ht="15.6" x14ac:dyDescent="0.3">
      <c r="C28" s="888" t="s">
        <v>2271</v>
      </c>
      <c r="D28" s="904"/>
      <c r="E28" s="904"/>
      <c r="F28" s="904"/>
      <c r="G28" s="904"/>
      <c r="H28" s="904"/>
      <c r="I28" s="904"/>
      <c r="J28" s="904"/>
      <c r="K28" s="904"/>
      <c r="L28" s="882"/>
    </row>
    <row r="29" spans="3:14" ht="16.2" x14ac:dyDescent="0.35">
      <c r="C29" s="898"/>
      <c r="D29" s="905"/>
      <c r="E29" s="905"/>
      <c r="F29" s="905"/>
      <c r="G29" s="905"/>
      <c r="H29" s="905"/>
      <c r="I29" s="905"/>
      <c r="J29" s="905"/>
      <c r="K29" s="905"/>
      <c r="L29" s="882"/>
    </row>
    <row r="30" spans="3:14" ht="15.6" x14ac:dyDescent="0.3">
      <c r="C30" s="888" t="s">
        <v>2272</v>
      </c>
      <c r="D30" s="906"/>
      <c r="E30" s="906"/>
      <c r="F30" s="906"/>
      <c r="G30" s="906"/>
      <c r="H30" s="906"/>
      <c r="I30" s="906"/>
      <c r="J30" s="906"/>
      <c r="K30" s="906"/>
      <c r="L30" s="882"/>
    </row>
    <row r="31" spans="3:14" ht="16.2" thickBot="1" x14ac:dyDescent="0.35">
      <c r="C31" s="889" t="s">
        <v>2273</v>
      </c>
      <c r="D31" s="906"/>
      <c r="E31" s="906"/>
      <c r="F31" s="906"/>
      <c r="G31" s="906"/>
      <c r="H31" s="906"/>
      <c r="I31" s="906"/>
      <c r="J31" s="906"/>
      <c r="K31" s="906"/>
      <c r="L31" s="882"/>
    </row>
    <row r="32" spans="3:14" ht="16.8" thickBot="1" x14ac:dyDescent="0.4">
      <c r="C32" s="899" t="s">
        <v>2274</v>
      </c>
      <c r="D32" s="1559">
        <f>SUM(D30:D31)</f>
        <v>0</v>
      </c>
      <c r="E32" s="1559">
        <f t="shared" ref="E32:K32" si="2">SUM(E30:E31)</f>
        <v>0</v>
      </c>
      <c r="F32" s="1559">
        <f>SUM(F30:F31)</f>
        <v>0</v>
      </c>
      <c r="G32" s="1559">
        <f t="shared" si="2"/>
        <v>0</v>
      </c>
      <c r="H32" s="1559">
        <f t="shared" si="2"/>
        <v>0</v>
      </c>
      <c r="I32" s="1559">
        <f t="shared" si="2"/>
        <v>0</v>
      </c>
      <c r="J32" s="1559">
        <f t="shared" si="2"/>
        <v>0</v>
      </c>
      <c r="K32" s="1559">
        <f t="shared" si="2"/>
        <v>0</v>
      </c>
      <c r="L32" s="1560">
        <f t="shared" ref="L32:L37" si="3">SUM(D32:K32)</f>
        <v>0</v>
      </c>
    </row>
    <row r="33" spans="3:15" ht="16.8" thickBot="1" x14ac:dyDescent="0.4">
      <c r="C33" s="889" t="s">
        <v>2275</v>
      </c>
      <c r="D33" s="907"/>
      <c r="E33" s="907"/>
      <c r="F33" s="907"/>
      <c r="G33" s="907"/>
      <c r="H33" s="907"/>
      <c r="I33" s="907"/>
      <c r="J33" s="907"/>
      <c r="K33" s="907"/>
      <c r="L33" s="1560">
        <f t="shared" si="3"/>
        <v>0</v>
      </c>
    </row>
    <row r="34" spans="3:15" ht="16.8" thickBot="1" x14ac:dyDescent="0.4">
      <c r="C34" s="889" t="s">
        <v>2276</v>
      </c>
      <c r="D34" s="907"/>
      <c r="E34" s="907"/>
      <c r="F34" s="907"/>
      <c r="G34" s="907"/>
      <c r="H34" s="907"/>
      <c r="I34" s="907"/>
      <c r="J34" s="907"/>
      <c r="K34" s="907"/>
      <c r="L34" s="1560">
        <f t="shared" si="3"/>
        <v>0</v>
      </c>
    </row>
    <row r="35" spans="3:15" ht="16.8" thickBot="1" x14ac:dyDescent="0.4">
      <c r="C35" s="889" t="s">
        <v>2277</v>
      </c>
      <c r="D35" s="907"/>
      <c r="E35" s="907"/>
      <c r="F35" s="907"/>
      <c r="G35" s="907"/>
      <c r="H35" s="907"/>
      <c r="I35" s="907"/>
      <c r="J35" s="907"/>
      <c r="K35" s="907"/>
      <c r="L35" s="1560">
        <f t="shared" si="3"/>
        <v>0</v>
      </c>
    </row>
    <row r="36" spans="3:15" ht="16.8" thickBot="1" x14ac:dyDescent="0.4">
      <c r="C36" s="889" t="s">
        <v>2278</v>
      </c>
      <c r="D36" s="907"/>
      <c r="E36" s="907"/>
      <c r="F36" s="907"/>
      <c r="G36" s="907"/>
      <c r="H36" s="907"/>
      <c r="I36" s="907"/>
      <c r="J36" s="907"/>
      <c r="K36" s="907"/>
      <c r="L36" s="1560">
        <f t="shared" si="3"/>
        <v>0</v>
      </c>
    </row>
    <row r="37" spans="3:15" ht="16.8" thickBot="1" x14ac:dyDescent="0.4">
      <c r="C37" s="899" t="s">
        <v>2279</v>
      </c>
      <c r="D37" s="1559">
        <f>D32-SUM(D33,D34,D35,D36)</f>
        <v>0</v>
      </c>
      <c r="E37" s="1559">
        <f>E32-SUM(E33,E34,E35,E36)</f>
        <v>0</v>
      </c>
      <c r="F37" s="1559">
        <f t="shared" ref="F37:K37" si="4">F32-SUM(F33,F34,F35,F36)</f>
        <v>0</v>
      </c>
      <c r="G37" s="1559">
        <f t="shared" si="4"/>
        <v>0</v>
      </c>
      <c r="H37" s="1559">
        <f t="shared" si="4"/>
        <v>0</v>
      </c>
      <c r="I37" s="1559">
        <f t="shared" si="4"/>
        <v>0</v>
      </c>
      <c r="J37" s="1559">
        <f t="shared" si="4"/>
        <v>0</v>
      </c>
      <c r="K37" s="1559">
        <f t="shared" si="4"/>
        <v>0</v>
      </c>
      <c r="L37" s="1560">
        <f t="shared" si="3"/>
        <v>0</v>
      </c>
    </row>
    <row r="38" spans="3:15" ht="15.6" x14ac:dyDescent="0.3">
      <c r="C38" s="882"/>
      <c r="D38" s="882"/>
      <c r="E38" s="882"/>
      <c r="F38" s="882"/>
      <c r="G38" s="882"/>
      <c r="H38" s="882"/>
      <c r="I38" s="882"/>
      <c r="J38" s="882"/>
      <c r="K38" s="882"/>
      <c r="L38" s="882"/>
      <c r="M38" s="1561"/>
      <c r="N38" s="1561"/>
    </row>
    <row r="39" spans="3:15" ht="17.399999999999999" x14ac:dyDescent="0.3">
      <c r="C39" s="883" t="s">
        <v>2280</v>
      </c>
      <c r="D39" s="882"/>
      <c r="E39" s="882"/>
      <c r="F39" s="882"/>
      <c r="G39" s="882"/>
      <c r="H39" s="882"/>
      <c r="I39" s="882"/>
      <c r="J39" s="882"/>
      <c r="K39" s="882"/>
      <c r="L39" s="882"/>
      <c r="M39" s="1561"/>
      <c r="N39" s="1561"/>
      <c r="O39" s="686" t="s">
        <v>299</v>
      </c>
    </row>
    <row r="40" spans="3:15" ht="15.6" x14ac:dyDescent="0.3">
      <c r="C40" s="890" t="s">
        <v>2281</v>
      </c>
      <c r="D40" s="900"/>
      <c r="E40" s="882"/>
      <c r="F40" s="882"/>
      <c r="G40" s="882"/>
      <c r="H40" s="882"/>
      <c r="I40" s="882"/>
      <c r="J40" s="882"/>
      <c r="K40" s="882"/>
      <c r="L40" s="882"/>
      <c r="M40" s="1561"/>
      <c r="N40" s="1561"/>
      <c r="O40" s="686" t="s">
        <v>288</v>
      </c>
    </row>
    <row r="41" spans="3:15" ht="15.6" x14ac:dyDescent="0.3">
      <c r="C41" s="890" t="s">
        <v>2282</v>
      </c>
      <c r="D41" s="900"/>
      <c r="E41" s="882"/>
      <c r="F41" s="882"/>
      <c r="G41" s="882"/>
      <c r="H41" s="882"/>
      <c r="I41" s="882"/>
      <c r="J41" s="882"/>
      <c r="K41" s="882"/>
      <c r="L41" s="882"/>
      <c r="M41" s="1561"/>
      <c r="N41" s="1561"/>
    </row>
    <row r="42" spans="3:15" ht="15.6" x14ac:dyDescent="0.3">
      <c r="C42" s="890" t="s">
        <v>2332</v>
      </c>
      <c r="D42" s="900"/>
      <c r="E42" s="882"/>
      <c r="F42" s="882"/>
      <c r="G42" s="882"/>
      <c r="H42" s="882"/>
      <c r="I42" s="882"/>
      <c r="J42" s="882"/>
      <c r="K42" s="882"/>
      <c r="L42" s="882"/>
      <c r="M42" s="1561"/>
      <c r="N42" s="1561"/>
    </row>
    <row r="43" spans="3:15" ht="15.6" x14ac:dyDescent="0.3">
      <c r="C43" s="882"/>
      <c r="D43" s="882"/>
      <c r="E43" s="882"/>
      <c r="F43" s="882"/>
      <c r="G43" s="882"/>
      <c r="H43" s="882"/>
      <c r="I43" s="882"/>
      <c r="J43" s="882"/>
      <c r="K43" s="882"/>
      <c r="L43" s="882"/>
      <c r="M43" s="1561"/>
      <c r="N43" s="1561"/>
    </row>
    <row r="44" spans="3:15" ht="16.2" x14ac:dyDescent="0.35">
      <c r="C44" s="891" t="s">
        <v>2283</v>
      </c>
      <c r="D44" s="891" t="s">
        <v>240</v>
      </c>
      <c r="E44" s="1951" t="s">
        <v>2284</v>
      </c>
      <c r="F44" s="1952"/>
      <c r="G44" s="1952"/>
      <c r="H44" s="1952"/>
      <c r="I44" s="1953"/>
      <c r="J44" s="882"/>
      <c r="K44" s="882"/>
      <c r="L44" s="882"/>
      <c r="M44" s="1561"/>
      <c r="N44" s="1561"/>
    </row>
    <row r="45" spans="3:15" ht="15.6" x14ac:dyDescent="0.3">
      <c r="C45" s="890" t="s">
        <v>839</v>
      </c>
      <c r="D45" s="907"/>
      <c r="E45" s="1954"/>
      <c r="F45" s="1954"/>
      <c r="G45" s="1954"/>
      <c r="H45" s="1954"/>
      <c r="I45" s="1954"/>
      <c r="J45" s="882"/>
      <c r="K45" s="882"/>
      <c r="L45" s="882"/>
      <c r="M45" s="1561"/>
      <c r="N45" s="1561"/>
    </row>
    <row r="46" spans="3:15" ht="15.6" x14ac:dyDescent="0.3">
      <c r="C46" s="892" t="s">
        <v>2285</v>
      </c>
      <c r="D46" s="907"/>
      <c r="E46" s="1954"/>
      <c r="F46" s="1954"/>
      <c r="G46" s="1954"/>
      <c r="H46" s="1954"/>
      <c r="I46" s="1954"/>
      <c r="J46" s="882"/>
      <c r="K46" s="882"/>
      <c r="L46" s="882"/>
      <c r="M46" s="1561"/>
      <c r="N46" s="1561"/>
    </row>
    <row r="47" spans="3:15" ht="15.6" x14ac:dyDescent="0.3">
      <c r="C47" s="892" t="s">
        <v>2286</v>
      </c>
      <c r="D47" s="907"/>
      <c r="E47" s="1954"/>
      <c r="F47" s="1954"/>
      <c r="G47" s="1954"/>
      <c r="H47" s="1954"/>
      <c r="I47" s="1954"/>
      <c r="J47" s="882"/>
      <c r="K47" s="882"/>
      <c r="L47" s="882"/>
      <c r="M47" s="1561"/>
      <c r="N47" s="1561"/>
    </row>
    <row r="48" spans="3:15" ht="15.6" x14ac:dyDescent="0.3">
      <c r="C48" s="892" t="s">
        <v>2287</v>
      </c>
      <c r="D48" s="907"/>
      <c r="E48" s="1949" t="s">
        <v>2288</v>
      </c>
      <c r="F48" s="1954"/>
      <c r="G48" s="1954"/>
      <c r="H48" s="1954"/>
      <c r="I48" s="1954"/>
      <c r="J48" s="882"/>
      <c r="K48" s="882"/>
      <c r="L48" s="882"/>
      <c r="M48" s="1561"/>
      <c r="N48" s="1561"/>
    </row>
    <row r="49" spans="3:14" ht="15.6" x14ac:dyDescent="0.3">
      <c r="C49" s="892" t="s">
        <v>2289</v>
      </c>
      <c r="D49" s="907"/>
      <c r="E49" s="1954"/>
      <c r="F49" s="1954"/>
      <c r="G49" s="1954"/>
      <c r="H49" s="1954"/>
      <c r="I49" s="1954"/>
      <c r="J49" s="882"/>
      <c r="K49" s="882"/>
      <c r="L49" s="882"/>
      <c r="M49" s="1561"/>
      <c r="N49" s="1561"/>
    </row>
    <row r="50" spans="3:14" ht="15.6" x14ac:dyDescent="0.3">
      <c r="C50" s="892" t="s">
        <v>2290</v>
      </c>
      <c r="D50" s="907"/>
      <c r="E50" s="1949" t="s">
        <v>2330</v>
      </c>
      <c r="F50" s="1949"/>
      <c r="G50" s="1949"/>
      <c r="H50" s="1949"/>
      <c r="I50" s="1949"/>
      <c r="J50" s="882"/>
      <c r="K50" s="882"/>
      <c r="L50" s="882"/>
      <c r="M50" s="1561"/>
      <c r="N50" s="1561"/>
    </row>
    <row r="51" spans="3:14" ht="15.6" x14ac:dyDescent="0.3">
      <c r="C51" s="892" t="s">
        <v>2291</v>
      </c>
      <c r="D51" s="907"/>
      <c r="E51" s="1949" t="s">
        <v>2330</v>
      </c>
      <c r="F51" s="1949"/>
      <c r="G51" s="1949"/>
      <c r="H51" s="1949"/>
      <c r="I51" s="1949"/>
      <c r="J51" s="882"/>
      <c r="K51" s="882"/>
      <c r="L51" s="882"/>
      <c r="M51" s="1561"/>
      <c r="N51" s="1561"/>
    </row>
    <row r="52" spans="3:14" ht="15.6" x14ac:dyDescent="0.3">
      <c r="C52" s="892" t="s">
        <v>2292</v>
      </c>
      <c r="D52" s="907"/>
      <c r="E52" s="1949" t="s">
        <v>2331</v>
      </c>
      <c r="F52" s="1949"/>
      <c r="G52" s="1949"/>
      <c r="H52" s="1949"/>
      <c r="I52" s="1949"/>
      <c r="J52" s="882"/>
      <c r="K52" s="882"/>
      <c r="L52" s="882"/>
      <c r="M52" s="1561"/>
      <c r="N52" s="1561"/>
    </row>
    <row r="53" spans="3:14" ht="15.6" x14ac:dyDescent="0.3">
      <c r="C53" s="892" t="s">
        <v>2293</v>
      </c>
      <c r="D53" s="907"/>
      <c r="E53" s="1949" t="s">
        <v>2331</v>
      </c>
      <c r="F53" s="1949"/>
      <c r="G53" s="1949"/>
      <c r="H53" s="1949"/>
      <c r="I53" s="1949"/>
      <c r="J53" s="882"/>
      <c r="K53" s="882"/>
      <c r="L53" s="882"/>
      <c r="M53" s="1561"/>
      <c r="N53" s="1561"/>
    </row>
    <row r="54" spans="3:14" ht="15.6" x14ac:dyDescent="0.3">
      <c r="C54" s="1799" t="s">
        <v>2329</v>
      </c>
      <c r="D54" s="907"/>
      <c r="E54" s="1949"/>
      <c r="F54" s="1949"/>
      <c r="G54" s="1949"/>
      <c r="H54" s="1949"/>
      <c r="I54" s="1949"/>
      <c r="J54" s="882"/>
      <c r="K54" s="882"/>
      <c r="L54" s="882"/>
      <c r="M54" s="1561"/>
      <c r="N54" s="1561"/>
    </row>
    <row r="55" spans="3:14" ht="15.6" x14ac:dyDescent="0.3">
      <c r="C55" s="1799" t="s">
        <v>2329</v>
      </c>
      <c r="D55" s="907"/>
      <c r="E55" s="1949"/>
      <c r="F55" s="1949"/>
      <c r="G55" s="1949"/>
      <c r="H55" s="1949"/>
      <c r="I55" s="1949"/>
      <c r="J55" s="882"/>
      <c r="K55" s="882"/>
      <c r="L55" s="882"/>
      <c r="M55" s="1561"/>
      <c r="N55" s="1561"/>
    </row>
    <row r="56" spans="3:14" ht="15.6" x14ac:dyDescent="0.3">
      <c r="C56" s="1799" t="s">
        <v>2329</v>
      </c>
      <c r="D56" s="907"/>
      <c r="E56" s="1949"/>
      <c r="F56" s="1949"/>
      <c r="G56" s="1949"/>
      <c r="H56" s="1949"/>
      <c r="I56" s="1949"/>
      <c r="J56" s="882"/>
      <c r="K56" s="882"/>
      <c r="L56" s="882"/>
      <c r="M56" s="1561"/>
      <c r="N56" s="1561"/>
    </row>
    <row r="57" spans="3:14" ht="15.6" x14ac:dyDescent="0.3">
      <c r="C57" s="1799" t="s">
        <v>2329</v>
      </c>
      <c r="D57" s="907"/>
      <c r="E57" s="1949"/>
      <c r="F57" s="1949"/>
      <c r="G57" s="1949"/>
      <c r="H57" s="1949"/>
      <c r="I57" s="1949"/>
      <c r="J57" s="882"/>
      <c r="K57" s="882"/>
      <c r="L57" s="882"/>
      <c r="M57" s="1561"/>
      <c r="N57" s="1561"/>
    </row>
    <row r="58" spans="3:14" ht="15.6" x14ac:dyDescent="0.3">
      <c r="C58" s="1799" t="s">
        <v>2329</v>
      </c>
      <c r="D58" s="907"/>
      <c r="E58" s="1949"/>
      <c r="F58" s="1949"/>
      <c r="G58" s="1949"/>
      <c r="H58" s="1949"/>
      <c r="I58" s="1949"/>
      <c r="J58" s="882"/>
      <c r="K58" s="882"/>
      <c r="L58" s="882"/>
      <c r="M58" s="1561"/>
      <c r="N58" s="1561"/>
    </row>
    <row r="59" spans="3:14" ht="15.6" x14ac:dyDescent="0.3">
      <c r="C59" s="1799" t="s">
        <v>2329</v>
      </c>
      <c r="D59" s="907"/>
      <c r="E59" s="1949"/>
      <c r="F59" s="1949"/>
      <c r="G59" s="1949"/>
      <c r="H59" s="1949"/>
      <c r="I59" s="1949"/>
      <c r="J59" s="882"/>
      <c r="K59" s="882"/>
      <c r="L59" s="882"/>
      <c r="M59" s="1561"/>
      <c r="N59" s="1561"/>
    </row>
    <row r="60" spans="3:14" ht="15.6" x14ac:dyDescent="0.3">
      <c r="C60" s="1799" t="s">
        <v>2329</v>
      </c>
      <c r="D60" s="907"/>
      <c r="E60" s="1949"/>
      <c r="F60" s="1949"/>
      <c r="G60" s="1949"/>
      <c r="H60" s="1949"/>
      <c r="I60" s="1949"/>
      <c r="J60" s="882"/>
      <c r="K60" s="882"/>
      <c r="L60" s="882"/>
      <c r="M60" s="1561"/>
      <c r="N60" s="1561"/>
    </row>
    <row r="61" spans="3:14" ht="15.6" x14ac:dyDescent="0.3">
      <c r="C61" s="1799" t="s">
        <v>2329</v>
      </c>
      <c r="D61" s="907"/>
      <c r="E61" s="1949"/>
      <c r="F61" s="1949"/>
      <c r="G61" s="1949"/>
      <c r="H61" s="1949"/>
      <c r="I61" s="1949"/>
      <c r="J61" s="882"/>
      <c r="K61" s="882"/>
      <c r="L61" s="882"/>
      <c r="M61" s="1561"/>
      <c r="N61" s="1561"/>
    </row>
    <row r="62" spans="3:14" ht="16.2" x14ac:dyDescent="0.35">
      <c r="C62" s="910" t="s">
        <v>2335</v>
      </c>
      <c r="D62" s="911">
        <f>D45-SUM(D46,D47,D48,D49,D50,D51,D52,D53,D54,D55,D56,D57,D58,D59,D60,D61)</f>
        <v>0</v>
      </c>
      <c r="E62" s="1950"/>
      <c r="F62" s="1950"/>
      <c r="G62" s="1950"/>
      <c r="H62" s="1950"/>
      <c r="I62" s="1950"/>
      <c r="J62" s="882"/>
      <c r="K62" s="882"/>
      <c r="L62" s="882"/>
      <c r="M62" s="1561"/>
      <c r="N62" s="1561"/>
    </row>
    <row r="63" spans="3:14" ht="15.6" x14ac:dyDescent="0.3">
      <c r="C63" s="908" t="s">
        <v>2294</v>
      </c>
      <c r="D63" s="909"/>
      <c r="E63" s="1948" t="s">
        <v>2333</v>
      </c>
      <c r="F63" s="1948"/>
      <c r="G63" s="1948"/>
      <c r="H63" s="1948"/>
      <c r="I63" s="1948"/>
      <c r="J63" s="882"/>
      <c r="K63" s="882"/>
      <c r="L63" s="882"/>
      <c r="M63" s="1561"/>
      <c r="N63" s="1561"/>
    </row>
    <row r="64" spans="3:14" ht="15.6" x14ac:dyDescent="0.3">
      <c r="C64" s="908" t="s">
        <v>2295</v>
      </c>
      <c r="D64" s="909"/>
      <c r="E64" s="1948" t="s">
        <v>2333</v>
      </c>
      <c r="F64" s="1948"/>
      <c r="G64" s="1948"/>
      <c r="H64" s="1948"/>
      <c r="I64" s="1948"/>
      <c r="J64" s="882"/>
      <c r="K64" s="882"/>
      <c r="L64" s="882"/>
      <c r="M64" s="1561"/>
      <c r="N64" s="1561"/>
    </row>
    <row r="65" spans="3:14" ht="15.6" x14ac:dyDescent="0.3">
      <c r="C65" s="908" t="s">
        <v>2296</v>
      </c>
      <c r="D65" s="909"/>
      <c r="E65" s="1948" t="s">
        <v>2333</v>
      </c>
      <c r="F65" s="1948"/>
      <c r="G65" s="1948"/>
      <c r="H65" s="1948"/>
      <c r="I65" s="1948"/>
      <c r="J65" s="882"/>
      <c r="K65" s="882"/>
      <c r="L65" s="882"/>
      <c r="M65" s="1561"/>
      <c r="N65" s="1561"/>
    </row>
    <row r="66" spans="3:14" ht="15.6" x14ac:dyDescent="0.3">
      <c r="C66" s="1800" t="s">
        <v>2334</v>
      </c>
      <c r="D66" s="909"/>
      <c r="E66" s="1949"/>
      <c r="F66" s="1949"/>
      <c r="G66" s="1949"/>
      <c r="H66" s="1949"/>
      <c r="I66" s="1949"/>
      <c r="J66" s="882"/>
      <c r="K66" s="882"/>
      <c r="L66" s="882"/>
      <c r="M66" s="1561"/>
      <c r="N66" s="1561"/>
    </row>
    <row r="67" spans="3:14" ht="15.6" x14ac:dyDescent="0.3">
      <c r="C67" s="1800" t="s">
        <v>2334</v>
      </c>
      <c r="D67" s="909"/>
      <c r="E67" s="1949"/>
      <c r="F67" s="1949"/>
      <c r="G67" s="1949"/>
      <c r="H67" s="1949"/>
      <c r="I67" s="1949"/>
      <c r="J67" s="882"/>
      <c r="K67" s="882"/>
      <c r="L67" s="882"/>
      <c r="M67" s="1561"/>
      <c r="N67" s="1561"/>
    </row>
    <row r="68" spans="3:14" ht="15.6" x14ac:dyDescent="0.3">
      <c r="C68" s="1800" t="s">
        <v>2334</v>
      </c>
      <c r="D68" s="909"/>
      <c r="E68" s="1949"/>
      <c r="F68" s="1949"/>
      <c r="G68" s="1949"/>
      <c r="H68" s="1949"/>
      <c r="I68" s="1949"/>
      <c r="J68" s="882"/>
      <c r="K68" s="882"/>
      <c r="L68" s="882"/>
      <c r="M68" s="1561"/>
      <c r="N68" s="1561"/>
    </row>
    <row r="69" spans="3:14" ht="15.6" x14ac:dyDescent="0.3">
      <c r="C69" s="1800" t="s">
        <v>2334</v>
      </c>
      <c r="D69" s="909"/>
      <c r="E69" s="1956"/>
      <c r="F69" s="1957"/>
      <c r="G69" s="1957"/>
      <c r="H69" s="1957"/>
      <c r="I69" s="1958"/>
      <c r="J69" s="882"/>
      <c r="K69" s="882"/>
      <c r="L69" s="882"/>
      <c r="M69" s="1561"/>
      <c r="N69" s="1561"/>
    </row>
    <row r="70" spans="3:14" ht="15.6" x14ac:dyDescent="0.3">
      <c r="C70" s="1800" t="s">
        <v>2334</v>
      </c>
      <c r="D70" s="909"/>
      <c r="E70" s="1949"/>
      <c r="F70" s="1949"/>
      <c r="G70" s="1949"/>
      <c r="H70" s="1949"/>
      <c r="I70" s="1949"/>
      <c r="J70" s="882"/>
      <c r="K70" s="882"/>
      <c r="L70" s="882"/>
      <c r="M70" s="1561"/>
      <c r="N70" s="1561"/>
    </row>
    <row r="71" spans="3:14" ht="15.6" x14ac:dyDescent="0.3">
      <c r="C71" s="1800" t="s">
        <v>2334</v>
      </c>
      <c r="D71" s="909"/>
      <c r="E71" s="1949"/>
      <c r="F71" s="1949"/>
      <c r="G71" s="1949"/>
      <c r="H71" s="1949"/>
      <c r="I71" s="1949"/>
      <c r="J71" s="882"/>
      <c r="K71" s="882"/>
      <c r="L71" s="882"/>
      <c r="M71" s="1561"/>
      <c r="N71" s="1561"/>
    </row>
    <row r="72" spans="3:14" ht="16.2" x14ac:dyDescent="0.35">
      <c r="C72" s="910" t="s">
        <v>2297</v>
      </c>
      <c r="D72" s="911">
        <f>D62-SUM(D63,D64,D65,D66,D67,D68,D69,D70,D71)</f>
        <v>0</v>
      </c>
      <c r="E72" s="1950"/>
      <c r="F72" s="1950"/>
      <c r="G72" s="1950"/>
      <c r="H72" s="1950"/>
      <c r="I72" s="1950"/>
      <c r="J72" s="882"/>
      <c r="K72" s="882"/>
      <c r="L72" s="882"/>
      <c r="M72" s="1561"/>
      <c r="N72" s="1561"/>
    </row>
    <row r="73" spans="3:14" ht="15.6" x14ac:dyDescent="0.3">
      <c r="C73" s="882"/>
      <c r="D73" s="882"/>
      <c r="E73" s="882"/>
      <c r="F73" s="882"/>
      <c r="G73" s="882"/>
      <c r="H73" s="882"/>
      <c r="I73" s="882"/>
      <c r="J73" s="882"/>
      <c r="K73" s="882"/>
      <c r="L73" s="882"/>
      <c r="M73" s="1561"/>
      <c r="N73" s="1561"/>
    </row>
    <row r="74" spans="3:14" ht="17.399999999999999" x14ac:dyDescent="0.3">
      <c r="C74" s="883" t="s">
        <v>2298</v>
      </c>
      <c r="D74" s="882"/>
      <c r="E74" s="882"/>
      <c r="F74" s="882"/>
      <c r="G74" s="882"/>
      <c r="H74" s="882"/>
      <c r="I74" s="882"/>
      <c r="J74" s="882"/>
      <c r="K74" s="882"/>
      <c r="L74" s="882"/>
      <c r="M74" s="1561"/>
      <c r="N74" s="1561"/>
    </row>
    <row r="75" spans="3:14" ht="16.2" x14ac:dyDescent="0.35">
      <c r="C75" s="891" t="s">
        <v>2299</v>
      </c>
      <c r="D75" s="891" t="s">
        <v>706</v>
      </c>
      <c r="E75" s="1955" t="s">
        <v>2300</v>
      </c>
      <c r="F75" s="1955"/>
      <c r="G75" s="1955"/>
      <c r="H75" s="1955"/>
      <c r="I75" s="1955"/>
      <c r="J75" s="1955"/>
      <c r="K75" s="1955"/>
      <c r="L75" s="882"/>
      <c r="M75" s="1561"/>
      <c r="N75" s="1561"/>
    </row>
    <row r="76" spans="3:14" ht="15.6" x14ac:dyDescent="0.3">
      <c r="C76" s="912" t="s">
        <v>2301</v>
      </c>
      <c r="D76" s="1801"/>
      <c r="E76" s="1948" t="s">
        <v>2338</v>
      </c>
      <c r="F76" s="1948"/>
      <c r="G76" s="1948"/>
      <c r="H76" s="1948"/>
      <c r="I76" s="1948"/>
      <c r="J76" s="1948"/>
      <c r="K76" s="1948"/>
      <c r="L76" s="882"/>
      <c r="M76" s="1561"/>
      <c r="N76" s="1561"/>
    </row>
    <row r="77" spans="3:14" ht="15.6" x14ac:dyDescent="0.3">
      <c r="C77" s="912" t="s">
        <v>2302</v>
      </c>
      <c r="D77" s="1801"/>
      <c r="E77" s="1948" t="s">
        <v>2784</v>
      </c>
      <c r="F77" s="1948"/>
      <c r="G77" s="1948"/>
      <c r="H77" s="1948"/>
      <c r="I77" s="1948"/>
      <c r="J77" s="1948"/>
      <c r="K77" s="1948"/>
      <c r="L77" s="882"/>
      <c r="M77" s="1561"/>
      <c r="N77" s="1561"/>
    </row>
    <row r="78" spans="3:14" ht="15.6" x14ac:dyDescent="0.3">
      <c r="C78" s="912" t="s">
        <v>2303</v>
      </c>
      <c r="D78" s="1801"/>
      <c r="E78" s="1948"/>
      <c r="F78" s="1948"/>
      <c r="G78" s="1948"/>
      <c r="H78" s="1948"/>
      <c r="I78" s="1948"/>
      <c r="J78" s="1948"/>
      <c r="K78" s="1948"/>
      <c r="L78" s="882"/>
      <c r="M78" s="1561"/>
      <c r="N78" s="1561"/>
    </row>
    <row r="79" spans="3:14" ht="15.6" x14ac:dyDescent="0.3">
      <c r="C79" s="912" t="s">
        <v>2304</v>
      </c>
      <c r="D79" s="1801"/>
      <c r="E79" s="1948"/>
      <c r="F79" s="1948"/>
      <c r="G79" s="1948"/>
      <c r="H79" s="1948"/>
      <c r="I79" s="1948"/>
      <c r="J79" s="1948"/>
      <c r="K79" s="1948"/>
      <c r="L79" s="882"/>
      <c r="M79" s="1561"/>
      <c r="N79" s="1561"/>
    </row>
    <row r="80" spans="3:14" ht="15.6" x14ac:dyDescent="0.3">
      <c r="C80" s="912" t="s">
        <v>2305</v>
      </c>
      <c r="D80" s="1801"/>
      <c r="E80" s="1948" t="s">
        <v>2337</v>
      </c>
      <c r="F80" s="1948"/>
      <c r="G80" s="1948"/>
      <c r="H80" s="1948"/>
      <c r="I80" s="1948"/>
      <c r="J80" s="1948"/>
      <c r="K80" s="1948"/>
      <c r="L80" s="882"/>
      <c r="M80" s="1561"/>
      <c r="N80" s="1561"/>
    </row>
    <row r="81" spans="3:14" ht="15.6" x14ac:dyDescent="0.3">
      <c r="C81" s="912" t="s">
        <v>2306</v>
      </c>
      <c r="D81" s="1801"/>
      <c r="E81" s="1948"/>
      <c r="F81" s="1948"/>
      <c r="G81" s="1948"/>
      <c r="H81" s="1948"/>
      <c r="I81" s="1948"/>
      <c r="J81" s="1948"/>
      <c r="K81" s="1948"/>
      <c r="L81" s="882"/>
      <c r="M81" s="1561"/>
      <c r="N81" s="1561"/>
    </row>
    <row r="82" spans="3:14" ht="15.6" x14ac:dyDescent="0.3">
      <c r="C82" s="1802" t="s">
        <v>2336</v>
      </c>
      <c r="D82" s="1801"/>
      <c r="E82" s="1948"/>
      <c r="F82" s="1948"/>
      <c r="G82" s="1948"/>
      <c r="H82" s="1948"/>
      <c r="I82" s="1948"/>
      <c r="J82" s="1948"/>
      <c r="K82" s="1948"/>
      <c r="L82" s="882"/>
      <c r="M82" s="1561"/>
      <c r="N82" s="1561"/>
    </row>
    <row r="83" spans="3:14" ht="15.6" x14ac:dyDescent="0.3">
      <c r="C83" s="1802" t="s">
        <v>2336</v>
      </c>
      <c r="D83" s="1801"/>
      <c r="E83" s="1948"/>
      <c r="F83" s="1948"/>
      <c r="G83" s="1948"/>
      <c r="H83" s="1948"/>
      <c r="I83" s="1948"/>
      <c r="J83" s="1948"/>
      <c r="K83" s="1948"/>
      <c r="L83" s="882"/>
      <c r="M83" s="1561"/>
      <c r="N83" s="1561"/>
    </row>
    <row r="84" spans="3:14" ht="15.6" x14ac:dyDescent="0.3">
      <c r="C84" s="1802" t="s">
        <v>2336</v>
      </c>
      <c r="D84" s="1801"/>
      <c r="E84" s="1948"/>
      <c r="F84" s="1948"/>
      <c r="G84" s="1948"/>
      <c r="H84" s="1948"/>
      <c r="I84" s="1948"/>
      <c r="J84" s="1948"/>
      <c r="K84" s="1948"/>
      <c r="L84" s="882"/>
      <c r="M84" s="1561"/>
      <c r="N84" s="1561"/>
    </row>
    <row r="85" spans="3:14" ht="15.6" x14ac:dyDescent="0.3">
      <c r="C85" s="1802" t="s">
        <v>2336</v>
      </c>
      <c r="D85" s="1801"/>
      <c r="E85" s="1948"/>
      <c r="F85" s="1948"/>
      <c r="G85" s="1948"/>
      <c r="H85" s="1948"/>
      <c r="I85" s="1948"/>
      <c r="J85" s="1948"/>
      <c r="K85" s="1948"/>
      <c r="L85" s="882"/>
      <c r="M85" s="1561"/>
      <c r="N85" s="1561"/>
    </row>
    <row r="86" spans="3:14" ht="15.6" x14ac:dyDescent="0.3">
      <c r="C86" s="1802" t="s">
        <v>2336</v>
      </c>
      <c r="D86" s="1801"/>
      <c r="E86" s="1960"/>
      <c r="F86" s="1960"/>
      <c r="G86" s="1960"/>
      <c r="H86" s="1960"/>
      <c r="I86" s="1960"/>
      <c r="J86" s="1960"/>
      <c r="K86" s="1960"/>
      <c r="L86" s="882"/>
      <c r="M86" s="1561"/>
      <c r="N86" s="1561"/>
    </row>
    <row r="87" spans="3:14" ht="16.2" x14ac:dyDescent="0.35">
      <c r="C87" s="910" t="s">
        <v>2341</v>
      </c>
      <c r="D87" s="920">
        <f>SUM(D76:D86)</f>
        <v>0</v>
      </c>
      <c r="E87" s="1961"/>
      <c r="F87" s="1962"/>
      <c r="G87" s="1962"/>
      <c r="H87" s="1962"/>
      <c r="I87" s="1962"/>
      <c r="J87" s="1962"/>
      <c r="K87" s="1963"/>
      <c r="L87" s="882"/>
      <c r="M87" s="1561"/>
      <c r="N87" s="1561"/>
    </row>
    <row r="88" spans="3:14" ht="15.6" x14ac:dyDescent="0.3">
      <c r="C88" s="882"/>
      <c r="D88" s="882"/>
      <c r="E88" s="882"/>
      <c r="F88" s="882"/>
      <c r="G88" s="882"/>
      <c r="H88" s="882"/>
      <c r="I88" s="882"/>
      <c r="J88" s="882"/>
      <c r="K88" s="882"/>
      <c r="L88" s="882"/>
      <c r="M88" s="1561"/>
      <c r="N88" s="1561"/>
    </row>
    <row r="89" spans="3:14" ht="17.399999999999999" x14ac:dyDescent="0.3">
      <c r="C89" s="883" t="s">
        <v>2307</v>
      </c>
      <c r="D89" s="882"/>
      <c r="E89" s="882"/>
      <c r="F89" s="882"/>
      <c r="G89" s="882"/>
      <c r="H89" s="882"/>
      <c r="I89" s="882"/>
      <c r="J89" s="882"/>
      <c r="K89" s="882"/>
      <c r="L89" s="882"/>
      <c r="M89" s="1561"/>
      <c r="N89" s="1561"/>
    </row>
    <row r="90" spans="3:14" ht="47.4" x14ac:dyDescent="0.35">
      <c r="C90" s="913" t="s">
        <v>2308</v>
      </c>
      <c r="D90" s="916" t="s">
        <v>2309</v>
      </c>
      <c r="E90" s="917" t="s">
        <v>2339</v>
      </c>
      <c r="F90" s="917" t="s">
        <v>2340</v>
      </c>
      <c r="G90" s="882"/>
      <c r="H90" s="895" t="s">
        <v>2316</v>
      </c>
      <c r="J90" s="895"/>
      <c r="K90" s="882"/>
      <c r="L90" s="882"/>
      <c r="M90" s="1561"/>
      <c r="N90" s="1561"/>
    </row>
    <row r="91" spans="3:14" ht="15.6" x14ac:dyDescent="0.3">
      <c r="C91" s="890" t="s">
        <v>2310</v>
      </c>
      <c r="D91" s="1803"/>
      <c r="E91" s="1803"/>
      <c r="F91" s="1803"/>
      <c r="G91" s="882"/>
      <c r="H91" s="1964" t="s">
        <v>2317</v>
      </c>
      <c r="I91" s="1964"/>
      <c r="J91" s="1805"/>
      <c r="K91" s="882"/>
      <c r="L91" s="882"/>
      <c r="M91" s="1561"/>
      <c r="N91" s="1561"/>
    </row>
    <row r="92" spans="3:14" ht="15.6" x14ac:dyDescent="0.3">
      <c r="C92" s="890" t="s">
        <v>2311</v>
      </c>
      <c r="D92" s="1804"/>
      <c r="E92" s="1804"/>
      <c r="F92" s="1804"/>
      <c r="G92" s="882"/>
      <c r="H92" s="1959" t="s">
        <v>2318</v>
      </c>
      <c r="I92" s="1959"/>
      <c r="J92" s="921">
        <f>IFERROR(E99/J91,0)</f>
        <v>0</v>
      </c>
      <c r="K92" s="882"/>
      <c r="L92" s="882"/>
      <c r="M92" s="1561"/>
      <c r="N92" s="1561"/>
    </row>
    <row r="93" spans="3:14" ht="15.6" x14ac:dyDescent="0.3">
      <c r="C93" s="890" t="s">
        <v>993</v>
      </c>
      <c r="D93" s="1804"/>
      <c r="E93" s="1804"/>
      <c r="F93" s="1804"/>
      <c r="G93" s="882"/>
      <c r="H93" s="1959" t="s">
        <v>2319</v>
      </c>
      <c r="I93" s="1959"/>
      <c r="J93" s="921">
        <f>IFERROR(SUM(E99,E100,E101,E102,E103,E104,E105,E106,E107,E108)/J91,0)</f>
        <v>0</v>
      </c>
      <c r="K93" s="882"/>
      <c r="L93" s="882"/>
      <c r="M93" s="1561"/>
      <c r="N93" s="1561"/>
    </row>
    <row r="94" spans="3:14" ht="15.6" x14ac:dyDescent="0.3">
      <c r="C94" s="913" t="s">
        <v>2312</v>
      </c>
      <c r="D94" s="914">
        <f>D92-D93</f>
        <v>0</v>
      </c>
      <c r="E94" s="914">
        <f>E92-E93</f>
        <v>0</v>
      </c>
      <c r="F94" s="914">
        <f>F92-F93</f>
        <v>0</v>
      </c>
      <c r="G94" s="882"/>
      <c r="H94" s="1964" t="s">
        <v>2320</v>
      </c>
      <c r="I94" s="1964"/>
      <c r="J94" s="1805"/>
      <c r="K94" s="882"/>
      <c r="L94" s="882"/>
      <c r="M94" s="1561"/>
      <c r="N94" s="1561"/>
    </row>
    <row r="95" spans="3:14" ht="15.6" x14ac:dyDescent="0.3">
      <c r="C95" s="890" t="s">
        <v>2313</v>
      </c>
      <c r="D95" s="1804"/>
      <c r="E95" s="1804"/>
      <c r="F95" s="1804"/>
      <c r="G95" s="882"/>
      <c r="H95" s="1959" t="s">
        <v>2321</v>
      </c>
      <c r="I95" s="1959"/>
      <c r="J95" s="921">
        <f>IFERROR(E99/J94,0)</f>
        <v>0</v>
      </c>
      <c r="K95" s="882"/>
      <c r="L95" s="882"/>
      <c r="M95" s="1561"/>
      <c r="N95" s="1561"/>
    </row>
    <row r="96" spans="3:14" ht="15.6" x14ac:dyDescent="0.3">
      <c r="C96" s="913" t="s">
        <v>2314</v>
      </c>
      <c r="D96" s="915">
        <f>IFERROR(D94/D95,0)</f>
        <v>0</v>
      </c>
      <c r="E96" s="915">
        <f>IFERROR(E94/E95,0)</f>
        <v>0</v>
      </c>
      <c r="F96" s="915">
        <f>IFERROR(F94/F95,0)</f>
        <v>0</v>
      </c>
      <c r="G96" s="882"/>
      <c r="H96" s="1959" t="s">
        <v>2322</v>
      </c>
      <c r="I96" s="1959"/>
      <c r="J96" s="921">
        <f>IFERROR(SUM(E99,E100,E101,E102,E103,E104,E105,E106,E107,E108)/J94,0)</f>
        <v>0</v>
      </c>
      <c r="K96" s="882"/>
      <c r="L96" s="882"/>
      <c r="M96" s="1561"/>
      <c r="N96" s="1561"/>
    </row>
    <row r="97" spans="3:14" ht="17.399999999999999" x14ac:dyDescent="0.3">
      <c r="C97" s="883"/>
      <c r="D97" s="882"/>
      <c r="E97" s="882"/>
      <c r="F97" s="882"/>
      <c r="G97" s="882"/>
      <c r="H97" s="882"/>
      <c r="J97" s="882"/>
      <c r="K97" s="882"/>
      <c r="L97" s="882"/>
      <c r="M97" s="1561"/>
      <c r="N97" s="1561"/>
    </row>
    <row r="98" spans="3:14" ht="16.2" x14ac:dyDescent="0.35">
      <c r="C98" s="918" t="s">
        <v>2315</v>
      </c>
      <c r="D98" s="918" t="s">
        <v>1017</v>
      </c>
      <c r="E98" s="918" t="s">
        <v>706</v>
      </c>
      <c r="F98" s="882"/>
      <c r="G98" s="882"/>
      <c r="H98" s="895" t="s">
        <v>2323</v>
      </c>
      <c r="J98" s="882"/>
      <c r="K98" s="882"/>
      <c r="L98" s="882"/>
      <c r="M98" s="1561"/>
      <c r="N98" s="1561"/>
    </row>
    <row r="99" spans="3:14" ht="15.6" x14ac:dyDescent="0.3">
      <c r="C99" s="1802"/>
      <c r="D99" s="919">
        <v>1</v>
      </c>
      <c r="E99" s="1801"/>
      <c r="F99" s="882"/>
      <c r="G99" s="882"/>
      <c r="H99" s="1964" t="s">
        <v>2324</v>
      </c>
      <c r="I99" s="1964"/>
      <c r="J99" s="1806"/>
      <c r="K99" s="882"/>
      <c r="L99" s="882"/>
      <c r="M99" s="1561"/>
      <c r="N99" s="1561"/>
    </row>
    <row r="100" spans="3:14" ht="15.6" x14ac:dyDescent="0.3">
      <c r="C100" s="1802"/>
      <c r="D100" s="919">
        <v>2</v>
      </c>
      <c r="E100" s="1801"/>
      <c r="F100" s="882"/>
      <c r="G100" s="882"/>
      <c r="H100" s="1959" t="s">
        <v>2325</v>
      </c>
      <c r="I100" s="1959"/>
      <c r="J100" s="922">
        <f>D94</f>
        <v>0</v>
      </c>
      <c r="K100" s="882"/>
      <c r="L100" s="882"/>
      <c r="M100" s="1561"/>
      <c r="N100" s="1561"/>
    </row>
    <row r="101" spans="3:14" ht="15.6" x14ac:dyDescent="0.3">
      <c r="C101" s="1802"/>
      <c r="D101" s="919">
        <v>3</v>
      </c>
      <c r="E101" s="1801"/>
      <c r="F101" s="882"/>
      <c r="G101" s="882"/>
      <c r="H101" s="1959" t="s">
        <v>2326</v>
      </c>
      <c r="I101" s="1959"/>
      <c r="J101" s="922">
        <f>IFERROR(J100/J99,0)</f>
        <v>0</v>
      </c>
      <c r="K101" s="882"/>
      <c r="L101" s="882"/>
      <c r="M101" s="1561"/>
      <c r="N101" s="1561"/>
    </row>
    <row r="102" spans="3:14" ht="15.6" x14ac:dyDescent="0.3">
      <c r="C102" s="1802"/>
      <c r="D102" s="919">
        <v>4</v>
      </c>
      <c r="E102" s="1801"/>
      <c r="F102" s="882"/>
      <c r="G102" s="882"/>
      <c r="H102" s="1959" t="s">
        <v>2318</v>
      </c>
      <c r="I102" s="1959"/>
      <c r="J102" s="921">
        <f>IFERROR(E99/J101,0)</f>
        <v>0</v>
      </c>
      <c r="K102" s="882"/>
      <c r="L102" s="882"/>
      <c r="M102" s="1561"/>
      <c r="N102" s="1561"/>
    </row>
    <row r="103" spans="3:14" ht="15.6" x14ac:dyDescent="0.3">
      <c r="C103" s="1802"/>
      <c r="D103" s="919">
        <v>5</v>
      </c>
      <c r="E103" s="1801"/>
      <c r="F103" s="882"/>
      <c r="G103" s="882"/>
      <c r="H103" s="1959" t="s">
        <v>2319</v>
      </c>
      <c r="I103" s="1959"/>
      <c r="J103" s="921">
        <f>IFERROR(SUM(E99,E100,E101,E102,E103,E104,E105,E106,E107,E108)/J101,)</f>
        <v>0</v>
      </c>
      <c r="K103" s="882"/>
      <c r="L103" s="882"/>
      <c r="M103" s="1561"/>
      <c r="N103" s="1561"/>
    </row>
    <row r="104" spans="3:14" ht="15.6" x14ac:dyDescent="0.3">
      <c r="C104" s="1802"/>
      <c r="D104" s="919">
        <v>6</v>
      </c>
      <c r="E104" s="1801"/>
      <c r="F104" s="882"/>
      <c r="G104" s="882"/>
      <c r="H104" s="882"/>
      <c r="I104" s="882"/>
      <c r="J104" s="882"/>
      <c r="K104" s="882"/>
      <c r="L104" s="882"/>
      <c r="M104" s="1561"/>
      <c r="N104" s="1561"/>
    </row>
    <row r="105" spans="3:14" ht="15.6" x14ac:dyDescent="0.3">
      <c r="C105" s="1802"/>
      <c r="D105" s="919">
        <v>7</v>
      </c>
      <c r="E105" s="1801"/>
      <c r="F105" s="882"/>
      <c r="G105" s="882"/>
      <c r="H105" s="882"/>
      <c r="I105" s="882"/>
      <c r="J105" s="882"/>
      <c r="K105" s="882"/>
      <c r="L105" s="882"/>
      <c r="M105" s="1561"/>
      <c r="N105" s="1561"/>
    </row>
    <row r="106" spans="3:14" ht="15.6" x14ac:dyDescent="0.3">
      <c r="C106" s="1802"/>
      <c r="D106" s="919">
        <v>8</v>
      </c>
      <c r="E106" s="1801"/>
      <c r="F106" s="882"/>
      <c r="G106" s="882"/>
      <c r="H106" s="882"/>
      <c r="I106" s="882"/>
      <c r="J106" s="882"/>
      <c r="K106" s="882"/>
      <c r="L106" s="882"/>
      <c r="M106" s="1561"/>
      <c r="N106" s="1561"/>
    </row>
    <row r="107" spans="3:14" ht="15.6" x14ac:dyDescent="0.3">
      <c r="C107" s="1802"/>
      <c r="D107" s="919">
        <v>9</v>
      </c>
      <c r="E107" s="1801"/>
      <c r="F107" s="882"/>
      <c r="G107" s="882"/>
      <c r="H107" s="882"/>
      <c r="I107" s="882"/>
      <c r="J107" s="882"/>
      <c r="K107" s="882"/>
      <c r="L107" s="882"/>
      <c r="M107" s="1561"/>
      <c r="N107" s="1561"/>
    </row>
    <row r="108" spans="3:14" ht="15.6" x14ac:dyDescent="0.3">
      <c r="C108" s="1802"/>
      <c r="D108" s="919">
        <v>10</v>
      </c>
      <c r="E108" s="1801"/>
      <c r="F108" s="882"/>
      <c r="G108" s="882"/>
      <c r="H108" s="882"/>
      <c r="I108" s="882"/>
      <c r="J108" s="882"/>
      <c r="K108" s="882"/>
      <c r="L108" s="882"/>
      <c r="M108" s="1561"/>
      <c r="N108" s="1561"/>
    </row>
    <row r="109" spans="3:14" ht="15.6" x14ac:dyDescent="0.3">
      <c r="C109" s="893"/>
      <c r="D109" s="893"/>
      <c r="E109" s="894"/>
      <c r="F109" s="893"/>
      <c r="G109" s="893"/>
      <c r="H109" s="893"/>
      <c r="I109" s="893"/>
      <c r="J109" s="893"/>
      <c r="K109" s="893"/>
      <c r="L109" s="893"/>
      <c r="M109" s="1563"/>
      <c r="N109" s="1563"/>
    </row>
    <row r="110" spans="3:14" ht="16.2" x14ac:dyDescent="0.35">
      <c r="E110" s="895"/>
      <c r="F110" s="895"/>
      <c r="G110" s="895"/>
      <c r="H110" s="895"/>
      <c r="I110" s="895"/>
      <c r="J110" s="895"/>
      <c r="K110" s="895"/>
      <c r="L110" s="895"/>
      <c r="M110" s="1564"/>
      <c r="N110" s="1564"/>
    </row>
    <row r="111" spans="3:14" ht="15.6" x14ac:dyDescent="0.3">
      <c r="E111" s="882"/>
      <c r="F111" s="882"/>
      <c r="G111" s="882"/>
      <c r="H111" s="882"/>
      <c r="I111" s="882"/>
      <c r="J111" s="882"/>
      <c r="K111" s="882"/>
      <c r="L111" s="882"/>
      <c r="M111" s="1561"/>
      <c r="N111" s="1561"/>
    </row>
    <row r="112" spans="3:14" ht="15.6" x14ac:dyDescent="0.3">
      <c r="E112" s="882"/>
      <c r="F112" s="882"/>
      <c r="G112" s="882"/>
      <c r="H112" s="882"/>
      <c r="I112" s="882"/>
      <c r="J112" s="882"/>
      <c r="K112" s="882"/>
      <c r="L112" s="882"/>
      <c r="M112" s="1561"/>
      <c r="N112" s="1561"/>
    </row>
    <row r="113" spans="5:14" ht="15.6" x14ac:dyDescent="0.3">
      <c r="E113" s="882"/>
      <c r="F113" s="882"/>
      <c r="G113" s="882"/>
      <c r="H113" s="882"/>
      <c r="I113" s="882"/>
      <c r="J113" s="882"/>
      <c r="K113" s="882"/>
      <c r="L113" s="882"/>
      <c r="M113" s="1561"/>
      <c r="N113" s="1561"/>
    </row>
    <row r="114" spans="5:14" ht="15.6" x14ac:dyDescent="0.3">
      <c r="E114" s="882"/>
      <c r="F114" s="882"/>
      <c r="G114" s="882"/>
      <c r="H114" s="882"/>
      <c r="I114" s="882"/>
      <c r="J114" s="882"/>
      <c r="K114" s="882"/>
      <c r="L114" s="882"/>
      <c r="M114" s="1561"/>
      <c r="N114" s="1561"/>
    </row>
    <row r="115" spans="5:14" ht="15.6" x14ac:dyDescent="0.3">
      <c r="E115" s="882"/>
      <c r="F115" s="882"/>
      <c r="G115" s="882"/>
      <c r="H115" s="882"/>
      <c r="I115" s="882"/>
      <c r="J115" s="882"/>
      <c r="K115" s="882"/>
      <c r="L115" s="882"/>
      <c r="M115" s="1561"/>
      <c r="N115" s="1561"/>
    </row>
    <row r="116" spans="5:14" ht="15.6" x14ac:dyDescent="0.3">
      <c r="E116" s="882"/>
      <c r="F116" s="882"/>
      <c r="G116" s="882"/>
      <c r="H116" s="882"/>
      <c r="I116" s="882"/>
      <c r="J116" s="882"/>
      <c r="K116" s="882"/>
      <c r="L116" s="882"/>
      <c r="M116" s="1561"/>
      <c r="N116" s="1561"/>
    </row>
    <row r="117" spans="5:14" ht="15.6" x14ac:dyDescent="0.3">
      <c r="E117" s="882"/>
      <c r="F117" s="882"/>
      <c r="G117" s="882"/>
      <c r="H117" s="882"/>
      <c r="I117" s="882"/>
      <c r="J117" s="882"/>
      <c r="K117" s="882"/>
      <c r="L117" s="882"/>
      <c r="M117" s="1561"/>
      <c r="N117" s="1561"/>
    </row>
    <row r="118" spans="5:14" ht="15.6" x14ac:dyDescent="0.3">
      <c r="E118" s="882"/>
      <c r="F118" s="882"/>
      <c r="G118" s="882"/>
      <c r="H118" s="882"/>
      <c r="I118" s="882"/>
      <c r="J118" s="882"/>
      <c r="K118" s="882"/>
      <c r="L118" s="882"/>
      <c r="M118" s="1561"/>
      <c r="N118" s="1561"/>
    </row>
    <row r="119" spans="5:14" ht="15.6" x14ac:dyDescent="0.3">
      <c r="E119" s="882"/>
      <c r="F119" s="882"/>
      <c r="G119" s="882"/>
      <c r="H119" s="882"/>
      <c r="I119" s="882"/>
      <c r="J119" s="882"/>
      <c r="K119" s="882"/>
      <c r="L119" s="882"/>
      <c r="M119" s="1561"/>
      <c r="N119" s="1561"/>
    </row>
    <row r="120" spans="5:14" ht="15.6" x14ac:dyDescent="0.3">
      <c r="E120" s="882"/>
      <c r="F120" s="882"/>
      <c r="G120" s="882"/>
      <c r="H120" s="882"/>
      <c r="I120" s="882"/>
      <c r="J120" s="882"/>
      <c r="K120" s="882"/>
      <c r="L120" s="882"/>
      <c r="M120" s="1561"/>
      <c r="N120" s="1561"/>
    </row>
    <row r="121" spans="5:14" ht="15.6" x14ac:dyDescent="0.3">
      <c r="E121" s="882"/>
      <c r="F121" s="882"/>
      <c r="G121" s="882"/>
      <c r="H121" s="882"/>
      <c r="I121" s="882"/>
      <c r="J121" s="882"/>
      <c r="K121" s="882"/>
      <c r="L121" s="882"/>
      <c r="M121" s="1561"/>
      <c r="N121" s="1561"/>
    </row>
    <row r="122" spans="5:14" ht="15.6" x14ac:dyDescent="0.3">
      <c r="E122" s="882"/>
      <c r="F122" s="882"/>
      <c r="G122" s="882"/>
      <c r="H122" s="882"/>
      <c r="I122" s="882"/>
      <c r="J122" s="882"/>
      <c r="K122" s="882"/>
      <c r="L122" s="882"/>
      <c r="M122" s="1561"/>
      <c r="N122" s="1561"/>
    </row>
    <row r="123" spans="5:14" ht="15.6" x14ac:dyDescent="0.3">
      <c r="E123" s="882"/>
      <c r="F123" s="882"/>
      <c r="G123" s="882"/>
      <c r="H123" s="882"/>
      <c r="I123" s="882"/>
      <c r="J123" s="882"/>
      <c r="K123" s="882"/>
      <c r="L123" s="882"/>
      <c r="M123" s="1561"/>
      <c r="N123" s="1561"/>
    </row>
  </sheetData>
  <sheetProtection algorithmName="SHA-512" hashValue="c4ttUlppdmFWDdj5j8ij/Q3Y2N5vddkqRhc440ZMXrv2oy1RUo3QZ0PZ0DOzYMBUUIog4PR1ANJAABNp/cnHwg==" saltValue="J5v1/yezmwpWF7/RP4xoaw==" spinCount="100000" sheet="1" objects="1" scenarios="1"/>
  <customSheetViews>
    <customSheetView guid="{76F395A0-B7E9-4489-8589-E8786779257B}" showPageBreaks="1" view="pageLayout">
      <pageMargins left="0" right="0" top="0" bottom="0" header="0" footer="0"/>
      <printOptions horizontalCentered="1"/>
      <pageSetup scale="95" firstPageNumber="22" orientation="portrait" useFirstPageNumber="1" r:id="rId1"/>
      <headerFooter alignWithMargins="0">
        <oddFooter>&amp;LCDA Form 202 revised 10/25/16&amp;C&amp;P&amp;R&amp;A:&amp;D</oddFooter>
      </headerFooter>
    </customSheetView>
    <customSheetView guid="{C39AB591-3723-49A0-B177-B840906E8341}">
      <selection activeCell="B4" sqref="B4"/>
      <pageMargins left="0" right="0" top="0" bottom="0" header="0" footer="0"/>
      <pageSetup orientation="portrait" r:id="rId2"/>
      <headerFooter alignWithMargins="0"/>
    </customSheetView>
    <customSheetView guid="{E132EC1F-F891-4922-AB90-4FA7835D9B5A}">
      <selection activeCell="B4" sqref="B4"/>
      <pageMargins left="0" right="0" top="0" bottom="0" header="0" footer="0"/>
      <pageSetup orientation="portrait" r:id="rId3"/>
      <headerFooter alignWithMargins="0"/>
    </customSheetView>
    <customSheetView guid="{602BBDD0-2A0B-434E-AE8E-4C472F9AEC01}">
      <selection sqref="A1:XFD1048576"/>
      <pageMargins left="0" right="0" top="0" bottom="0" header="0" footer="0"/>
      <pageSetup orientation="portrait" r:id="rId4"/>
      <headerFooter alignWithMargins="0"/>
    </customSheetView>
    <customSheetView guid="{C2565ED2-FB16-4AD9-AFF0-CED4C44F72DA}" showPageBreaks="1" showRuler="0">
      <selection activeCell="B4" sqref="B4"/>
      <pageMargins left="0" right="0" top="0" bottom="0" header="0" footer="0"/>
      <pageSetup orientation="portrait" r:id="rId5"/>
      <headerFooter alignWithMargins="0"/>
    </customSheetView>
    <customSheetView guid="{0A080B76-CAC1-49D6-A14B-9DA724D07E2A}" showRuler="0">
      <selection activeCell="D31" sqref="D31"/>
      <pageMargins left="0" right="0" top="0" bottom="0" header="0" footer="0"/>
      <headerFooter alignWithMargins="0"/>
    </customSheetView>
    <customSheetView guid="{A1879216-4226-4AD8-8303-3842A38BCF1B}" showRuler="0">
      <selection activeCell="B4" sqref="B4"/>
      <pageMargins left="0" right="0" top="0" bottom="0" header="0" footer="0"/>
      <pageSetup orientation="portrait" r:id="rId6"/>
      <headerFooter alignWithMargins="0"/>
    </customSheetView>
    <customSheetView guid="{3B78583D-5B6A-4751-8EF2-A2270A01FB56}">
      <selection activeCell="B4" sqref="B4"/>
      <pageMargins left="0" right="0" top="0" bottom="0" header="0" footer="0"/>
      <pageSetup orientation="portrait" r:id="rId7"/>
      <headerFooter alignWithMargins="0"/>
    </customSheetView>
    <customSheetView guid="{9A1BF858-0700-49AF-A308-5283E02DA063}">
      <selection sqref="A1:XFD1048576"/>
      <pageMargins left="0" right="0" top="0" bottom="0" header="0" footer="0"/>
      <pageSetup orientation="portrait" r:id="rId8"/>
      <headerFooter alignWithMargins="0"/>
    </customSheetView>
    <customSheetView guid="{C6533090-8A80-47A4-9BC4-E66215F4127C}">
      <selection sqref="A1:XFD1048576"/>
      <pageMargins left="0" right="0" top="0" bottom="0" header="0" footer="0"/>
      <pageSetup orientation="portrait" r:id="rId9"/>
      <headerFooter alignWithMargins="0"/>
    </customSheetView>
    <customSheetView guid="{3659D36C-86F8-45BE-8B0F-DC260D021512}">
      <selection activeCell="B4" sqref="B4"/>
      <pageMargins left="0" right="0" top="0" bottom="0" header="0" footer="0"/>
      <pageSetup orientation="portrait" r:id="rId10"/>
      <headerFooter alignWithMargins="0"/>
    </customSheetView>
    <customSheetView guid="{8142EFA3-2DB8-4FA0-90CC-65C61CCEFD62}">
      <selection activeCell="B4" sqref="B4"/>
      <pageMargins left="0" right="0" top="0" bottom="0" header="0" footer="0"/>
      <pageSetup orientation="portrait" r:id="rId11"/>
      <headerFooter alignWithMargins="0"/>
    </customSheetView>
  </customSheetViews>
  <mergeCells count="54">
    <mergeCell ref="H103:I103"/>
    <mergeCell ref="E86:K86"/>
    <mergeCell ref="E87:I87"/>
    <mergeCell ref="J87:K87"/>
    <mergeCell ref="H91:I91"/>
    <mergeCell ref="H94:I94"/>
    <mergeCell ref="H99:I99"/>
    <mergeCell ref="H92:I92"/>
    <mergeCell ref="H93:I93"/>
    <mergeCell ref="H95:I95"/>
    <mergeCell ref="H96:I96"/>
    <mergeCell ref="E83:K83"/>
    <mergeCell ref="E84:K84"/>
    <mergeCell ref="H100:I100"/>
    <mergeCell ref="H101:I101"/>
    <mergeCell ref="H102:I102"/>
    <mergeCell ref="E85:K85"/>
    <mergeCell ref="E66:I66"/>
    <mergeCell ref="E67:I67"/>
    <mergeCell ref="E68:I68"/>
    <mergeCell ref="E69:I69"/>
    <mergeCell ref="E70:I70"/>
    <mergeCell ref="E71:I71"/>
    <mergeCell ref="E76:K76"/>
    <mergeCell ref="E77:K77"/>
    <mergeCell ref="E78:K78"/>
    <mergeCell ref="E79:K79"/>
    <mergeCell ref="E72:I72"/>
    <mergeCell ref="E75:K75"/>
    <mergeCell ref="E80:K80"/>
    <mergeCell ref="E81:K81"/>
    <mergeCell ref="E82:K82"/>
    <mergeCell ref="E59:I59"/>
    <mergeCell ref="E44:I44"/>
    <mergeCell ref="E45:I45"/>
    <mergeCell ref="E46:I46"/>
    <mergeCell ref="E47:I47"/>
    <mergeCell ref="E48:I48"/>
    <mergeCell ref="E50:I50"/>
    <mergeCell ref="E51:I51"/>
    <mergeCell ref="E52:I52"/>
    <mergeCell ref="E53:I53"/>
    <mergeCell ref="E49:I49"/>
    <mergeCell ref="E54:I54"/>
    <mergeCell ref="E55:I55"/>
    <mergeCell ref="E64:I64"/>
    <mergeCell ref="E65:I65"/>
    <mergeCell ref="E60:I60"/>
    <mergeCell ref="E61:I61"/>
    <mergeCell ref="E56:I56"/>
    <mergeCell ref="E57:I57"/>
    <mergeCell ref="E58:I58"/>
    <mergeCell ref="E62:I62"/>
    <mergeCell ref="E63:I63"/>
  </mergeCells>
  <phoneticPr fontId="19" type="noConversion"/>
  <dataValidations count="1">
    <dataValidation type="list" allowBlank="1" showInputMessage="1" showErrorMessage="1" sqref="D42" xr:uid="{874248AF-17A4-4F18-9DDE-97ACEB56AA21}">
      <formula1>$O$39:$O$40</formula1>
    </dataValidation>
  </dataValidations>
  <pageMargins left="0.25" right="0.25" top="0.25" bottom="0.25" header="0.25" footer="0.25"/>
  <pageSetup scale="51" fitToHeight="0" orientation="portrait" useFirstPageNumber="1" r:id="rId12"/>
  <headerFooter scaleWithDoc="0" alignWithMargins="0"/>
  <rowBreaks count="1" manualBreakCount="1">
    <brk id="87" max="16383" man="1"/>
  </rowBreaks>
  <ignoredErrors>
    <ignoredError sqref="G9 D32:E32 D37:K37 H3:H4 G14:G15 G11:G12 G32:K32" unlockedFormula="1"/>
  </ignoredError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EC57-B885-4101-BAD2-A4162BB9A54F}">
  <sheetPr>
    <tabColor rgb="FFFF0000"/>
    <pageSetUpPr fitToPage="1"/>
  </sheetPr>
  <dimension ref="A1:BM223"/>
  <sheetViews>
    <sheetView showGridLines="0" view="pageBreakPreview" zoomScale="80" zoomScaleNormal="100" zoomScaleSheetLayoutView="80" workbookViewId="0">
      <pane xSplit="5" ySplit="10" topLeftCell="F134" activePane="bottomRight" state="frozen"/>
      <selection activeCell="E14" sqref="E14"/>
      <selection pane="topRight" activeCell="E14" sqref="E14"/>
      <selection pane="bottomLeft" activeCell="E14" sqref="E14"/>
      <selection pane="bottomRight" activeCell="J205" sqref="J205"/>
    </sheetView>
  </sheetViews>
  <sheetFormatPr defaultColWidth="9.44140625" defaultRowHeight="13.2" x14ac:dyDescent="0.25"/>
  <cols>
    <col min="1" max="1" width="3.109375" style="10" customWidth="1"/>
    <col min="2" max="3" width="9.44140625" style="10"/>
    <col min="4" max="4" width="53.44140625" style="10" customWidth="1"/>
    <col min="5" max="5" width="28.44140625" style="10" customWidth="1"/>
    <col min="6" max="56" width="15" style="10" customWidth="1"/>
    <col min="57" max="63" width="9.44140625" style="10"/>
    <col min="64" max="67" width="0" style="10" hidden="1" customWidth="1"/>
    <col min="68" max="16384" width="9.44140625" style="10"/>
  </cols>
  <sheetData>
    <row r="1" spans="1:65" x14ac:dyDescent="0.25">
      <c r="A1" s="10" t="s">
        <v>2008</v>
      </c>
    </row>
    <row r="3" spans="1:65" ht="18" x14ac:dyDescent="0.35">
      <c r="B3" s="127" t="s">
        <v>2381</v>
      </c>
    </row>
    <row r="5" spans="1:65" x14ac:dyDescent="0.25">
      <c r="C5" s="1018">
        <f>projname</f>
        <v>0</v>
      </c>
      <c r="D5" s="34"/>
    </row>
    <row r="6" spans="1:65" x14ac:dyDescent="0.25">
      <c r="B6" s="10" t="s">
        <v>227</v>
      </c>
      <c r="C6" s="1019">
        <f>GENERAL!D7</f>
        <v>0</v>
      </c>
    </row>
    <row r="7" spans="1:65" ht="13.8" thickBot="1" x14ac:dyDescent="0.3"/>
    <row r="8" spans="1:65" s="975" customFormat="1" ht="16.2" thickBot="1" x14ac:dyDescent="0.35">
      <c r="B8" s="1025"/>
      <c r="C8" s="1091"/>
      <c r="D8" s="1092"/>
      <c r="E8" s="1093" t="s">
        <v>2437</v>
      </c>
      <c r="F8" s="996"/>
      <c r="G8" s="997"/>
      <c r="H8" s="997"/>
      <c r="I8" s="997"/>
      <c r="J8" s="997"/>
      <c r="K8" s="997"/>
      <c r="L8" s="997"/>
      <c r="M8" s="997"/>
      <c r="N8" s="997"/>
      <c r="O8" s="997"/>
      <c r="P8" s="997"/>
      <c r="Q8" s="997"/>
      <c r="R8" s="997"/>
      <c r="S8" s="997"/>
      <c r="T8" s="997"/>
      <c r="U8" s="997"/>
      <c r="V8" s="997"/>
      <c r="W8" s="997"/>
      <c r="X8" s="997"/>
      <c r="Y8" s="997"/>
      <c r="Z8" s="997"/>
      <c r="AA8" s="997"/>
      <c r="AB8" s="997"/>
      <c r="AC8" s="997"/>
      <c r="AD8" s="997"/>
      <c r="AE8" s="997"/>
      <c r="AF8" s="997"/>
      <c r="AG8" s="997"/>
      <c r="AH8" s="997"/>
      <c r="AI8" s="997"/>
      <c r="AJ8" s="997"/>
      <c r="AK8" s="997"/>
      <c r="AL8" s="997"/>
      <c r="AM8" s="997"/>
      <c r="AN8" s="997"/>
      <c r="AO8" s="997"/>
      <c r="AP8" s="997"/>
      <c r="AQ8" s="997"/>
      <c r="AR8" s="997"/>
      <c r="AS8" s="997"/>
      <c r="AT8" s="997"/>
      <c r="AU8" s="997"/>
      <c r="AV8" s="997"/>
      <c r="AW8" s="997"/>
      <c r="AX8" s="997"/>
      <c r="AY8" s="997"/>
      <c r="AZ8" s="997"/>
      <c r="BA8" s="997"/>
      <c r="BB8" s="997"/>
      <c r="BC8" s="1087" t="s">
        <v>1032</v>
      </c>
      <c r="BD8" s="1088" t="s">
        <v>2395</v>
      </c>
      <c r="BM8" s="975" t="s">
        <v>2384</v>
      </c>
    </row>
    <row r="9" spans="1:65" s="975" customFormat="1" ht="16.2" thickBot="1" x14ac:dyDescent="0.35">
      <c r="B9" s="1094"/>
      <c r="C9" s="1095"/>
      <c r="D9" s="1096"/>
      <c r="E9" s="1097" t="s">
        <v>2430</v>
      </c>
      <c r="F9" s="998"/>
      <c r="G9" s="999">
        <f>EDATE(F9,1)</f>
        <v>31</v>
      </c>
      <c r="H9" s="999">
        <f t="shared" ref="H9:BB9" si="0">EDATE(G9,1)</f>
        <v>59</v>
      </c>
      <c r="I9" s="999">
        <f t="shared" si="0"/>
        <v>88</v>
      </c>
      <c r="J9" s="999">
        <f t="shared" si="0"/>
        <v>119</v>
      </c>
      <c r="K9" s="999">
        <f t="shared" si="0"/>
        <v>149</v>
      </c>
      <c r="L9" s="999">
        <f t="shared" si="0"/>
        <v>180</v>
      </c>
      <c r="M9" s="999">
        <f t="shared" si="0"/>
        <v>210</v>
      </c>
      <c r="N9" s="999">
        <f t="shared" si="0"/>
        <v>241</v>
      </c>
      <c r="O9" s="999">
        <f t="shared" si="0"/>
        <v>272</v>
      </c>
      <c r="P9" s="999">
        <f t="shared" si="0"/>
        <v>302</v>
      </c>
      <c r="Q9" s="999">
        <f t="shared" si="0"/>
        <v>333</v>
      </c>
      <c r="R9" s="999">
        <f t="shared" si="0"/>
        <v>363</v>
      </c>
      <c r="S9" s="999">
        <f t="shared" si="0"/>
        <v>394</v>
      </c>
      <c r="T9" s="999">
        <f t="shared" si="0"/>
        <v>425</v>
      </c>
      <c r="U9" s="999">
        <f t="shared" si="0"/>
        <v>453</v>
      </c>
      <c r="V9" s="999">
        <f t="shared" si="0"/>
        <v>484</v>
      </c>
      <c r="W9" s="999">
        <f t="shared" si="0"/>
        <v>514</v>
      </c>
      <c r="X9" s="999">
        <f t="shared" si="0"/>
        <v>545</v>
      </c>
      <c r="Y9" s="999">
        <f t="shared" si="0"/>
        <v>575</v>
      </c>
      <c r="Z9" s="999">
        <f t="shared" si="0"/>
        <v>606</v>
      </c>
      <c r="AA9" s="999">
        <f t="shared" si="0"/>
        <v>637</v>
      </c>
      <c r="AB9" s="999">
        <f t="shared" si="0"/>
        <v>667</v>
      </c>
      <c r="AC9" s="999">
        <f t="shared" si="0"/>
        <v>698</v>
      </c>
      <c r="AD9" s="999">
        <f t="shared" si="0"/>
        <v>728</v>
      </c>
      <c r="AE9" s="999">
        <f t="shared" si="0"/>
        <v>759</v>
      </c>
      <c r="AF9" s="999">
        <f t="shared" si="0"/>
        <v>790</v>
      </c>
      <c r="AG9" s="999">
        <f t="shared" si="0"/>
        <v>818</v>
      </c>
      <c r="AH9" s="999">
        <f t="shared" si="0"/>
        <v>849</v>
      </c>
      <c r="AI9" s="999">
        <f t="shared" si="0"/>
        <v>879</v>
      </c>
      <c r="AJ9" s="999">
        <f t="shared" si="0"/>
        <v>910</v>
      </c>
      <c r="AK9" s="999">
        <f t="shared" si="0"/>
        <v>940</v>
      </c>
      <c r="AL9" s="999">
        <f t="shared" si="0"/>
        <v>971</v>
      </c>
      <c r="AM9" s="999">
        <f t="shared" si="0"/>
        <v>1002</v>
      </c>
      <c r="AN9" s="999">
        <f t="shared" si="0"/>
        <v>1032</v>
      </c>
      <c r="AO9" s="999">
        <f t="shared" si="0"/>
        <v>1063</v>
      </c>
      <c r="AP9" s="999">
        <f t="shared" si="0"/>
        <v>1093</v>
      </c>
      <c r="AQ9" s="999">
        <f t="shared" si="0"/>
        <v>1124</v>
      </c>
      <c r="AR9" s="999">
        <f t="shared" si="0"/>
        <v>1155</v>
      </c>
      <c r="AS9" s="999">
        <f t="shared" si="0"/>
        <v>1183</v>
      </c>
      <c r="AT9" s="999">
        <f t="shared" si="0"/>
        <v>1214</v>
      </c>
      <c r="AU9" s="999">
        <f t="shared" si="0"/>
        <v>1244</v>
      </c>
      <c r="AV9" s="999">
        <f t="shared" si="0"/>
        <v>1275</v>
      </c>
      <c r="AW9" s="999">
        <f t="shared" si="0"/>
        <v>1305</v>
      </c>
      <c r="AX9" s="999">
        <f t="shared" si="0"/>
        <v>1336</v>
      </c>
      <c r="AY9" s="999">
        <f t="shared" si="0"/>
        <v>1367</v>
      </c>
      <c r="AZ9" s="999">
        <f t="shared" si="0"/>
        <v>1397</v>
      </c>
      <c r="BA9" s="999">
        <f t="shared" si="0"/>
        <v>1428</v>
      </c>
      <c r="BB9" s="999">
        <f t="shared" si="0"/>
        <v>1458</v>
      </c>
      <c r="BC9" s="999"/>
      <c r="BD9" s="1089"/>
      <c r="BM9" s="975" t="s">
        <v>2393</v>
      </c>
    </row>
    <row r="10" spans="1:65" s="1000" customFormat="1" ht="16.2" thickBot="1" x14ac:dyDescent="0.35">
      <c r="B10" s="1098"/>
      <c r="C10" s="1099"/>
      <c r="D10" s="1099"/>
      <c r="E10" s="1100" t="s">
        <v>2383</v>
      </c>
      <c r="F10" s="1001">
        <v>0</v>
      </c>
      <c r="G10" s="1002">
        <f>F10+1</f>
        <v>1</v>
      </c>
      <c r="H10" s="1002">
        <f t="shared" ref="H10:BB10" si="1">G10+1</f>
        <v>2</v>
      </c>
      <c r="I10" s="1002">
        <f t="shared" si="1"/>
        <v>3</v>
      </c>
      <c r="J10" s="1002">
        <f t="shared" si="1"/>
        <v>4</v>
      </c>
      <c r="K10" s="1002">
        <f t="shared" si="1"/>
        <v>5</v>
      </c>
      <c r="L10" s="1002">
        <f t="shared" si="1"/>
        <v>6</v>
      </c>
      <c r="M10" s="1002">
        <f t="shared" si="1"/>
        <v>7</v>
      </c>
      <c r="N10" s="1002">
        <f t="shared" si="1"/>
        <v>8</v>
      </c>
      <c r="O10" s="1002">
        <f t="shared" si="1"/>
        <v>9</v>
      </c>
      <c r="P10" s="1002">
        <f t="shared" si="1"/>
        <v>10</v>
      </c>
      <c r="Q10" s="1002">
        <f t="shared" si="1"/>
        <v>11</v>
      </c>
      <c r="R10" s="1002">
        <f t="shared" si="1"/>
        <v>12</v>
      </c>
      <c r="S10" s="1002">
        <f t="shared" si="1"/>
        <v>13</v>
      </c>
      <c r="T10" s="1002">
        <f t="shared" si="1"/>
        <v>14</v>
      </c>
      <c r="U10" s="1002">
        <f t="shared" si="1"/>
        <v>15</v>
      </c>
      <c r="V10" s="1002">
        <f t="shared" si="1"/>
        <v>16</v>
      </c>
      <c r="W10" s="1002">
        <f t="shared" si="1"/>
        <v>17</v>
      </c>
      <c r="X10" s="1002">
        <f t="shared" si="1"/>
        <v>18</v>
      </c>
      <c r="Y10" s="1002">
        <f t="shared" si="1"/>
        <v>19</v>
      </c>
      <c r="Z10" s="1002">
        <f t="shared" si="1"/>
        <v>20</v>
      </c>
      <c r="AA10" s="1002">
        <f t="shared" si="1"/>
        <v>21</v>
      </c>
      <c r="AB10" s="1002">
        <f t="shared" si="1"/>
        <v>22</v>
      </c>
      <c r="AC10" s="1002">
        <f t="shared" si="1"/>
        <v>23</v>
      </c>
      <c r="AD10" s="1002">
        <f t="shared" si="1"/>
        <v>24</v>
      </c>
      <c r="AE10" s="1002">
        <f t="shared" si="1"/>
        <v>25</v>
      </c>
      <c r="AF10" s="1002">
        <f t="shared" si="1"/>
        <v>26</v>
      </c>
      <c r="AG10" s="1002">
        <f t="shared" si="1"/>
        <v>27</v>
      </c>
      <c r="AH10" s="1002">
        <f t="shared" si="1"/>
        <v>28</v>
      </c>
      <c r="AI10" s="1002">
        <f t="shared" si="1"/>
        <v>29</v>
      </c>
      <c r="AJ10" s="1002">
        <f t="shared" si="1"/>
        <v>30</v>
      </c>
      <c r="AK10" s="1002">
        <f t="shared" si="1"/>
        <v>31</v>
      </c>
      <c r="AL10" s="1002">
        <f t="shared" si="1"/>
        <v>32</v>
      </c>
      <c r="AM10" s="1002">
        <f t="shared" si="1"/>
        <v>33</v>
      </c>
      <c r="AN10" s="1002">
        <f t="shared" si="1"/>
        <v>34</v>
      </c>
      <c r="AO10" s="1002">
        <f t="shared" si="1"/>
        <v>35</v>
      </c>
      <c r="AP10" s="1002">
        <f t="shared" si="1"/>
        <v>36</v>
      </c>
      <c r="AQ10" s="1002">
        <f t="shared" si="1"/>
        <v>37</v>
      </c>
      <c r="AR10" s="1002">
        <f t="shared" si="1"/>
        <v>38</v>
      </c>
      <c r="AS10" s="1002">
        <f t="shared" si="1"/>
        <v>39</v>
      </c>
      <c r="AT10" s="1002">
        <f t="shared" si="1"/>
        <v>40</v>
      </c>
      <c r="AU10" s="1002">
        <f t="shared" si="1"/>
        <v>41</v>
      </c>
      <c r="AV10" s="1002">
        <f t="shared" si="1"/>
        <v>42</v>
      </c>
      <c r="AW10" s="1002">
        <f t="shared" si="1"/>
        <v>43</v>
      </c>
      <c r="AX10" s="1002">
        <f t="shared" si="1"/>
        <v>44</v>
      </c>
      <c r="AY10" s="1002">
        <f t="shared" si="1"/>
        <v>45</v>
      </c>
      <c r="AZ10" s="1002">
        <f t="shared" si="1"/>
        <v>46</v>
      </c>
      <c r="BA10" s="1002">
        <f t="shared" si="1"/>
        <v>47</v>
      </c>
      <c r="BB10" s="1002">
        <f t="shared" si="1"/>
        <v>48</v>
      </c>
      <c r="BC10" s="1002"/>
      <c r="BD10" s="1090"/>
      <c r="BM10" s="975" t="s">
        <v>2385</v>
      </c>
    </row>
    <row r="11" spans="1:65" s="975" customFormat="1" ht="16.2" thickBot="1" x14ac:dyDescent="0.3">
      <c r="B11" s="1003" t="s">
        <v>2396</v>
      </c>
      <c r="C11" s="1965" t="s">
        <v>1178</v>
      </c>
      <c r="D11" s="1965"/>
      <c r="E11" s="1004" t="s">
        <v>2382</v>
      </c>
      <c r="F11" s="1004"/>
      <c r="G11" s="1004"/>
      <c r="H11" s="1004"/>
      <c r="I11" s="1004"/>
      <c r="J11" s="1004"/>
      <c r="K11" s="1004"/>
      <c r="L11" s="1004"/>
      <c r="M11" s="1004"/>
      <c r="N11" s="1004"/>
      <c r="O11" s="1004"/>
      <c r="P11" s="1004"/>
      <c r="Q11" s="1004"/>
      <c r="R11" s="1004"/>
      <c r="S11" s="1004"/>
      <c r="T11" s="1004"/>
      <c r="U11" s="1004"/>
      <c r="V11" s="1004"/>
      <c r="W11" s="1004"/>
      <c r="X11" s="1004"/>
      <c r="Y11" s="1004"/>
      <c r="Z11" s="1004"/>
      <c r="AA11" s="1004"/>
      <c r="AB11" s="1004"/>
      <c r="AC11" s="1004"/>
      <c r="AD11" s="1004"/>
      <c r="AE11" s="1004"/>
      <c r="AF11" s="1004"/>
      <c r="AG11" s="1004"/>
      <c r="AH11" s="1004"/>
      <c r="AI11" s="1004"/>
      <c r="AJ11" s="1004"/>
      <c r="AK11" s="1004"/>
      <c r="AL11" s="1004"/>
      <c r="AM11" s="1004"/>
      <c r="AN11" s="1004"/>
      <c r="AO11" s="1004"/>
      <c r="AP11" s="1004"/>
      <c r="AQ11" s="1004"/>
      <c r="AR11" s="1004"/>
      <c r="AS11" s="1004"/>
      <c r="AT11" s="1004"/>
      <c r="AU11" s="1004"/>
      <c r="AV11" s="1004"/>
      <c r="AW11" s="1004"/>
      <c r="AX11" s="1004"/>
      <c r="AY11" s="1004"/>
      <c r="AZ11" s="1004"/>
      <c r="BA11" s="1004"/>
      <c r="BB11" s="1004"/>
      <c r="BC11" s="1004" t="s">
        <v>240</v>
      </c>
      <c r="BD11" s="1005"/>
      <c r="BM11" s="975" t="s">
        <v>2386</v>
      </c>
    </row>
    <row r="12" spans="1:65" s="973" customFormat="1" ht="15.6" x14ac:dyDescent="0.3">
      <c r="B12" s="1006"/>
      <c r="C12" s="1007" t="s">
        <v>964</v>
      </c>
      <c r="D12" s="1008"/>
      <c r="E12" s="1020"/>
      <c r="F12" s="1020"/>
      <c r="G12" s="1020"/>
      <c r="H12" s="1020"/>
      <c r="I12" s="1020"/>
      <c r="J12" s="1020"/>
      <c r="K12" s="1020"/>
      <c r="L12" s="1020"/>
      <c r="M12" s="1020"/>
      <c r="N12" s="1020"/>
      <c r="O12" s="1020"/>
      <c r="P12" s="1020"/>
      <c r="Q12" s="1020"/>
      <c r="R12" s="1020"/>
      <c r="S12" s="1020"/>
      <c r="T12" s="1020"/>
      <c r="U12" s="1020"/>
      <c r="V12" s="1020"/>
      <c r="W12" s="1020"/>
      <c r="X12" s="1020"/>
      <c r="Y12" s="1020"/>
      <c r="Z12" s="1020"/>
      <c r="AA12" s="1020"/>
      <c r="AB12" s="1020"/>
      <c r="AC12" s="1020"/>
      <c r="AD12" s="1020"/>
      <c r="AE12" s="1020"/>
      <c r="AF12" s="1020"/>
      <c r="AG12" s="1020"/>
      <c r="AH12" s="1020"/>
      <c r="AI12" s="1020"/>
      <c r="AJ12" s="1020"/>
      <c r="AK12" s="1020"/>
      <c r="AL12" s="1020"/>
      <c r="AM12" s="1020"/>
      <c r="AN12" s="1020"/>
      <c r="AO12" s="1020"/>
      <c r="AP12" s="1020"/>
      <c r="AQ12" s="1020"/>
      <c r="AR12" s="1020"/>
      <c r="AS12" s="1020"/>
      <c r="AT12" s="1020"/>
      <c r="AU12" s="1020"/>
      <c r="AV12" s="1020"/>
      <c r="AW12" s="1020"/>
      <c r="AX12" s="1020"/>
      <c r="AY12" s="1020"/>
      <c r="AZ12" s="1020"/>
      <c r="BA12" s="1020"/>
      <c r="BB12" s="1020"/>
      <c r="BC12" s="1020"/>
      <c r="BD12" s="1021"/>
      <c r="BM12" s="975" t="s">
        <v>2387</v>
      </c>
    </row>
    <row r="13" spans="1:65" s="973" customFormat="1" ht="15.6" x14ac:dyDescent="0.3">
      <c r="B13" s="1010">
        <f>USES!C22</f>
        <v>13</v>
      </c>
      <c r="C13" s="1011" t="s">
        <v>2376</v>
      </c>
      <c r="D13" s="1012"/>
      <c r="E13" s="1022">
        <f>USES!J22</f>
        <v>0</v>
      </c>
      <c r="F13" s="1017"/>
      <c r="G13" s="1017"/>
      <c r="H13" s="1017"/>
      <c r="I13" s="1017"/>
      <c r="J13" s="1017"/>
      <c r="K13" s="1017"/>
      <c r="L13" s="1017"/>
      <c r="M13" s="1017"/>
      <c r="N13" s="1017"/>
      <c r="O13" s="1017"/>
      <c r="P13" s="1017"/>
      <c r="Q13" s="1017"/>
      <c r="R13" s="1017"/>
      <c r="S13" s="1017"/>
      <c r="T13" s="1017"/>
      <c r="U13" s="1017"/>
      <c r="V13" s="1017"/>
      <c r="W13" s="1017"/>
      <c r="X13" s="1017"/>
      <c r="Y13" s="1017"/>
      <c r="Z13" s="1017"/>
      <c r="AA13" s="1017"/>
      <c r="AB13" s="1017"/>
      <c r="AC13" s="1017"/>
      <c r="AD13" s="1017"/>
      <c r="AE13" s="1017"/>
      <c r="AF13" s="1017"/>
      <c r="AG13" s="1017"/>
      <c r="AH13" s="1017"/>
      <c r="AI13" s="1017"/>
      <c r="AJ13" s="1017"/>
      <c r="AK13" s="1017"/>
      <c r="AL13" s="1017"/>
      <c r="AM13" s="1017"/>
      <c r="AN13" s="1017"/>
      <c r="AO13" s="1017"/>
      <c r="AP13" s="1017"/>
      <c r="AQ13" s="1017"/>
      <c r="AR13" s="1017"/>
      <c r="AS13" s="1017"/>
      <c r="AT13" s="1017"/>
      <c r="AU13" s="1017"/>
      <c r="AV13" s="1017"/>
      <c r="AW13" s="1017"/>
      <c r="AX13" s="1017"/>
      <c r="AY13" s="1017"/>
      <c r="AZ13" s="1017"/>
      <c r="BA13" s="1017"/>
      <c r="BB13" s="1017"/>
      <c r="BC13" s="1022">
        <f>SUM(F13:BB13)</f>
        <v>0</v>
      </c>
      <c r="BD13" s="1028">
        <f>E13-BC13</f>
        <v>0</v>
      </c>
      <c r="BM13" s="975" t="s">
        <v>2388</v>
      </c>
    </row>
    <row r="14" spans="1:65" s="973" customFormat="1" ht="15.6" x14ac:dyDescent="0.3">
      <c r="B14" s="1010">
        <f>USES!C23</f>
        <v>14</v>
      </c>
      <c r="C14" s="1011" t="s">
        <v>745</v>
      </c>
      <c r="D14" s="1012"/>
      <c r="E14" s="1022">
        <f>USES!J23</f>
        <v>0</v>
      </c>
      <c r="F14" s="1017"/>
      <c r="G14" s="1017"/>
      <c r="H14" s="1017"/>
      <c r="I14" s="1017"/>
      <c r="J14" s="1017"/>
      <c r="K14" s="1017"/>
      <c r="L14" s="1017"/>
      <c r="M14" s="1017"/>
      <c r="N14" s="1017"/>
      <c r="O14" s="1017"/>
      <c r="P14" s="1017"/>
      <c r="Q14" s="1017"/>
      <c r="R14" s="1017"/>
      <c r="S14" s="1017"/>
      <c r="T14" s="1017"/>
      <c r="U14" s="1017"/>
      <c r="V14" s="1017"/>
      <c r="W14" s="1017"/>
      <c r="X14" s="1017"/>
      <c r="Y14" s="1017"/>
      <c r="Z14" s="1017"/>
      <c r="AA14" s="1017"/>
      <c r="AB14" s="1017"/>
      <c r="AC14" s="1017"/>
      <c r="AD14" s="1017"/>
      <c r="AE14" s="1017"/>
      <c r="AF14" s="1017"/>
      <c r="AG14" s="1017"/>
      <c r="AH14" s="1017"/>
      <c r="AI14" s="1017"/>
      <c r="AJ14" s="1017"/>
      <c r="AK14" s="1017"/>
      <c r="AL14" s="1017"/>
      <c r="AM14" s="1017"/>
      <c r="AN14" s="1017"/>
      <c r="AO14" s="1017"/>
      <c r="AP14" s="1017"/>
      <c r="AQ14" s="1017"/>
      <c r="AR14" s="1017"/>
      <c r="AS14" s="1017"/>
      <c r="AT14" s="1017"/>
      <c r="AU14" s="1017"/>
      <c r="AV14" s="1017"/>
      <c r="AW14" s="1017"/>
      <c r="AX14" s="1017"/>
      <c r="AY14" s="1017"/>
      <c r="AZ14" s="1017"/>
      <c r="BA14" s="1017"/>
      <c r="BB14" s="1017"/>
      <c r="BC14" s="1022">
        <f t="shared" ref="BC14:BC79" si="2">SUM(F14:BB14)</f>
        <v>0</v>
      </c>
      <c r="BD14" s="1028">
        <f t="shared" ref="BD14:BD79" si="3">E14-BC14</f>
        <v>0</v>
      </c>
      <c r="BM14" s="975" t="s">
        <v>2389</v>
      </c>
    </row>
    <row r="15" spans="1:65" s="973" customFormat="1" ht="15.6" x14ac:dyDescent="0.3">
      <c r="B15" s="1006"/>
      <c r="C15" s="1007" t="s">
        <v>2377</v>
      </c>
      <c r="D15" s="1008"/>
      <c r="E15" s="1020"/>
      <c r="F15" s="1020"/>
      <c r="G15" s="1020"/>
      <c r="H15" s="1020"/>
      <c r="I15" s="1020"/>
      <c r="J15" s="1020"/>
      <c r="K15" s="1020"/>
      <c r="L15" s="1020"/>
      <c r="M15" s="1020"/>
      <c r="N15" s="1020"/>
      <c r="O15" s="1020"/>
      <c r="P15" s="1020"/>
      <c r="Q15" s="1020"/>
      <c r="R15" s="1020"/>
      <c r="S15" s="1020"/>
      <c r="T15" s="1020"/>
      <c r="U15" s="1020"/>
      <c r="V15" s="1020"/>
      <c r="W15" s="1020"/>
      <c r="X15" s="1020"/>
      <c r="Y15" s="1020"/>
      <c r="Z15" s="1020"/>
      <c r="AA15" s="1020"/>
      <c r="AB15" s="1020"/>
      <c r="AC15" s="1020"/>
      <c r="AD15" s="1020"/>
      <c r="AE15" s="1020"/>
      <c r="AF15" s="1020"/>
      <c r="AG15" s="1020"/>
      <c r="AH15" s="1020"/>
      <c r="AI15" s="1020"/>
      <c r="AJ15" s="1020"/>
      <c r="AK15" s="1020"/>
      <c r="AL15" s="1020"/>
      <c r="AM15" s="1020"/>
      <c r="AN15" s="1020"/>
      <c r="AO15" s="1020"/>
      <c r="AP15" s="1020"/>
      <c r="AQ15" s="1020"/>
      <c r="AR15" s="1020"/>
      <c r="AS15" s="1020"/>
      <c r="AT15" s="1020"/>
      <c r="AU15" s="1020"/>
      <c r="AV15" s="1020"/>
      <c r="AW15" s="1020"/>
      <c r="AX15" s="1020"/>
      <c r="AY15" s="1020"/>
      <c r="AZ15" s="1020"/>
      <c r="BA15" s="1020"/>
      <c r="BB15" s="1020"/>
      <c r="BC15" s="1022">
        <f t="shared" si="2"/>
        <v>0</v>
      </c>
      <c r="BD15" s="1028">
        <f t="shared" si="3"/>
        <v>0</v>
      </c>
      <c r="BM15" s="975" t="s">
        <v>2390</v>
      </c>
    </row>
    <row r="16" spans="1:65" s="973" customFormat="1" ht="15.6" x14ac:dyDescent="0.3">
      <c r="B16" s="1010">
        <f>USES!C28</f>
        <v>16</v>
      </c>
      <c r="C16" s="1011" t="str">
        <f>USES!D28</f>
        <v>Architect's Design Fee</v>
      </c>
      <c r="D16" s="1014"/>
      <c r="E16" s="1022">
        <f>USES!J28</f>
        <v>0</v>
      </c>
      <c r="F16" s="1017"/>
      <c r="G16" s="1017"/>
      <c r="H16" s="1017"/>
      <c r="I16" s="1017"/>
      <c r="J16" s="1017"/>
      <c r="K16" s="1017"/>
      <c r="L16" s="1017"/>
      <c r="M16" s="1017"/>
      <c r="N16" s="1017"/>
      <c r="O16" s="1017"/>
      <c r="P16" s="1017"/>
      <c r="Q16" s="1017"/>
      <c r="R16" s="1017"/>
      <c r="S16" s="1017"/>
      <c r="T16" s="1017"/>
      <c r="U16" s="1017"/>
      <c r="V16" s="1017"/>
      <c r="W16" s="1017"/>
      <c r="X16" s="1017"/>
      <c r="Y16" s="1017"/>
      <c r="Z16" s="1017"/>
      <c r="AA16" s="1017"/>
      <c r="AB16" s="1017"/>
      <c r="AC16" s="1017"/>
      <c r="AD16" s="1017"/>
      <c r="AE16" s="1017"/>
      <c r="AF16" s="1017"/>
      <c r="AG16" s="1017"/>
      <c r="AH16" s="1017"/>
      <c r="AI16" s="1017"/>
      <c r="AJ16" s="1017"/>
      <c r="AK16" s="1017"/>
      <c r="AL16" s="1017"/>
      <c r="AM16" s="1017"/>
      <c r="AN16" s="1017"/>
      <c r="AO16" s="1017"/>
      <c r="AP16" s="1017"/>
      <c r="AQ16" s="1017"/>
      <c r="AR16" s="1017"/>
      <c r="AS16" s="1017"/>
      <c r="AT16" s="1017"/>
      <c r="AU16" s="1017"/>
      <c r="AV16" s="1017"/>
      <c r="AW16" s="1017"/>
      <c r="AX16" s="1017"/>
      <c r="AY16" s="1017"/>
      <c r="AZ16" s="1017"/>
      <c r="BA16" s="1017"/>
      <c r="BB16" s="1017"/>
      <c r="BC16" s="1022">
        <f t="shared" si="2"/>
        <v>0</v>
      </c>
      <c r="BD16" s="1028">
        <f t="shared" si="3"/>
        <v>0</v>
      </c>
      <c r="BM16" s="975" t="s">
        <v>2391</v>
      </c>
    </row>
    <row r="17" spans="2:65" s="973" customFormat="1" ht="15.6" x14ac:dyDescent="0.3">
      <c r="B17" s="1010">
        <f>USES!C29</f>
        <v>17</v>
      </c>
      <c r="C17" s="1011" t="str">
        <f>USES!D29</f>
        <v>Architect's Supervision Fee</v>
      </c>
      <c r="D17" s="1015"/>
      <c r="E17" s="1022">
        <f>USES!J29</f>
        <v>0</v>
      </c>
      <c r="F17" s="1017"/>
      <c r="G17" s="1017"/>
      <c r="H17" s="1017"/>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c r="AK17" s="1017"/>
      <c r="AL17" s="1017"/>
      <c r="AM17" s="1017"/>
      <c r="AN17" s="1017"/>
      <c r="AO17" s="1017"/>
      <c r="AP17" s="1017"/>
      <c r="AQ17" s="1017"/>
      <c r="AR17" s="1017"/>
      <c r="AS17" s="1017"/>
      <c r="AT17" s="1017"/>
      <c r="AU17" s="1017"/>
      <c r="AV17" s="1017"/>
      <c r="AW17" s="1017"/>
      <c r="AX17" s="1017"/>
      <c r="AY17" s="1017"/>
      <c r="AZ17" s="1017"/>
      <c r="BA17" s="1017"/>
      <c r="BB17" s="1017"/>
      <c r="BC17" s="1022">
        <f t="shared" si="2"/>
        <v>0</v>
      </c>
      <c r="BD17" s="1028">
        <f t="shared" si="3"/>
        <v>0</v>
      </c>
      <c r="BM17" s="975" t="s">
        <v>2392</v>
      </c>
    </row>
    <row r="18" spans="2:65" s="973" customFormat="1" ht="15.6" x14ac:dyDescent="0.3">
      <c r="B18" s="1010">
        <f>USES!C30</f>
        <v>18</v>
      </c>
      <c r="C18" s="1011" t="str">
        <f>USES!D30</f>
        <v>Architect Reimbursable Additional Design</v>
      </c>
      <c r="D18" s="1014"/>
      <c r="E18" s="1022">
        <f>USES!J30</f>
        <v>0</v>
      </c>
      <c r="F18" s="1017"/>
      <c r="G18" s="1017"/>
      <c r="H18" s="1017"/>
      <c r="I18" s="1017"/>
      <c r="J18" s="1017"/>
      <c r="K18" s="1017"/>
      <c r="L18" s="1017"/>
      <c r="M18" s="1017"/>
      <c r="N18" s="1017"/>
      <c r="O18" s="1017"/>
      <c r="P18" s="1017"/>
      <c r="Q18" s="1017"/>
      <c r="R18" s="1017"/>
      <c r="S18" s="1017"/>
      <c r="T18" s="1017"/>
      <c r="U18" s="1017"/>
      <c r="V18" s="1017"/>
      <c r="W18" s="1017"/>
      <c r="X18" s="1017"/>
      <c r="Y18" s="1017"/>
      <c r="Z18" s="1017"/>
      <c r="AA18" s="1017"/>
      <c r="AB18" s="1017"/>
      <c r="AC18" s="1017"/>
      <c r="AD18" s="1017"/>
      <c r="AE18" s="1017"/>
      <c r="AF18" s="1017"/>
      <c r="AG18" s="1017"/>
      <c r="AH18" s="1017"/>
      <c r="AI18" s="1017"/>
      <c r="AJ18" s="1017"/>
      <c r="AK18" s="1017"/>
      <c r="AL18" s="1017"/>
      <c r="AM18" s="1017"/>
      <c r="AN18" s="1017"/>
      <c r="AO18" s="1017"/>
      <c r="AP18" s="1017"/>
      <c r="AQ18" s="1017"/>
      <c r="AR18" s="1017"/>
      <c r="AS18" s="1017"/>
      <c r="AT18" s="1017"/>
      <c r="AU18" s="1017"/>
      <c r="AV18" s="1017"/>
      <c r="AW18" s="1017"/>
      <c r="AX18" s="1017"/>
      <c r="AY18" s="1017"/>
      <c r="AZ18" s="1017"/>
      <c r="BA18" s="1017"/>
      <c r="BB18" s="1017"/>
      <c r="BC18" s="1022">
        <f t="shared" si="2"/>
        <v>0</v>
      </c>
      <c r="BD18" s="1028">
        <f t="shared" si="3"/>
        <v>0</v>
      </c>
      <c r="BM18" s="975" t="s">
        <v>2399</v>
      </c>
    </row>
    <row r="19" spans="2:65" s="973" customFormat="1" ht="15.6" x14ac:dyDescent="0.3">
      <c r="B19" s="1010">
        <f>USES!C31</f>
        <v>19</v>
      </c>
      <c r="C19" s="1011" t="str">
        <f>USES!D31</f>
        <v>Real Estate Attorney</v>
      </c>
      <c r="D19" s="1014"/>
      <c r="E19" s="1022">
        <f>USES!J31</f>
        <v>0</v>
      </c>
      <c r="F19" s="1017"/>
      <c r="G19" s="1017"/>
      <c r="H19" s="1017"/>
      <c r="I19" s="1017"/>
      <c r="J19" s="1017"/>
      <c r="K19" s="1017"/>
      <c r="L19" s="1017"/>
      <c r="M19" s="1017"/>
      <c r="N19" s="1017"/>
      <c r="O19" s="1017"/>
      <c r="P19" s="1017"/>
      <c r="Q19" s="1017"/>
      <c r="R19" s="1017"/>
      <c r="S19" s="1017"/>
      <c r="T19" s="1017"/>
      <c r="U19" s="1017"/>
      <c r="V19" s="1017"/>
      <c r="W19" s="1017"/>
      <c r="X19" s="1017"/>
      <c r="Y19" s="1017"/>
      <c r="Z19" s="1017"/>
      <c r="AA19" s="1017"/>
      <c r="AB19" s="1017"/>
      <c r="AC19" s="1017"/>
      <c r="AD19" s="1017"/>
      <c r="AE19" s="1017"/>
      <c r="AF19" s="1017"/>
      <c r="AG19" s="1017"/>
      <c r="AH19" s="1017"/>
      <c r="AI19" s="1017"/>
      <c r="AJ19" s="1017"/>
      <c r="AK19" s="1017"/>
      <c r="AL19" s="1017"/>
      <c r="AM19" s="1017"/>
      <c r="AN19" s="1017"/>
      <c r="AO19" s="1017"/>
      <c r="AP19" s="1017"/>
      <c r="AQ19" s="1017"/>
      <c r="AR19" s="1017"/>
      <c r="AS19" s="1017"/>
      <c r="AT19" s="1017"/>
      <c r="AU19" s="1017"/>
      <c r="AV19" s="1017"/>
      <c r="AW19" s="1017"/>
      <c r="AX19" s="1017"/>
      <c r="AY19" s="1017"/>
      <c r="AZ19" s="1017"/>
      <c r="BA19" s="1017"/>
      <c r="BB19" s="1017"/>
      <c r="BC19" s="1022">
        <f t="shared" si="2"/>
        <v>0</v>
      </c>
      <c r="BD19" s="1028">
        <f t="shared" si="3"/>
        <v>0</v>
      </c>
      <c r="BM19" s="975" t="s">
        <v>2375</v>
      </c>
    </row>
    <row r="20" spans="2:65" s="973" customFormat="1" ht="15.6" x14ac:dyDescent="0.3">
      <c r="B20" s="1010">
        <f>USES!C32</f>
        <v>20</v>
      </c>
      <c r="C20" s="1011" t="str">
        <f>USES!D32</f>
        <v>Civil Engineering Design Fee</v>
      </c>
      <c r="D20" s="1014"/>
      <c r="E20" s="1022">
        <f>USES!J32</f>
        <v>0</v>
      </c>
      <c r="F20" s="1017"/>
      <c r="G20" s="1017"/>
      <c r="H20" s="1017"/>
      <c r="I20" s="1017"/>
      <c r="J20" s="1017"/>
      <c r="K20" s="1017"/>
      <c r="L20" s="1017"/>
      <c r="M20" s="1017"/>
      <c r="N20" s="1017"/>
      <c r="O20" s="1017"/>
      <c r="P20" s="1017"/>
      <c r="Q20" s="1017"/>
      <c r="R20" s="1017"/>
      <c r="S20" s="1017"/>
      <c r="T20" s="1017"/>
      <c r="U20" s="1017"/>
      <c r="V20" s="1017"/>
      <c r="W20" s="1017"/>
      <c r="X20" s="1017"/>
      <c r="Y20" s="1017"/>
      <c r="Z20" s="1017"/>
      <c r="AA20" s="1017"/>
      <c r="AB20" s="1017"/>
      <c r="AC20" s="1017"/>
      <c r="AD20" s="1017"/>
      <c r="AE20" s="1017"/>
      <c r="AF20" s="1017"/>
      <c r="AG20" s="1017"/>
      <c r="AH20" s="1017"/>
      <c r="AI20" s="1017"/>
      <c r="AJ20" s="1017"/>
      <c r="AK20" s="1017"/>
      <c r="AL20" s="1017"/>
      <c r="AM20" s="1017"/>
      <c r="AN20" s="1017"/>
      <c r="AO20" s="1017"/>
      <c r="AP20" s="1017"/>
      <c r="AQ20" s="1017"/>
      <c r="AR20" s="1017"/>
      <c r="AS20" s="1017"/>
      <c r="AT20" s="1017"/>
      <c r="AU20" s="1017"/>
      <c r="AV20" s="1017"/>
      <c r="AW20" s="1017"/>
      <c r="AX20" s="1017"/>
      <c r="AY20" s="1017"/>
      <c r="AZ20" s="1017"/>
      <c r="BA20" s="1017"/>
      <c r="BB20" s="1017"/>
      <c r="BC20" s="1022">
        <f t="shared" si="2"/>
        <v>0</v>
      </c>
      <c r="BD20" s="1028">
        <f t="shared" si="3"/>
        <v>0</v>
      </c>
      <c r="BM20" s="1029">
        <v>8609</v>
      </c>
    </row>
    <row r="21" spans="2:65" s="973" customFormat="1" ht="15.6" x14ac:dyDescent="0.3">
      <c r="B21" s="1010">
        <f>USES!C33</f>
        <v>21</v>
      </c>
      <c r="C21" s="1011" t="str">
        <f>USES!D33</f>
        <v>Civil Engineering Supervision Fee</v>
      </c>
      <c r="D21" s="1014"/>
      <c r="E21" s="1022">
        <f>USES!J33</f>
        <v>0</v>
      </c>
      <c r="F21" s="1017"/>
      <c r="G21" s="1017"/>
      <c r="H21" s="1017"/>
      <c r="I21" s="1017"/>
      <c r="J21" s="1017"/>
      <c r="K21" s="1017"/>
      <c r="L21" s="1017"/>
      <c r="M21" s="1017"/>
      <c r="N21" s="1017"/>
      <c r="O21" s="1017"/>
      <c r="P21" s="1017"/>
      <c r="Q21" s="1017"/>
      <c r="R21" s="1017"/>
      <c r="S21" s="1017"/>
      <c r="T21" s="1017"/>
      <c r="U21" s="1017"/>
      <c r="V21" s="1017"/>
      <c r="W21" s="1017"/>
      <c r="X21" s="1017"/>
      <c r="Y21" s="1017"/>
      <c r="Z21" s="1017"/>
      <c r="AA21" s="1017"/>
      <c r="AB21" s="1017"/>
      <c r="AC21" s="1017"/>
      <c r="AD21" s="1017"/>
      <c r="AE21" s="1017"/>
      <c r="AF21" s="1017"/>
      <c r="AG21" s="1017"/>
      <c r="AH21" s="1017"/>
      <c r="AI21" s="1017"/>
      <c r="AJ21" s="1017"/>
      <c r="AK21" s="1017"/>
      <c r="AL21" s="1017"/>
      <c r="AM21" s="1017"/>
      <c r="AN21" s="1017"/>
      <c r="AO21" s="1017"/>
      <c r="AP21" s="1017"/>
      <c r="AQ21" s="1017"/>
      <c r="AR21" s="1017"/>
      <c r="AS21" s="1017"/>
      <c r="AT21" s="1017"/>
      <c r="AU21" s="1017"/>
      <c r="AV21" s="1017"/>
      <c r="AW21" s="1017"/>
      <c r="AX21" s="1017"/>
      <c r="AY21" s="1017"/>
      <c r="AZ21" s="1017"/>
      <c r="BA21" s="1017"/>
      <c r="BB21" s="1017"/>
      <c r="BC21" s="1022">
        <f t="shared" si="2"/>
        <v>0</v>
      </c>
      <c r="BD21" s="1028">
        <f t="shared" si="3"/>
        <v>0</v>
      </c>
      <c r="BM21" s="1029"/>
    </row>
    <row r="22" spans="2:65" s="973" customFormat="1" ht="15.6" x14ac:dyDescent="0.3">
      <c r="B22" s="1010">
        <f>USES!C34</f>
        <v>22</v>
      </c>
      <c r="C22" s="1011" t="str">
        <f>USES!D34</f>
        <v>Marketing</v>
      </c>
      <c r="D22" s="1014"/>
      <c r="E22" s="1022">
        <f>USES!J34</f>
        <v>0</v>
      </c>
      <c r="F22" s="1017"/>
      <c r="G22" s="1017"/>
      <c r="H22" s="1017"/>
      <c r="I22" s="1017"/>
      <c r="J22" s="1017"/>
      <c r="K22" s="1017"/>
      <c r="L22" s="1017"/>
      <c r="M22" s="1017"/>
      <c r="N22" s="1017"/>
      <c r="O22" s="1017"/>
      <c r="P22" s="1017"/>
      <c r="Q22" s="1017"/>
      <c r="R22" s="1017"/>
      <c r="S22" s="1017"/>
      <c r="T22" s="1017"/>
      <c r="U22" s="1017"/>
      <c r="V22" s="1017"/>
      <c r="W22" s="1017"/>
      <c r="X22" s="1017"/>
      <c r="Y22" s="1017"/>
      <c r="Z22" s="1017"/>
      <c r="AA22" s="1017"/>
      <c r="AB22" s="1017"/>
      <c r="AC22" s="1017"/>
      <c r="AD22" s="1017"/>
      <c r="AE22" s="1017"/>
      <c r="AF22" s="1017"/>
      <c r="AG22" s="1017"/>
      <c r="AH22" s="1017"/>
      <c r="AI22" s="1017"/>
      <c r="AJ22" s="1017"/>
      <c r="AK22" s="1017"/>
      <c r="AL22" s="1017"/>
      <c r="AM22" s="1017"/>
      <c r="AN22" s="1017"/>
      <c r="AO22" s="1017"/>
      <c r="AP22" s="1017"/>
      <c r="AQ22" s="1017"/>
      <c r="AR22" s="1017"/>
      <c r="AS22" s="1017"/>
      <c r="AT22" s="1017"/>
      <c r="AU22" s="1017"/>
      <c r="AV22" s="1017"/>
      <c r="AW22" s="1017"/>
      <c r="AX22" s="1017"/>
      <c r="AY22" s="1017"/>
      <c r="AZ22" s="1017"/>
      <c r="BA22" s="1017"/>
      <c r="BB22" s="1017"/>
      <c r="BC22" s="1022">
        <f t="shared" si="2"/>
        <v>0</v>
      </c>
      <c r="BD22" s="1028">
        <f t="shared" si="3"/>
        <v>0</v>
      </c>
      <c r="BM22" s="975"/>
    </row>
    <row r="23" spans="2:65" s="973" customFormat="1" ht="15.6" x14ac:dyDescent="0.3">
      <c r="B23" s="1010">
        <f>USES!C35</f>
        <v>23</v>
      </c>
      <c r="C23" s="1011" t="str">
        <f>USES!D35</f>
        <v>Other:</v>
      </c>
      <c r="D23" s="1014"/>
      <c r="E23" s="1022">
        <f>USES!J35</f>
        <v>0</v>
      </c>
      <c r="F23" s="1017"/>
      <c r="G23" s="1017"/>
      <c r="H23" s="1017"/>
      <c r="I23" s="1017"/>
      <c r="J23" s="1017"/>
      <c r="K23" s="1017"/>
      <c r="L23" s="1017"/>
      <c r="M23" s="1017"/>
      <c r="N23" s="1017"/>
      <c r="O23" s="1017"/>
      <c r="P23" s="1017"/>
      <c r="Q23" s="1017"/>
      <c r="R23" s="1017"/>
      <c r="S23" s="1017"/>
      <c r="T23" s="1017"/>
      <c r="U23" s="1017"/>
      <c r="V23" s="1017"/>
      <c r="W23" s="1017"/>
      <c r="X23" s="1017"/>
      <c r="Y23" s="1017"/>
      <c r="Z23" s="1017"/>
      <c r="AA23" s="1017"/>
      <c r="AB23" s="1017"/>
      <c r="AC23" s="1017"/>
      <c r="AD23" s="1017"/>
      <c r="AE23" s="1017"/>
      <c r="AF23" s="1017"/>
      <c r="AG23" s="1017"/>
      <c r="AH23" s="1017"/>
      <c r="AI23" s="1017"/>
      <c r="AJ23" s="1017"/>
      <c r="AK23" s="1017"/>
      <c r="AL23" s="1017"/>
      <c r="AM23" s="1017"/>
      <c r="AN23" s="1017"/>
      <c r="AO23" s="1017"/>
      <c r="AP23" s="1017"/>
      <c r="AQ23" s="1017"/>
      <c r="AR23" s="1017"/>
      <c r="AS23" s="1017"/>
      <c r="AT23" s="1017"/>
      <c r="AU23" s="1017"/>
      <c r="AV23" s="1017"/>
      <c r="AW23" s="1017"/>
      <c r="AX23" s="1017"/>
      <c r="AY23" s="1017"/>
      <c r="AZ23" s="1017"/>
      <c r="BA23" s="1017"/>
      <c r="BB23" s="1017"/>
      <c r="BC23" s="1022">
        <f t="shared" si="2"/>
        <v>0</v>
      </c>
      <c r="BD23" s="1028">
        <f t="shared" si="3"/>
        <v>0</v>
      </c>
      <c r="BM23" s="975"/>
    </row>
    <row r="24" spans="2:65" s="973" customFormat="1" ht="14.4" x14ac:dyDescent="0.3">
      <c r="B24" s="1010">
        <f>USES!C36</f>
        <v>24</v>
      </c>
      <c r="C24" s="1011" t="str">
        <f>USES!D36</f>
        <v>Surveys</v>
      </c>
      <c r="D24" s="1014"/>
      <c r="E24" s="1022">
        <f>USES!J36</f>
        <v>0</v>
      </c>
      <c r="F24" s="1017"/>
      <c r="G24" s="1017"/>
      <c r="H24" s="1017"/>
      <c r="I24" s="1017"/>
      <c r="J24" s="1017"/>
      <c r="K24" s="1017"/>
      <c r="L24" s="1017"/>
      <c r="M24" s="1017"/>
      <c r="N24" s="1017"/>
      <c r="O24" s="1017"/>
      <c r="P24" s="1017"/>
      <c r="Q24" s="1017"/>
      <c r="R24" s="1017"/>
      <c r="S24" s="1017"/>
      <c r="T24" s="1017"/>
      <c r="U24" s="1017"/>
      <c r="V24" s="1017"/>
      <c r="W24" s="1017"/>
      <c r="X24" s="1017"/>
      <c r="Y24" s="1017"/>
      <c r="Z24" s="1017"/>
      <c r="AA24" s="1017"/>
      <c r="AB24" s="1017"/>
      <c r="AC24" s="1017"/>
      <c r="AD24" s="1017"/>
      <c r="AE24" s="1017"/>
      <c r="AF24" s="1017"/>
      <c r="AG24" s="1017"/>
      <c r="AH24" s="1017"/>
      <c r="AI24" s="1017"/>
      <c r="AJ24" s="1017"/>
      <c r="AK24" s="1017"/>
      <c r="AL24" s="1017"/>
      <c r="AM24" s="1017"/>
      <c r="AN24" s="1017"/>
      <c r="AO24" s="1017"/>
      <c r="AP24" s="1017"/>
      <c r="AQ24" s="1017"/>
      <c r="AR24" s="1017"/>
      <c r="AS24" s="1017"/>
      <c r="AT24" s="1017"/>
      <c r="AU24" s="1017"/>
      <c r="AV24" s="1017"/>
      <c r="AW24" s="1017"/>
      <c r="AX24" s="1017"/>
      <c r="AY24" s="1017"/>
      <c r="AZ24" s="1017"/>
      <c r="BA24" s="1017"/>
      <c r="BB24" s="1017"/>
      <c r="BC24" s="1022">
        <f t="shared" si="2"/>
        <v>0</v>
      </c>
      <c r="BD24" s="1028">
        <f t="shared" si="3"/>
        <v>0</v>
      </c>
    </row>
    <row r="25" spans="2:65" s="973" customFormat="1" ht="14.4" x14ac:dyDescent="0.3">
      <c r="B25" s="1010">
        <f>USES!C37</f>
        <v>25</v>
      </c>
      <c r="C25" s="1011" t="str">
        <f>USES!D37</f>
        <v>Soil Borings</v>
      </c>
      <c r="D25" s="1014"/>
      <c r="E25" s="1022">
        <f>USES!J37</f>
        <v>0</v>
      </c>
      <c r="F25" s="1017"/>
      <c r="G25" s="1017"/>
      <c r="H25" s="1017"/>
      <c r="I25" s="1017"/>
      <c r="J25" s="1017"/>
      <c r="K25" s="1017"/>
      <c r="L25" s="1017"/>
      <c r="M25" s="1017"/>
      <c r="N25" s="1017"/>
      <c r="O25" s="1017"/>
      <c r="P25" s="1017"/>
      <c r="Q25" s="1017"/>
      <c r="R25" s="1017"/>
      <c r="S25" s="1017"/>
      <c r="T25" s="1017"/>
      <c r="U25" s="1017"/>
      <c r="V25" s="1017"/>
      <c r="W25" s="1017"/>
      <c r="X25" s="1017"/>
      <c r="Y25" s="1017"/>
      <c r="Z25" s="1017"/>
      <c r="AA25" s="1017"/>
      <c r="AB25" s="1017"/>
      <c r="AC25" s="1017"/>
      <c r="AD25" s="1017"/>
      <c r="AE25" s="1017"/>
      <c r="AF25" s="1017"/>
      <c r="AG25" s="1017"/>
      <c r="AH25" s="1017"/>
      <c r="AI25" s="1017"/>
      <c r="AJ25" s="1017"/>
      <c r="AK25" s="1017"/>
      <c r="AL25" s="1017"/>
      <c r="AM25" s="1017"/>
      <c r="AN25" s="1017"/>
      <c r="AO25" s="1017"/>
      <c r="AP25" s="1017"/>
      <c r="AQ25" s="1017"/>
      <c r="AR25" s="1017"/>
      <c r="AS25" s="1017"/>
      <c r="AT25" s="1017"/>
      <c r="AU25" s="1017"/>
      <c r="AV25" s="1017"/>
      <c r="AW25" s="1017"/>
      <c r="AX25" s="1017"/>
      <c r="AY25" s="1017"/>
      <c r="AZ25" s="1017"/>
      <c r="BA25" s="1017"/>
      <c r="BB25" s="1017"/>
      <c r="BC25" s="1022">
        <f t="shared" si="2"/>
        <v>0</v>
      </c>
      <c r="BD25" s="1028">
        <f t="shared" si="3"/>
        <v>0</v>
      </c>
    </row>
    <row r="26" spans="2:65" s="973" customFormat="1" ht="14.4" x14ac:dyDescent="0.3">
      <c r="B26" s="1010">
        <f>USES!C38</f>
        <v>26</v>
      </c>
      <c r="C26" s="1011" t="str">
        <f>USES!D38</f>
        <v>Appraisal</v>
      </c>
      <c r="D26" s="1014"/>
      <c r="E26" s="1022">
        <f>USES!J38</f>
        <v>0</v>
      </c>
      <c r="F26" s="1017"/>
      <c r="G26" s="1017"/>
      <c r="H26" s="1017"/>
      <c r="I26" s="1017"/>
      <c r="J26" s="1017"/>
      <c r="K26" s="1017"/>
      <c r="L26" s="1017"/>
      <c r="M26" s="1017"/>
      <c r="N26" s="1017"/>
      <c r="O26" s="1017"/>
      <c r="P26" s="1017"/>
      <c r="Q26" s="1017"/>
      <c r="R26" s="1017"/>
      <c r="S26" s="1017"/>
      <c r="T26" s="1017"/>
      <c r="U26" s="1017"/>
      <c r="V26" s="1017"/>
      <c r="W26" s="1017"/>
      <c r="X26" s="1017"/>
      <c r="Y26" s="1017"/>
      <c r="Z26" s="1017"/>
      <c r="AA26" s="1017"/>
      <c r="AB26" s="1017"/>
      <c r="AC26" s="1017"/>
      <c r="AD26" s="1017"/>
      <c r="AE26" s="1017"/>
      <c r="AF26" s="1017"/>
      <c r="AG26" s="1017"/>
      <c r="AH26" s="1017"/>
      <c r="AI26" s="1017"/>
      <c r="AJ26" s="1017"/>
      <c r="AK26" s="1017"/>
      <c r="AL26" s="1017"/>
      <c r="AM26" s="1017"/>
      <c r="AN26" s="1017"/>
      <c r="AO26" s="1017"/>
      <c r="AP26" s="1017"/>
      <c r="AQ26" s="1017"/>
      <c r="AR26" s="1017"/>
      <c r="AS26" s="1017"/>
      <c r="AT26" s="1017"/>
      <c r="AU26" s="1017"/>
      <c r="AV26" s="1017"/>
      <c r="AW26" s="1017"/>
      <c r="AX26" s="1017"/>
      <c r="AY26" s="1017"/>
      <c r="AZ26" s="1017"/>
      <c r="BA26" s="1017"/>
      <c r="BB26" s="1017"/>
      <c r="BC26" s="1022">
        <f t="shared" si="2"/>
        <v>0</v>
      </c>
      <c r="BD26" s="1028">
        <f t="shared" si="3"/>
        <v>0</v>
      </c>
    </row>
    <row r="27" spans="2:65" s="973" customFormat="1" ht="14.4" x14ac:dyDescent="0.3">
      <c r="B27" s="1010">
        <f>USES!C39</f>
        <v>27</v>
      </c>
      <c r="C27" s="1011" t="str">
        <f>USES!D39</f>
        <v>Market Study</v>
      </c>
      <c r="D27" s="1014"/>
      <c r="E27" s="1022">
        <f>USES!J39</f>
        <v>0</v>
      </c>
      <c r="F27" s="1017"/>
      <c r="G27" s="1017"/>
      <c r="H27" s="1017"/>
      <c r="I27" s="1017"/>
      <c r="J27" s="1017"/>
      <c r="K27" s="1017"/>
      <c r="L27" s="1017"/>
      <c r="M27" s="1017"/>
      <c r="N27" s="1017"/>
      <c r="O27" s="1017"/>
      <c r="P27" s="1017"/>
      <c r="Q27" s="1017"/>
      <c r="R27" s="1017"/>
      <c r="S27" s="1017"/>
      <c r="T27" s="1017"/>
      <c r="U27" s="1017"/>
      <c r="V27" s="1017"/>
      <c r="W27" s="1017"/>
      <c r="X27" s="1017"/>
      <c r="Y27" s="1017"/>
      <c r="Z27" s="1017"/>
      <c r="AA27" s="1017"/>
      <c r="AB27" s="1017"/>
      <c r="AC27" s="1017"/>
      <c r="AD27" s="1017"/>
      <c r="AE27" s="1017"/>
      <c r="AF27" s="1017"/>
      <c r="AG27" s="1017"/>
      <c r="AH27" s="1017"/>
      <c r="AI27" s="1017"/>
      <c r="AJ27" s="1017"/>
      <c r="AK27" s="1017"/>
      <c r="AL27" s="1017"/>
      <c r="AM27" s="1017"/>
      <c r="AN27" s="1017"/>
      <c r="AO27" s="1017"/>
      <c r="AP27" s="1017"/>
      <c r="AQ27" s="1017"/>
      <c r="AR27" s="1017"/>
      <c r="AS27" s="1017"/>
      <c r="AT27" s="1017"/>
      <c r="AU27" s="1017"/>
      <c r="AV27" s="1017"/>
      <c r="AW27" s="1017"/>
      <c r="AX27" s="1017"/>
      <c r="AY27" s="1017"/>
      <c r="AZ27" s="1017"/>
      <c r="BA27" s="1017"/>
      <c r="BB27" s="1017"/>
      <c r="BC27" s="1022">
        <f t="shared" si="2"/>
        <v>0</v>
      </c>
      <c r="BD27" s="1028">
        <f t="shared" si="3"/>
        <v>0</v>
      </c>
    </row>
    <row r="28" spans="2:65" s="973" customFormat="1" ht="14.4" x14ac:dyDescent="0.3">
      <c r="B28" s="1010">
        <f>USES!C40</f>
        <v>28</v>
      </c>
      <c r="C28" s="1011" t="str">
        <f>USES!D40</f>
        <v>Environmental Report</v>
      </c>
      <c r="D28" s="1014"/>
      <c r="E28" s="1022">
        <f>USES!J40</f>
        <v>0</v>
      </c>
      <c r="F28" s="1017"/>
      <c r="G28" s="1017"/>
      <c r="H28" s="1017"/>
      <c r="I28" s="1017"/>
      <c r="J28" s="1017"/>
      <c r="K28" s="1017"/>
      <c r="L28" s="1017"/>
      <c r="M28" s="1017"/>
      <c r="N28" s="1017"/>
      <c r="O28" s="1017"/>
      <c r="P28" s="1017"/>
      <c r="Q28" s="1017"/>
      <c r="R28" s="1017"/>
      <c r="S28" s="1017"/>
      <c r="T28" s="1017"/>
      <c r="U28" s="1017"/>
      <c r="V28" s="1017"/>
      <c r="W28" s="1017"/>
      <c r="X28" s="1017"/>
      <c r="Y28" s="1017"/>
      <c r="Z28" s="1017"/>
      <c r="AA28" s="1017"/>
      <c r="AB28" s="1017"/>
      <c r="AC28" s="1017"/>
      <c r="AD28" s="1017"/>
      <c r="AE28" s="1017"/>
      <c r="AF28" s="1017"/>
      <c r="AG28" s="1017"/>
      <c r="AH28" s="1017"/>
      <c r="AI28" s="1017"/>
      <c r="AJ28" s="1017"/>
      <c r="AK28" s="1017"/>
      <c r="AL28" s="1017"/>
      <c r="AM28" s="1017"/>
      <c r="AN28" s="1017"/>
      <c r="AO28" s="1017"/>
      <c r="AP28" s="1017"/>
      <c r="AQ28" s="1017"/>
      <c r="AR28" s="1017"/>
      <c r="AS28" s="1017"/>
      <c r="AT28" s="1017"/>
      <c r="AU28" s="1017"/>
      <c r="AV28" s="1017"/>
      <c r="AW28" s="1017"/>
      <c r="AX28" s="1017"/>
      <c r="AY28" s="1017"/>
      <c r="AZ28" s="1017"/>
      <c r="BA28" s="1017"/>
      <c r="BB28" s="1017"/>
      <c r="BC28" s="1022">
        <f t="shared" si="2"/>
        <v>0</v>
      </c>
      <c r="BD28" s="1028">
        <f t="shared" si="3"/>
        <v>0</v>
      </c>
    </row>
    <row r="29" spans="2:65" s="973" customFormat="1" ht="14.4" x14ac:dyDescent="0.3">
      <c r="B29" s="1010">
        <f>USES!C41</f>
        <v>29</v>
      </c>
      <c r="C29" s="1011" t="str">
        <f>USES!D41</f>
        <v>Environmental Consultant</v>
      </c>
      <c r="D29" s="1014"/>
      <c r="E29" s="1022">
        <f>USES!J41</f>
        <v>0</v>
      </c>
      <c r="F29" s="1017"/>
      <c r="G29" s="1017"/>
      <c r="H29" s="1017"/>
      <c r="I29" s="1017"/>
      <c r="J29" s="1017"/>
      <c r="K29" s="1017"/>
      <c r="L29" s="1017"/>
      <c r="M29" s="1017"/>
      <c r="N29" s="1017"/>
      <c r="O29" s="1017"/>
      <c r="P29" s="1017"/>
      <c r="Q29" s="1017"/>
      <c r="R29" s="1017"/>
      <c r="S29" s="1017"/>
      <c r="T29" s="1017"/>
      <c r="U29" s="1017"/>
      <c r="V29" s="1017"/>
      <c r="W29" s="1017"/>
      <c r="X29" s="1017"/>
      <c r="Y29" s="1017"/>
      <c r="Z29" s="1017"/>
      <c r="AA29" s="1017"/>
      <c r="AB29" s="1017"/>
      <c r="AC29" s="1017"/>
      <c r="AD29" s="1017"/>
      <c r="AE29" s="1017"/>
      <c r="AF29" s="1017"/>
      <c r="AG29" s="1017"/>
      <c r="AH29" s="1017"/>
      <c r="AI29" s="1017"/>
      <c r="AJ29" s="1017"/>
      <c r="AK29" s="1017"/>
      <c r="AL29" s="1017"/>
      <c r="AM29" s="1017"/>
      <c r="AN29" s="1017"/>
      <c r="AO29" s="1017"/>
      <c r="AP29" s="1017"/>
      <c r="AQ29" s="1017"/>
      <c r="AR29" s="1017"/>
      <c r="AS29" s="1017"/>
      <c r="AT29" s="1017"/>
      <c r="AU29" s="1017"/>
      <c r="AV29" s="1017"/>
      <c r="AW29" s="1017"/>
      <c r="AX29" s="1017"/>
      <c r="AY29" s="1017"/>
      <c r="AZ29" s="1017"/>
      <c r="BA29" s="1017"/>
      <c r="BB29" s="1017"/>
      <c r="BC29" s="1022">
        <f t="shared" si="2"/>
        <v>0</v>
      </c>
      <c r="BD29" s="1028">
        <f t="shared" si="3"/>
        <v>0</v>
      </c>
    </row>
    <row r="30" spans="2:65" s="973" customFormat="1" ht="14.4" x14ac:dyDescent="0.3">
      <c r="B30" s="1010">
        <f>USES!C42</f>
        <v>30</v>
      </c>
      <c r="C30" s="1011" t="str">
        <f>USES!D42</f>
        <v>Building Permits and Fees</v>
      </c>
      <c r="D30" s="1014"/>
      <c r="E30" s="1022">
        <f>USES!J42</f>
        <v>0</v>
      </c>
      <c r="F30" s="1017"/>
      <c r="G30" s="1017"/>
      <c r="H30" s="1017"/>
      <c r="I30" s="1017"/>
      <c r="J30" s="1017"/>
      <c r="K30" s="1017"/>
      <c r="L30" s="1017"/>
      <c r="M30" s="1017"/>
      <c r="N30" s="1017"/>
      <c r="O30" s="1017"/>
      <c r="P30" s="1017"/>
      <c r="Q30" s="1017"/>
      <c r="R30" s="1017"/>
      <c r="S30" s="1017"/>
      <c r="T30" s="1017"/>
      <c r="U30" s="1017"/>
      <c r="V30" s="1017"/>
      <c r="W30" s="1017"/>
      <c r="X30" s="1017"/>
      <c r="Y30" s="1017"/>
      <c r="Z30" s="1017"/>
      <c r="AA30" s="1017"/>
      <c r="AB30" s="1017"/>
      <c r="AC30" s="1017"/>
      <c r="AD30" s="1017"/>
      <c r="AE30" s="1017"/>
      <c r="AF30" s="1017"/>
      <c r="AG30" s="1017"/>
      <c r="AH30" s="1017"/>
      <c r="AI30" s="1017"/>
      <c r="AJ30" s="1017"/>
      <c r="AK30" s="1017"/>
      <c r="AL30" s="1017"/>
      <c r="AM30" s="1017"/>
      <c r="AN30" s="1017"/>
      <c r="AO30" s="1017"/>
      <c r="AP30" s="1017"/>
      <c r="AQ30" s="1017"/>
      <c r="AR30" s="1017"/>
      <c r="AS30" s="1017"/>
      <c r="AT30" s="1017"/>
      <c r="AU30" s="1017"/>
      <c r="AV30" s="1017"/>
      <c r="AW30" s="1017"/>
      <c r="AX30" s="1017"/>
      <c r="AY30" s="1017"/>
      <c r="AZ30" s="1017"/>
      <c r="BA30" s="1017"/>
      <c r="BB30" s="1017"/>
      <c r="BC30" s="1022">
        <f t="shared" si="2"/>
        <v>0</v>
      </c>
      <c r="BD30" s="1028">
        <f t="shared" si="3"/>
        <v>0</v>
      </c>
    </row>
    <row r="31" spans="2:65" s="973" customFormat="1" ht="14.4" x14ac:dyDescent="0.3">
      <c r="B31" s="1010">
        <f>USES!C43</f>
        <v>31</v>
      </c>
      <c r="C31" s="1011" t="str">
        <f>USES!D43</f>
        <v>Tap Fees</v>
      </c>
      <c r="D31" s="1014"/>
      <c r="E31" s="1022">
        <f>USES!J43</f>
        <v>0</v>
      </c>
      <c r="F31" s="1017"/>
      <c r="G31" s="1017"/>
      <c r="H31" s="1017"/>
      <c r="I31" s="1017"/>
      <c r="J31" s="1017"/>
      <c r="K31" s="1017"/>
      <c r="L31" s="1017"/>
      <c r="M31" s="1017"/>
      <c r="N31" s="1017"/>
      <c r="O31" s="1017"/>
      <c r="P31" s="1017"/>
      <c r="Q31" s="1017"/>
      <c r="R31" s="1017"/>
      <c r="S31" s="1017"/>
      <c r="T31" s="1017"/>
      <c r="U31" s="1017"/>
      <c r="V31" s="1017"/>
      <c r="W31" s="1017"/>
      <c r="X31" s="1017"/>
      <c r="Y31" s="1017"/>
      <c r="Z31" s="1017"/>
      <c r="AA31" s="1017"/>
      <c r="AB31" s="1017"/>
      <c r="AC31" s="1017"/>
      <c r="AD31" s="1017"/>
      <c r="AE31" s="1017"/>
      <c r="AF31" s="1017"/>
      <c r="AG31" s="1017"/>
      <c r="AH31" s="1017"/>
      <c r="AI31" s="1017"/>
      <c r="AJ31" s="1017"/>
      <c r="AK31" s="1017"/>
      <c r="AL31" s="1017"/>
      <c r="AM31" s="1017"/>
      <c r="AN31" s="1017"/>
      <c r="AO31" s="1017"/>
      <c r="AP31" s="1017"/>
      <c r="AQ31" s="1017"/>
      <c r="AR31" s="1017"/>
      <c r="AS31" s="1017"/>
      <c r="AT31" s="1017"/>
      <c r="AU31" s="1017"/>
      <c r="AV31" s="1017"/>
      <c r="AW31" s="1017"/>
      <c r="AX31" s="1017"/>
      <c r="AY31" s="1017"/>
      <c r="AZ31" s="1017"/>
      <c r="BA31" s="1017"/>
      <c r="BB31" s="1017"/>
      <c r="BC31" s="1022">
        <f t="shared" si="2"/>
        <v>0</v>
      </c>
      <c r="BD31" s="1028">
        <f t="shared" si="3"/>
        <v>0</v>
      </c>
    </row>
    <row r="32" spans="2:65" s="973" customFormat="1" ht="14.4" x14ac:dyDescent="0.3">
      <c r="B32" s="1010">
        <f>USES!C44</f>
        <v>32</v>
      </c>
      <c r="C32" s="1011" t="str">
        <f>USES!D44</f>
        <v>FF&amp;E</v>
      </c>
      <c r="D32" s="1014"/>
      <c r="E32" s="1022">
        <f>USES!J44</f>
        <v>0</v>
      </c>
      <c r="F32" s="1017"/>
      <c r="G32" s="1017"/>
      <c r="H32" s="1017"/>
      <c r="I32" s="1017"/>
      <c r="J32" s="1017"/>
      <c r="K32" s="1017"/>
      <c r="L32" s="1017"/>
      <c r="M32" s="1017"/>
      <c r="N32" s="1017"/>
      <c r="O32" s="1017"/>
      <c r="P32" s="1017"/>
      <c r="Q32" s="1017"/>
      <c r="R32" s="1017"/>
      <c r="S32" s="1017"/>
      <c r="T32" s="1017"/>
      <c r="U32" s="1017"/>
      <c r="V32" s="1017"/>
      <c r="W32" s="1017"/>
      <c r="X32" s="1017"/>
      <c r="Y32" s="1017"/>
      <c r="Z32" s="1017"/>
      <c r="AA32" s="1017"/>
      <c r="AB32" s="1017"/>
      <c r="AC32" s="1017"/>
      <c r="AD32" s="1017"/>
      <c r="AE32" s="1017"/>
      <c r="AF32" s="1017"/>
      <c r="AG32" s="1017"/>
      <c r="AH32" s="1017"/>
      <c r="AI32" s="1017"/>
      <c r="AJ32" s="1017"/>
      <c r="AK32" s="1017"/>
      <c r="AL32" s="1017"/>
      <c r="AM32" s="1017"/>
      <c r="AN32" s="1017"/>
      <c r="AO32" s="1017"/>
      <c r="AP32" s="1017"/>
      <c r="AQ32" s="1017"/>
      <c r="AR32" s="1017"/>
      <c r="AS32" s="1017"/>
      <c r="AT32" s="1017"/>
      <c r="AU32" s="1017"/>
      <c r="AV32" s="1017"/>
      <c r="AW32" s="1017"/>
      <c r="AX32" s="1017"/>
      <c r="AY32" s="1017"/>
      <c r="AZ32" s="1017"/>
      <c r="BA32" s="1017"/>
      <c r="BB32" s="1017"/>
      <c r="BC32" s="1022">
        <f t="shared" si="2"/>
        <v>0</v>
      </c>
      <c r="BD32" s="1028">
        <f t="shared" si="3"/>
        <v>0</v>
      </c>
    </row>
    <row r="33" spans="2:56" s="973" customFormat="1" ht="14.4" x14ac:dyDescent="0.3">
      <c r="B33" s="1010">
        <f>USES!C45</f>
        <v>33</v>
      </c>
      <c r="C33" s="1011" t="str">
        <f>USES!D45</f>
        <v>Accessibility Consultant Design Fee</v>
      </c>
      <c r="D33" s="1014"/>
      <c r="E33" s="1022">
        <f>USES!J45</f>
        <v>0</v>
      </c>
      <c r="F33" s="1017"/>
      <c r="G33" s="1017"/>
      <c r="H33" s="1017"/>
      <c r="I33" s="1017"/>
      <c r="J33" s="1017"/>
      <c r="K33" s="1017"/>
      <c r="L33" s="1017"/>
      <c r="M33" s="1017"/>
      <c r="N33" s="1017"/>
      <c r="O33" s="1017"/>
      <c r="P33" s="1017"/>
      <c r="Q33" s="1017"/>
      <c r="R33" s="1017"/>
      <c r="S33" s="1017"/>
      <c r="T33" s="1017"/>
      <c r="U33" s="1017"/>
      <c r="V33" s="1017"/>
      <c r="W33" s="1017"/>
      <c r="X33" s="1017"/>
      <c r="Y33" s="1017"/>
      <c r="Z33" s="1017"/>
      <c r="AA33" s="1017"/>
      <c r="AB33" s="1017"/>
      <c r="AC33" s="1017"/>
      <c r="AD33" s="1017"/>
      <c r="AE33" s="1017"/>
      <c r="AF33" s="1017"/>
      <c r="AG33" s="1017"/>
      <c r="AH33" s="1017"/>
      <c r="AI33" s="1017"/>
      <c r="AJ33" s="1017"/>
      <c r="AK33" s="1017"/>
      <c r="AL33" s="1017"/>
      <c r="AM33" s="1017"/>
      <c r="AN33" s="1017"/>
      <c r="AO33" s="1017"/>
      <c r="AP33" s="1017"/>
      <c r="AQ33" s="1017"/>
      <c r="AR33" s="1017"/>
      <c r="AS33" s="1017"/>
      <c r="AT33" s="1017"/>
      <c r="AU33" s="1017"/>
      <c r="AV33" s="1017"/>
      <c r="AW33" s="1017"/>
      <c r="AX33" s="1017"/>
      <c r="AY33" s="1017"/>
      <c r="AZ33" s="1017"/>
      <c r="BA33" s="1017"/>
      <c r="BB33" s="1017"/>
      <c r="BC33" s="1022">
        <f t="shared" si="2"/>
        <v>0</v>
      </c>
      <c r="BD33" s="1028">
        <f t="shared" si="3"/>
        <v>0</v>
      </c>
    </row>
    <row r="34" spans="2:56" s="973" customFormat="1" ht="14.4" x14ac:dyDescent="0.3">
      <c r="B34" s="1010">
        <f>USES!C46</f>
        <v>34</v>
      </c>
      <c r="C34" s="1011" t="str">
        <f>USES!D46</f>
        <v>Accessibility Consultant Supervision Fee</v>
      </c>
      <c r="D34" s="1014"/>
      <c r="E34" s="1022">
        <f>USES!J46</f>
        <v>0</v>
      </c>
      <c r="F34" s="1017"/>
      <c r="G34" s="1017"/>
      <c r="H34" s="1017"/>
      <c r="I34" s="1017"/>
      <c r="J34" s="1017"/>
      <c r="K34" s="1017"/>
      <c r="L34" s="1017"/>
      <c r="M34" s="1017"/>
      <c r="N34" s="1017"/>
      <c r="O34" s="1017"/>
      <c r="P34" s="1017"/>
      <c r="Q34" s="1017"/>
      <c r="R34" s="1017"/>
      <c r="S34" s="1017"/>
      <c r="T34" s="1017"/>
      <c r="U34" s="1017"/>
      <c r="V34" s="1017"/>
      <c r="W34" s="1017"/>
      <c r="X34" s="1017"/>
      <c r="Y34" s="1017"/>
      <c r="Z34" s="1017"/>
      <c r="AA34" s="1017"/>
      <c r="AB34" s="1017"/>
      <c r="AC34" s="1017"/>
      <c r="AD34" s="1017"/>
      <c r="AE34" s="1017"/>
      <c r="AF34" s="1017"/>
      <c r="AG34" s="1017"/>
      <c r="AH34" s="1017"/>
      <c r="AI34" s="1017"/>
      <c r="AJ34" s="1017"/>
      <c r="AK34" s="1017"/>
      <c r="AL34" s="1017"/>
      <c r="AM34" s="1017"/>
      <c r="AN34" s="1017"/>
      <c r="AO34" s="1017"/>
      <c r="AP34" s="1017"/>
      <c r="AQ34" s="1017"/>
      <c r="AR34" s="1017"/>
      <c r="AS34" s="1017"/>
      <c r="AT34" s="1017"/>
      <c r="AU34" s="1017"/>
      <c r="AV34" s="1017"/>
      <c r="AW34" s="1017"/>
      <c r="AX34" s="1017"/>
      <c r="AY34" s="1017"/>
      <c r="AZ34" s="1017"/>
      <c r="BA34" s="1017"/>
      <c r="BB34" s="1017"/>
      <c r="BC34" s="1022">
        <f t="shared" si="2"/>
        <v>0</v>
      </c>
      <c r="BD34" s="1028">
        <f t="shared" si="3"/>
        <v>0</v>
      </c>
    </row>
    <row r="35" spans="2:56" s="973" customFormat="1" ht="14.4" x14ac:dyDescent="0.3">
      <c r="B35" s="1010">
        <f>USES!C47</f>
        <v>35</v>
      </c>
      <c r="C35" s="1011" t="str">
        <f>USES!D47</f>
        <v>Energy/Green Consultant Design Fee</v>
      </c>
      <c r="D35" s="1014"/>
      <c r="E35" s="1022">
        <f>USES!J47</f>
        <v>0</v>
      </c>
      <c r="F35" s="1017"/>
      <c r="G35" s="1017"/>
      <c r="H35" s="1017"/>
      <c r="I35" s="1017"/>
      <c r="J35" s="1017"/>
      <c r="K35" s="1017"/>
      <c r="L35" s="1017"/>
      <c r="M35" s="1017"/>
      <c r="N35" s="1017"/>
      <c r="O35" s="1017"/>
      <c r="P35" s="1017"/>
      <c r="Q35" s="1017"/>
      <c r="R35" s="1017"/>
      <c r="S35" s="1017"/>
      <c r="T35" s="1017"/>
      <c r="U35" s="1017"/>
      <c r="V35" s="1017"/>
      <c r="W35" s="1017"/>
      <c r="X35" s="1017"/>
      <c r="Y35" s="1017"/>
      <c r="Z35" s="1017"/>
      <c r="AA35" s="1017"/>
      <c r="AB35" s="1017"/>
      <c r="AC35" s="1017"/>
      <c r="AD35" s="1017"/>
      <c r="AE35" s="1017"/>
      <c r="AF35" s="1017"/>
      <c r="AG35" s="1017"/>
      <c r="AH35" s="1017"/>
      <c r="AI35" s="1017"/>
      <c r="AJ35" s="1017"/>
      <c r="AK35" s="1017"/>
      <c r="AL35" s="1017"/>
      <c r="AM35" s="1017"/>
      <c r="AN35" s="1017"/>
      <c r="AO35" s="1017"/>
      <c r="AP35" s="1017"/>
      <c r="AQ35" s="1017"/>
      <c r="AR35" s="1017"/>
      <c r="AS35" s="1017"/>
      <c r="AT35" s="1017"/>
      <c r="AU35" s="1017"/>
      <c r="AV35" s="1017"/>
      <c r="AW35" s="1017"/>
      <c r="AX35" s="1017"/>
      <c r="AY35" s="1017"/>
      <c r="AZ35" s="1017"/>
      <c r="BA35" s="1017"/>
      <c r="BB35" s="1017"/>
      <c r="BC35" s="1022">
        <f t="shared" si="2"/>
        <v>0</v>
      </c>
      <c r="BD35" s="1028">
        <f t="shared" si="3"/>
        <v>0</v>
      </c>
    </row>
    <row r="36" spans="2:56" s="973" customFormat="1" ht="14.4" x14ac:dyDescent="0.3">
      <c r="B36" s="1010">
        <f>USES!C48</f>
        <v>36</v>
      </c>
      <c r="C36" s="1011" t="str">
        <f>USES!D48</f>
        <v>Energy/Green Consultant Supervision Fee</v>
      </c>
      <c r="D36" s="1394"/>
      <c r="E36" s="1022">
        <f>USES!J48</f>
        <v>0</v>
      </c>
      <c r="F36" s="1396"/>
      <c r="G36" s="1396"/>
      <c r="H36" s="1396"/>
      <c r="I36" s="1396"/>
      <c r="J36" s="1396"/>
      <c r="K36" s="1396"/>
      <c r="L36" s="1396"/>
      <c r="M36" s="1396"/>
      <c r="N36" s="1396"/>
      <c r="O36" s="1396"/>
      <c r="P36" s="1396"/>
      <c r="Q36" s="1396"/>
      <c r="R36" s="1396"/>
      <c r="S36" s="1396"/>
      <c r="T36" s="1396"/>
      <c r="U36" s="1396"/>
      <c r="V36" s="1396"/>
      <c r="W36" s="1396"/>
      <c r="X36" s="1396"/>
      <c r="Y36" s="1396"/>
      <c r="Z36" s="1396"/>
      <c r="AA36" s="1396"/>
      <c r="AB36" s="1396"/>
      <c r="AC36" s="1396"/>
      <c r="AD36" s="1396"/>
      <c r="AE36" s="1396"/>
      <c r="AF36" s="1396"/>
      <c r="AG36" s="1396"/>
      <c r="AH36" s="1396"/>
      <c r="AI36" s="1396"/>
      <c r="AJ36" s="1396"/>
      <c r="AK36" s="1396"/>
      <c r="AL36" s="1396"/>
      <c r="AM36" s="1396"/>
      <c r="AN36" s="1396"/>
      <c r="AO36" s="1396"/>
      <c r="AP36" s="1396"/>
      <c r="AQ36" s="1396"/>
      <c r="AR36" s="1396"/>
      <c r="AS36" s="1396"/>
      <c r="AT36" s="1396"/>
      <c r="AU36" s="1396"/>
      <c r="AV36" s="1396"/>
      <c r="AW36" s="1396"/>
      <c r="AX36" s="1396"/>
      <c r="AY36" s="1396"/>
      <c r="AZ36" s="1396"/>
      <c r="BA36" s="1396"/>
      <c r="BB36" s="1396"/>
      <c r="BC36" s="1395"/>
      <c r="BD36" s="1397"/>
    </row>
    <row r="37" spans="2:56" s="973" customFormat="1" ht="14.4" x14ac:dyDescent="0.3">
      <c r="B37" s="1010">
        <f>USES!C49</f>
        <v>37</v>
      </c>
      <c r="C37" s="1011" t="str">
        <f>USES!D49</f>
        <v>Offsite Infrastructure - Outside of the GC Agreement</v>
      </c>
      <c r="D37" s="1394"/>
      <c r="E37" s="1022">
        <f>USES!J49</f>
        <v>0</v>
      </c>
      <c r="F37" s="1396"/>
      <c r="G37" s="1396"/>
      <c r="H37" s="1396"/>
      <c r="I37" s="1396"/>
      <c r="J37" s="1396"/>
      <c r="K37" s="1396"/>
      <c r="L37" s="1396"/>
      <c r="M37" s="1396"/>
      <c r="N37" s="1396"/>
      <c r="O37" s="1396"/>
      <c r="P37" s="1396"/>
      <c r="Q37" s="1396"/>
      <c r="R37" s="1396"/>
      <c r="S37" s="1396"/>
      <c r="T37" s="1396"/>
      <c r="U37" s="1396"/>
      <c r="V37" s="1396"/>
      <c r="W37" s="1396"/>
      <c r="X37" s="1396"/>
      <c r="Y37" s="1396"/>
      <c r="Z37" s="1396"/>
      <c r="AA37" s="1396"/>
      <c r="AB37" s="1396"/>
      <c r="AC37" s="1396"/>
      <c r="AD37" s="1396"/>
      <c r="AE37" s="1396"/>
      <c r="AF37" s="1396"/>
      <c r="AG37" s="1396"/>
      <c r="AH37" s="1396"/>
      <c r="AI37" s="1396"/>
      <c r="AJ37" s="1396"/>
      <c r="AK37" s="1396"/>
      <c r="AL37" s="1396"/>
      <c r="AM37" s="1396"/>
      <c r="AN37" s="1396"/>
      <c r="AO37" s="1396"/>
      <c r="AP37" s="1396"/>
      <c r="AQ37" s="1396"/>
      <c r="AR37" s="1396"/>
      <c r="AS37" s="1396"/>
      <c r="AT37" s="1396"/>
      <c r="AU37" s="1396"/>
      <c r="AV37" s="1396"/>
      <c r="AW37" s="1396"/>
      <c r="AX37" s="1396"/>
      <c r="AY37" s="1396"/>
      <c r="AZ37" s="1396"/>
      <c r="BA37" s="1396"/>
      <c r="BB37" s="1396"/>
      <c r="BC37" s="1395"/>
      <c r="BD37" s="1397"/>
    </row>
    <row r="38" spans="2:56" s="973" customFormat="1" ht="14.4" x14ac:dyDescent="0.3">
      <c r="B38" s="1010">
        <f>USES!C50</f>
        <v>38</v>
      </c>
      <c r="C38" s="1011" t="str">
        <f>USES!D50</f>
        <v>Solar Installation - Outside of the GC Agreement</v>
      </c>
      <c r="D38" s="1394"/>
      <c r="E38" s="1022">
        <f>USES!J50</f>
        <v>0</v>
      </c>
      <c r="F38" s="1396"/>
      <c r="G38" s="1396"/>
      <c r="H38" s="1396"/>
      <c r="I38" s="1396"/>
      <c r="J38" s="1396"/>
      <c r="K38" s="1396"/>
      <c r="L38" s="1396"/>
      <c r="M38" s="1396"/>
      <c r="N38" s="1396"/>
      <c r="O38" s="1396"/>
      <c r="P38" s="1396"/>
      <c r="Q38" s="1396"/>
      <c r="R38" s="1396"/>
      <c r="S38" s="1396"/>
      <c r="T38" s="1396"/>
      <c r="U38" s="1396"/>
      <c r="V38" s="1396"/>
      <c r="W38" s="1396"/>
      <c r="X38" s="1396"/>
      <c r="Y38" s="1396"/>
      <c r="Z38" s="1396"/>
      <c r="AA38" s="1396"/>
      <c r="AB38" s="1396"/>
      <c r="AC38" s="1396"/>
      <c r="AD38" s="1396"/>
      <c r="AE38" s="1396"/>
      <c r="AF38" s="1396"/>
      <c r="AG38" s="1396"/>
      <c r="AH38" s="1396"/>
      <c r="AI38" s="1396"/>
      <c r="AJ38" s="1396"/>
      <c r="AK38" s="1396"/>
      <c r="AL38" s="1396"/>
      <c r="AM38" s="1396"/>
      <c r="AN38" s="1396"/>
      <c r="AO38" s="1396"/>
      <c r="AP38" s="1396"/>
      <c r="AQ38" s="1396"/>
      <c r="AR38" s="1396"/>
      <c r="AS38" s="1396"/>
      <c r="AT38" s="1396"/>
      <c r="AU38" s="1396"/>
      <c r="AV38" s="1396"/>
      <c r="AW38" s="1396"/>
      <c r="AX38" s="1396"/>
      <c r="AY38" s="1396"/>
      <c r="AZ38" s="1396"/>
      <c r="BA38" s="1396"/>
      <c r="BB38" s="1396"/>
      <c r="BC38" s="1395"/>
      <c r="BD38" s="1397"/>
    </row>
    <row r="39" spans="2:56" s="973" customFormat="1" ht="14.4" x14ac:dyDescent="0.3">
      <c r="B39" s="1010">
        <f>USES!C51</f>
        <v>39</v>
      </c>
      <c r="C39" s="1011" t="str">
        <f>USES!D51</f>
        <v>Other:</v>
      </c>
      <c r="D39" s="1014"/>
      <c r="E39" s="1022">
        <f>USES!J51</f>
        <v>0</v>
      </c>
      <c r="F39" s="1017"/>
      <c r="G39" s="1017"/>
      <c r="H39" s="1017"/>
      <c r="I39" s="1017"/>
      <c r="J39" s="1017"/>
      <c r="K39" s="1017"/>
      <c r="L39" s="1017"/>
      <c r="M39" s="1017"/>
      <c r="N39" s="1017"/>
      <c r="O39" s="1017"/>
      <c r="P39" s="1017"/>
      <c r="Q39" s="1017"/>
      <c r="R39" s="1017"/>
      <c r="S39" s="1017"/>
      <c r="T39" s="1017"/>
      <c r="U39" s="1017"/>
      <c r="V39" s="1017"/>
      <c r="W39" s="1017"/>
      <c r="X39" s="1017"/>
      <c r="Y39" s="1017"/>
      <c r="Z39" s="1017"/>
      <c r="AA39" s="1017"/>
      <c r="AB39" s="1017"/>
      <c r="AC39" s="1017"/>
      <c r="AD39" s="1017"/>
      <c r="AE39" s="1017"/>
      <c r="AF39" s="1017"/>
      <c r="AG39" s="1017"/>
      <c r="AH39" s="1017"/>
      <c r="AI39" s="1017"/>
      <c r="AJ39" s="1017"/>
      <c r="AK39" s="1017"/>
      <c r="AL39" s="1017"/>
      <c r="AM39" s="1017"/>
      <c r="AN39" s="1017"/>
      <c r="AO39" s="1017"/>
      <c r="AP39" s="1017"/>
      <c r="AQ39" s="1017"/>
      <c r="AR39" s="1017"/>
      <c r="AS39" s="1017"/>
      <c r="AT39" s="1017"/>
      <c r="AU39" s="1017"/>
      <c r="AV39" s="1017"/>
      <c r="AW39" s="1017"/>
      <c r="AX39" s="1017"/>
      <c r="AY39" s="1017"/>
      <c r="AZ39" s="1017"/>
      <c r="BA39" s="1017"/>
      <c r="BB39" s="1017"/>
      <c r="BC39" s="1022">
        <f t="shared" si="2"/>
        <v>0</v>
      </c>
      <c r="BD39" s="1028">
        <f t="shared" si="3"/>
        <v>0</v>
      </c>
    </row>
    <row r="40" spans="2:56" s="973" customFormat="1" ht="14.4" x14ac:dyDescent="0.3">
      <c r="B40" s="1010">
        <f>USES!C52</f>
        <v>40</v>
      </c>
      <c r="C40" s="1011" t="str">
        <f>USES!D52</f>
        <v>Other:</v>
      </c>
      <c r="D40" s="1014"/>
      <c r="E40" s="1022">
        <f>USES!J52</f>
        <v>0</v>
      </c>
      <c r="F40" s="1017"/>
      <c r="G40" s="1017"/>
      <c r="H40" s="1017"/>
      <c r="I40" s="1017"/>
      <c r="J40" s="1017"/>
      <c r="K40" s="1017"/>
      <c r="L40" s="1017"/>
      <c r="M40" s="1017"/>
      <c r="N40" s="1017"/>
      <c r="O40" s="1017"/>
      <c r="P40" s="1017"/>
      <c r="Q40" s="1017"/>
      <c r="R40" s="1017"/>
      <c r="S40" s="1017"/>
      <c r="T40" s="1017"/>
      <c r="U40" s="1017"/>
      <c r="V40" s="1017"/>
      <c r="W40" s="1017"/>
      <c r="X40" s="1017"/>
      <c r="Y40" s="1017"/>
      <c r="Z40" s="1017"/>
      <c r="AA40" s="1017"/>
      <c r="AB40" s="1017"/>
      <c r="AC40" s="1017"/>
      <c r="AD40" s="1017"/>
      <c r="AE40" s="1017"/>
      <c r="AF40" s="1017"/>
      <c r="AG40" s="1017"/>
      <c r="AH40" s="1017"/>
      <c r="AI40" s="1017"/>
      <c r="AJ40" s="1017"/>
      <c r="AK40" s="1017"/>
      <c r="AL40" s="1017"/>
      <c r="AM40" s="1017"/>
      <c r="AN40" s="1017"/>
      <c r="AO40" s="1017"/>
      <c r="AP40" s="1017"/>
      <c r="AQ40" s="1017"/>
      <c r="AR40" s="1017"/>
      <c r="AS40" s="1017"/>
      <c r="AT40" s="1017"/>
      <c r="AU40" s="1017"/>
      <c r="AV40" s="1017"/>
      <c r="AW40" s="1017"/>
      <c r="AX40" s="1017"/>
      <c r="AY40" s="1017"/>
      <c r="AZ40" s="1017"/>
      <c r="BA40" s="1017"/>
      <c r="BB40" s="1017"/>
      <c r="BC40" s="1022">
        <f t="shared" si="2"/>
        <v>0</v>
      </c>
      <c r="BD40" s="1028">
        <f t="shared" si="3"/>
        <v>0</v>
      </c>
    </row>
    <row r="41" spans="2:56" s="973" customFormat="1" ht="14.4" x14ac:dyDescent="0.3">
      <c r="B41" s="1010">
        <f>USES!C53</f>
        <v>41</v>
      </c>
      <c r="C41" s="1011" t="str">
        <f>USES!D53</f>
        <v>Other:</v>
      </c>
      <c r="D41" s="1014"/>
      <c r="E41" s="1022">
        <f>USES!J53</f>
        <v>0</v>
      </c>
      <c r="F41" s="1017"/>
      <c r="G41" s="1017"/>
      <c r="H41" s="1017"/>
      <c r="I41" s="1017"/>
      <c r="J41" s="1017"/>
      <c r="K41" s="1017"/>
      <c r="L41" s="1017"/>
      <c r="M41" s="1017"/>
      <c r="N41" s="1017"/>
      <c r="O41" s="1017"/>
      <c r="P41" s="1017"/>
      <c r="Q41" s="1017"/>
      <c r="R41" s="1017"/>
      <c r="S41" s="1017"/>
      <c r="T41" s="1017"/>
      <c r="U41" s="1017"/>
      <c r="V41" s="1017"/>
      <c r="W41" s="1017"/>
      <c r="X41" s="1017"/>
      <c r="Y41" s="1017"/>
      <c r="Z41" s="1017"/>
      <c r="AA41" s="1017"/>
      <c r="AB41" s="1017"/>
      <c r="AC41" s="1017"/>
      <c r="AD41" s="1017"/>
      <c r="AE41" s="1017"/>
      <c r="AF41" s="1017"/>
      <c r="AG41" s="1017"/>
      <c r="AH41" s="1017"/>
      <c r="AI41" s="1017"/>
      <c r="AJ41" s="1017"/>
      <c r="AK41" s="1017"/>
      <c r="AL41" s="1017"/>
      <c r="AM41" s="1017"/>
      <c r="AN41" s="1017"/>
      <c r="AO41" s="1017"/>
      <c r="AP41" s="1017"/>
      <c r="AQ41" s="1017"/>
      <c r="AR41" s="1017"/>
      <c r="AS41" s="1017"/>
      <c r="AT41" s="1017"/>
      <c r="AU41" s="1017"/>
      <c r="AV41" s="1017"/>
      <c r="AW41" s="1017"/>
      <c r="AX41" s="1017"/>
      <c r="AY41" s="1017"/>
      <c r="AZ41" s="1017"/>
      <c r="BA41" s="1017"/>
      <c r="BB41" s="1017"/>
      <c r="BC41" s="1022">
        <f t="shared" si="2"/>
        <v>0</v>
      </c>
      <c r="BD41" s="1028">
        <f t="shared" si="3"/>
        <v>0</v>
      </c>
    </row>
    <row r="42" spans="2:56" s="973" customFormat="1" ht="14.4" x14ac:dyDescent="0.3">
      <c r="B42" s="1010">
        <f>USES!C54</f>
        <v>42</v>
      </c>
      <c r="C42" s="1011" t="str">
        <f>USES!D54</f>
        <v>Other:</v>
      </c>
      <c r="D42" s="1014"/>
      <c r="E42" s="1022">
        <f>USES!J54</f>
        <v>0</v>
      </c>
      <c r="F42" s="1017"/>
      <c r="G42" s="1017"/>
      <c r="H42" s="1017"/>
      <c r="I42" s="1017"/>
      <c r="J42" s="1017"/>
      <c r="K42" s="1017"/>
      <c r="L42" s="1017"/>
      <c r="M42" s="1017"/>
      <c r="N42" s="1017"/>
      <c r="O42" s="1017"/>
      <c r="P42" s="1017"/>
      <c r="Q42" s="1017"/>
      <c r="R42" s="1017"/>
      <c r="S42" s="1017"/>
      <c r="T42" s="1017"/>
      <c r="U42" s="1017"/>
      <c r="V42" s="1017"/>
      <c r="W42" s="1017"/>
      <c r="X42" s="1017"/>
      <c r="Y42" s="1017"/>
      <c r="Z42" s="1017"/>
      <c r="AA42" s="1017"/>
      <c r="AB42" s="1017"/>
      <c r="AC42" s="1017"/>
      <c r="AD42" s="1017"/>
      <c r="AE42" s="1017"/>
      <c r="AF42" s="1017"/>
      <c r="AG42" s="1017"/>
      <c r="AH42" s="1017"/>
      <c r="AI42" s="1017"/>
      <c r="AJ42" s="1017"/>
      <c r="AK42" s="1017"/>
      <c r="AL42" s="1017"/>
      <c r="AM42" s="1017"/>
      <c r="AN42" s="1017"/>
      <c r="AO42" s="1017"/>
      <c r="AP42" s="1017"/>
      <c r="AQ42" s="1017"/>
      <c r="AR42" s="1017"/>
      <c r="AS42" s="1017"/>
      <c r="AT42" s="1017"/>
      <c r="AU42" s="1017"/>
      <c r="AV42" s="1017"/>
      <c r="AW42" s="1017"/>
      <c r="AX42" s="1017"/>
      <c r="AY42" s="1017"/>
      <c r="AZ42" s="1017"/>
      <c r="BA42" s="1017"/>
      <c r="BB42" s="1017"/>
      <c r="BC42" s="1022">
        <f t="shared" si="2"/>
        <v>0</v>
      </c>
      <c r="BD42" s="1028">
        <f t="shared" si="3"/>
        <v>0</v>
      </c>
    </row>
    <row r="43" spans="2:56" s="973" customFormat="1" ht="14.4" x14ac:dyDescent="0.3">
      <c r="B43" s="1010">
        <f>USES!C55</f>
        <v>43</v>
      </c>
      <c r="C43" s="1011" t="str">
        <f>USES!D55</f>
        <v>Other:</v>
      </c>
      <c r="D43" s="1014"/>
      <c r="E43" s="1022">
        <f>USES!J55</f>
        <v>0</v>
      </c>
      <c r="F43" s="1017"/>
      <c r="G43" s="1017"/>
      <c r="H43" s="1017"/>
      <c r="I43" s="1017"/>
      <c r="J43" s="1017"/>
      <c r="K43" s="1017"/>
      <c r="L43" s="1017"/>
      <c r="M43" s="1017"/>
      <c r="N43" s="1017"/>
      <c r="O43" s="1017"/>
      <c r="P43" s="1017"/>
      <c r="Q43" s="1017"/>
      <c r="R43" s="1017"/>
      <c r="S43" s="1017"/>
      <c r="T43" s="1017"/>
      <c r="U43" s="1017"/>
      <c r="V43" s="1017"/>
      <c r="W43" s="1017"/>
      <c r="X43" s="1017"/>
      <c r="Y43" s="1017"/>
      <c r="Z43" s="1017"/>
      <c r="AA43" s="1017"/>
      <c r="AB43" s="1017"/>
      <c r="AC43" s="1017"/>
      <c r="AD43" s="1017"/>
      <c r="AE43" s="1017"/>
      <c r="AF43" s="1017"/>
      <c r="AG43" s="1017"/>
      <c r="AH43" s="1017"/>
      <c r="AI43" s="1017"/>
      <c r="AJ43" s="1017"/>
      <c r="AK43" s="1017"/>
      <c r="AL43" s="1017"/>
      <c r="AM43" s="1017"/>
      <c r="AN43" s="1017"/>
      <c r="AO43" s="1017"/>
      <c r="AP43" s="1017"/>
      <c r="AQ43" s="1017"/>
      <c r="AR43" s="1017"/>
      <c r="AS43" s="1017"/>
      <c r="AT43" s="1017"/>
      <c r="AU43" s="1017"/>
      <c r="AV43" s="1017"/>
      <c r="AW43" s="1017"/>
      <c r="AX43" s="1017"/>
      <c r="AY43" s="1017"/>
      <c r="AZ43" s="1017"/>
      <c r="BA43" s="1017"/>
      <c r="BB43" s="1017"/>
      <c r="BC43" s="1022">
        <f t="shared" si="2"/>
        <v>0</v>
      </c>
      <c r="BD43" s="1028">
        <f t="shared" si="3"/>
        <v>0</v>
      </c>
    </row>
    <row r="44" spans="2:56" s="973" customFormat="1" ht="14.4" x14ac:dyDescent="0.3">
      <c r="B44" s="1010">
        <f>USES!C56</f>
        <v>44</v>
      </c>
      <c r="C44" s="1011" t="str">
        <f>USES!D56</f>
        <v>Other:</v>
      </c>
      <c r="D44" s="1014"/>
      <c r="E44" s="1022">
        <f>USES!J56</f>
        <v>0</v>
      </c>
      <c r="F44" s="1017"/>
      <c r="G44" s="1017"/>
      <c r="H44" s="1017"/>
      <c r="I44" s="1017"/>
      <c r="J44" s="1017"/>
      <c r="K44" s="1017"/>
      <c r="L44" s="1017"/>
      <c r="M44" s="1017"/>
      <c r="N44" s="1017"/>
      <c r="O44" s="1017"/>
      <c r="P44" s="1017"/>
      <c r="Q44" s="1017"/>
      <c r="R44" s="1017"/>
      <c r="S44" s="1017"/>
      <c r="T44" s="1017"/>
      <c r="U44" s="1017"/>
      <c r="V44" s="1017"/>
      <c r="W44" s="1017"/>
      <c r="X44" s="1017"/>
      <c r="Y44" s="1017"/>
      <c r="Z44" s="1017"/>
      <c r="AA44" s="1017"/>
      <c r="AB44" s="1017"/>
      <c r="AC44" s="1017"/>
      <c r="AD44" s="1017"/>
      <c r="AE44" s="1017"/>
      <c r="AF44" s="1017"/>
      <c r="AG44" s="1017"/>
      <c r="AH44" s="1017"/>
      <c r="AI44" s="1017"/>
      <c r="AJ44" s="1017"/>
      <c r="AK44" s="1017"/>
      <c r="AL44" s="1017"/>
      <c r="AM44" s="1017"/>
      <c r="AN44" s="1017"/>
      <c r="AO44" s="1017"/>
      <c r="AP44" s="1017"/>
      <c r="AQ44" s="1017"/>
      <c r="AR44" s="1017"/>
      <c r="AS44" s="1017"/>
      <c r="AT44" s="1017"/>
      <c r="AU44" s="1017"/>
      <c r="AV44" s="1017"/>
      <c r="AW44" s="1017"/>
      <c r="AX44" s="1017"/>
      <c r="AY44" s="1017"/>
      <c r="AZ44" s="1017"/>
      <c r="BA44" s="1017"/>
      <c r="BB44" s="1017"/>
      <c r="BC44" s="1022">
        <f t="shared" si="2"/>
        <v>0</v>
      </c>
      <c r="BD44" s="1028">
        <f t="shared" si="3"/>
        <v>0</v>
      </c>
    </row>
    <row r="45" spans="2:56" s="973" customFormat="1" ht="14.4" x14ac:dyDescent="0.3">
      <c r="B45" s="1010">
        <f>USES!C57</f>
        <v>45</v>
      </c>
      <c r="C45" s="1011" t="str">
        <f>USES!D57</f>
        <v>Other:</v>
      </c>
      <c r="D45" s="1014"/>
      <c r="E45" s="1022">
        <f>USES!J57</f>
        <v>0</v>
      </c>
      <c r="F45" s="1017"/>
      <c r="G45" s="1017"/>
      <c r="H45" s="1017"/>
      <c r="I45" s="1017"/>
      <c r="J45" s="1017"/>
      <c r="K45" s="1017"/>
      <c r="L45" s="1017"/>
      <c r="M45" s="1017"/>
      <c r="N45" s="1017"/>
      <c r="O45" s="1017"/>
      <c r="P45" s="1017"/>
      <c r="Q45" s="1017"/>
      <c r="R45" s="1017"/>
      <c r="S45" s="1017"/>
      <c r="T45" s="1017"/>
      <c r="U45" s="1017"/>
      <c r="V45" s="1017"/>
      <c r="W45" s="1017"/>
      <c r="X45" s="1017"/>
      <c r="Y45" s="1017"/>
      <c r="Z45" s="1017"/>
      <c r="AA45" s="1017"/>
      <c r="AB45" s="1017"/>
      <c r="AC45" s="1017"/>
      <c r="AD45" s="1017"/>
      <c r="AE45" s="1017"/>
      <c r="AF45" s="1017"/>
      <c r="AG45" s="1017"/>
      <c r="AH45" s="1017"/>
      <c r="AI45" s="1017"/>
      <c r="AJ45" s="1017"/>
      <c r="AK45" s="1017"/>
      <c r="AL45" s="1017"/>
      <c r="AM45" s="1017"/>
      <c r="AN45" s="1017"/>
      <c r="AO45" s="1017"/>
      <c r="AP45" s="1017"/>
      <c r="AQ45" s="1017"/>
      <c r="AR45" s="1017"/>
      <c r="AS45" s="1017"/>
      <c r="AT45" s="1017"/>
      <c r="AU45" s="1017"/>
      <c r="AV45" s="1017"/>
      <c r="AW45" s="1017"/>
      <c r="AX45" s="1017"/>
      <c r="AY45" s="1017"/>
      <c r="AZ45" s="1017"/>
      <c r="BA45" s="1017"/>
      <c r="BB45" s="1017"/>
      <c r="BC45" s="1022">
        <f t="shared" si="2"/>
        <v>0</v>
      </c>
      <c r="BD45" s="1028">
        <f t="shared" si="3"/>
        <v>0</v>
      </c>
    </row>
    <row r="46" spans="2:56" s="973" customFormat="1" ht="14.4" x14ac:dyDescent="0.3">
      <c r="B46" s="1010">
        <f>USES!C58</f>
        <v>46</v>
      </c>
      <c r="C46" s="1011" t="str">
        <f>USES!D58</f>
        <v>Other:</v>
      </c>
      <c r="D46" s="1014"/>
      <c r="E46" s="1022">
        <f>USES!J58</f>
        <v>0</v>
      </c>
      <c r="F46" s="1017"/>
      <c r="G46" s="1017"/>
      <c r="H46" s="1017"/>
      <c r="I46" s="1017"/>
      <c r="J46" s="1017"/>
      <c r="K46" s="1017"/>
      <c r="L46" s="1017"/>
      <c r="M46" s="1017"/>
      <c r="N46" s="1017"/>
      <c r="O46" s="1017"/>
      <c r="P46" s="1017"/>
      <c r="Q46" s="1017"/>
      <c r="R46" s="1017"/>
      <c r="S46" s="1017"/>
      <c r="T46" s="1017"/>
      <c r="U46" s="1017"/>
      <c r="V46" s="1017"/>
      <c r="W46" s="1017"/>
      <c r="X46" s="1017"/>
      <c r="Y46" s="1017"/>
      <c r="Z46" s="1017"/>
      <c r="AA46" s="1017"/>
      <c r="AB46" s="1017"/>
      <c r="AC46" s="1017"/>
      <c r="AD46" s="1017"/>
      <c r="AE46" s="1017"/>
      <c r="AF46" s="1017"/>
      <c r="AG46" s="1017"/>
      <c r="AH46" s="1017"/>
      <c r="AI46" s="1017"/>
      <c r="AJ46" s="1017"/>
      <c r="AK46" s="1017"/>
      <c r="AL46" s="1017"/>
      <c r="AM46" s="1017"/>
      <c r="AN46" s="1017"/>
      <c r="AO46" s="1017"/>
      <c r="AP46" s="1017"/>
      <c r="AQ46" s="1017"/>
      <c r="AR46" s="1017"/>
      <c r="AS46" s="1017"/>
      <c r="AT46" s="1017"/>
      <c r="AU46" s="1017"/>
      <c r="AV46" s="1017"/>
      <c r="AW46" s="1017"/>
      <c r="AX46" s="1017"/>
      <c r="AY46" s="1017"/>
      <c r="AZ46" s="1017"/>
      <c r="BA46" s="1017"/>
      <c r="BB46" s="1017"/>
      <c r="BC46" s="1022">
        <f t="shared" si="2"/>
        <v>0</v>
      </c>
      <c r="BD46" s="1028">
        <f t="shared" si="3"/>
        <v>0</v>
      </c>
    </row>
    <row r="47" spans="2:56" s="973" customFormat="1" ht="14.4" x14ac:dyDescent="0.3">
      <c r="B47" s="1010">
        <f>USES!C59</f>
        <v>47</v>
      </c>
      <c r="C47" s="1011" t="str">
        <f>USES!D59</f>
        <v>Other:</v>
      </c>
      <c r="D47" s="1014"/>
      <c r="E47" s="1022">
        <f>USES!J59</f>
        <v>0</v>
      </c>
      <c r="F47" s="1017"/>
      <c r="G47" s="1017"/>
      <c r="H47" s="1017"/>
      <c r="I47" s="1017"/>
      <c r="J47" s="1017"/>
      <c r="K47" s="1017"/>
      <c r="L47" s="1017"/>
      <c r="M47" s="1017"/>
      <c r="N47" s="1017"/>
      <c r="O47" s="1017"/>
      <c r="P47" s="1017"/>
      <c r="Q47" s="1017"/>
      <c r="R47" s="1017"/>
      <c r="S47" s="1017"/>
      <c r="T47" s="1017"/>
      <c r="U47" s="1017"/>
      <c r="V47" s="1017"/>
      <c r="W47" s="1017"/>
      <c r="X47" s="1017"/>
      <c r="Y47" s="1017"/>
      <c r="Z47" s="1017"/>
      <c r="AA47" s="1017"/>
      <c r="AB47" s="1017"/>
      <c r="AC47" s="1017"/>
      <c r="AD47" s="1017"/>
      <c r="AE47" s="1017"/>
      <c r="AF47" s="1017"/>
      <c r="AG47" s="1017"/>
      <c r="AH47" s="1017"/>
      <c r="AI47" s="1017"/>
      <c r="AJ47" s="1017"/>
      <c r="AK47" s="1017"/>
      <c r="AL47" s="1017"/>
      <c r="AM47" s="1017"/>
      <c r="AN47" s="1017"/>
      <c r="AO47" s="1017"/>
      <c r="AP47" s="1017"/>
      <c r="AQ47" s="1017"/>
      <c r="AR47" s="1017"/>
      <c r="AS47" s="1017"/>
      <c r="AT47" s="1017"/>
      <c r="AU47" s="1017"/>
      <c r="AV47" s="1017"/>
      <c r="AW47" s="1017"/>
      <c r="AX47" s="1017"/>
      <c r="AY47" s="1017"/>
      <c r="AZ47" s="1017"/>
      <c r="BA47" s="1017"/>
      <c r="BB47" s="1017"/>
      <c r="BC47" s="1022">
        <f t="shared" si="2"/>
        <v>0</v>
      </c>
      <c r="BD47" s="1028">
        <f t="shared" si="3"/>
        <v>0</v>
      </c>
    </row>
    <row r="48" spans="2:56" s="973" customFormat="1" ht="14.4" x14ac:dyDescent="0.3">
      <c r="B48" s="1010">
        <f>USES!C60</f>
        <v>48</v>
      </c>
      <c r="C48" s="1011" t="str">
        <f>USES!D60</f>
        <v>Other:</v>
      </c>
      <c r="D48" s="1014"/>
      <c r="E48" s="1022">
        <f>USES!J60</f>
        <v>0</v>
      </c>
      <c r="F48" s="1017"/>
      <c r="G48" s="1017"/>
      <c r="H48" s="1017"/>
      <c r="I48" s="1017"/>
      <c r="J48" s="1017"/>
      <c r="K48" s="1017"/>
      <c r="L48" s="1017"/>
      <c r="M48" s="1017"/>
      <c r="N48" s="1017"/>
      <c r="O48" s="1017"/>
      <c r="P48" s="1017"/>
      <c r="Q48" s="1017"/>
      <c r="R48" s="1017"/>
      <c r="S48" s="1017"/>
      <c r="T48" s="1017"/>
      <c r="U48" s="1017"/>
      <c r="V48" s="1017"/>
      <c r="W48" s="1017"/>
      <c r="X48" s="1017"/>
      <c r="Y48" s="1017"/>
      <c r="Z48" s="1017"/>
      <c r="AA48" s="1017"/>
      <c r="AB48" s="1017"/>
      <c r="AC48" s="1017"/>
      <c r="AD48" s="1017"/>
      <c r="AE48" s="1017"/>
      <c r="AF48" s="1017"/>
      <c r="AG48" s="1017"/>
      <c r="AH48" s="1017"/>
      <c r="AI48" s="1017"/>
      <c r="AJ48" s="1017"/>
      <c r="AK48" s="1017"/>
      <c r="AL48" s="1017"/>
      <c r="AM48" s="1017"/>
      <c r="AN48" s="1017"/>
      <c r="AO48" s="1017"/>
      <c r="AP48" s="1017"/>
      <c r="AQ48" s="1017"/>
      <c r="AR48" s="1017"/>
      <c r="AS48" s="1017"/>
      <c r="AT48" s="1017"/>
      <c r="AU48" s="1017"/>
      <c r="AV48" s="1017"/>
      <c r="AW48" s="1017"/>
      <c r="AX48" s="1017"/>
      <c r="AY48" s="1017"/>
      <c r="AZ48" s="1017"/>
      <c r="BA48" s="1017"/>
      <c r="BB48" s="1017"/>
      <c r="BC48" s="1022">
        <f t="shared" si="2"/>
        <v>0</v>
      </c>
      <c r="BD48" s="1028">
        <f t="shared" si="3"/>
        <v>0</v>
      </c>
    </row>
    <row r="49" spans="2:56" s="973" customFormat="1" ht="14.4" x14ac:dyDescent="0.3">
      <c r="B49" s="1006"/>
      <c r="C49" s="1007" t="s">
        <v>763</v>
      </c>
      <c r="D49" s="1008"/>
      <c r="E49" s="1020"/>
      <c r="F49" s="1020"/>
      <c r="G49" s="1020"/>
      <c r="H49" s="1020"/>
      <c r="I49" s="1020"/>
      <c r="J49" s="1020"/>
      <c r="K49" s="1020"/>
      <c r="L49" s="1020"/>
      <c r="M49" s="1020"/>
      <c r="N49" s="1020"/>
      <c r="O49" s="1020"/>
      <c r="P49" s="1020"/>
      <c r="Q49" s="1020"/>
      <c r="R49" s="1020"/>
      <c r="S49" s="1020"/>
      <c r="T49" s="1020"/>
      <c r="U49" s="1020"/>
      <c r="V49" s="1020"/>
      <c r="W49" s="1020"/>
      <c r="X49" s="1020"/>
      <c r="Y49" s="1020"/>
      <c r="Z49" s="1020"/>
      <c r="AA49" s="1020"/>
      <c r="AB49" s="1020"/>
      <c r="AC49" s="1020"/>
      <c r="AD49" s="1020"/>
      <c r="AE49" s="1020"/>
      <c r="AF49" s="1020"/>
      <c r="AG49" s="1020"/>
      <c r="AH49" s="1020"/>
      <c r="AI49" s="1020"/>
      <c r="AJ49" s="1020"/>
      <c r="AK49" s="1020"/>
      <c r="AL49" s="1020"/>
      <c r="AM49" s="1020"/>
      <c r="AN49" s="1020"/>
      <c r="AO49" s="1020"/>
      <c r="AP49" s="1020"/>
      <c r="AQ49" s="1020"/>
      <c r="AR49" s="1020"/>
      <c r="AS49" s="1020"/>
      <c r="AT49" s="1020"/>
      <c r="AU49" s="1020"/>
      <c r="AV49" s="1020"/>
      <c r="AW49" s="1020"/>
      <c r="AX49" s="1020"/>
      <c r="AY49" s="1020"/>
      <c r="AZ49" s="1020"/>
      <c r="BA49" s="1020"/>
      <c r="BB49" s="1020"/>
      <c r="BC49" s="1022">
        <f t="shared" si="2"/>
        <v>0</v>
      </c>
      <c r="BD49" s="1028">
        <f t="shared" si="3"/>
        <v>0</v>
      </c>
    </row>
    <row r="50" spans="2:56" s="973" customFormat="1" ht="14.4" x14ac:dyDescent="0.3">
      <c r="B50" s="1010">
        <f>USES!C65</f>
        <v>50</v>
      </c>
      <c r="C50" s="1011" t="str">
        <f>USES!D65</f>
        <v>Construction Loan Interest</v>
      </c>
      <c r="D50" s="1014"/>
      <c r="E50" s="1022">
        <f>USES!J65</f>
        <v>0</v>
      </c>
      <c r="F50" s="1017"/>
      <c r="G50" s="1017"/>
      <c r="H50" s="1017"/>
      <c r="I50" s="1017"/>
      <c r="J50" s="1017"/>
      <c r="K50" s="1017"/>
      <c r="L50" s="1017"/>
      <c r="M50" s="1017"/>
      <c r="N50" s="1017"/>
      <c r="O50" s="1017"/>
      <c r="P50" s="1017"/>
      <c r="Q50" s="1017"/>
      <c r="R50" s="1017"/>
      <c r="S50" s="1017"/>
      <c r="T50" s="1017"/>
      <c r="U50" s="1017"/>
      <c r="V50" s="1017"/>
      <c r="W50" s="1017"/>
      <c r="X50" s="1017"/>
      <c r="Y50" s="1017"/>
      <c r="Z50" s="1017"/>
      <c r="AA50" s="1017"/>
      <c r="AB50" s="1017"/>
      <c r="AC50" s="1017"/>
      <c r="AD50" s="1017"/>
      <c r="AE50" s="1017"/>
      <c r="AF50" s="1017"/>
      <c r="AG50" s="1017"/>
      <c r="AH50" s="1017"/>
      <c r="AI50" s="1017"/>
      <c r="AJ50" s="1017"/>
      <c r="AK50" s="1017"/>
      <c r="AL50" s="1017"/>
      <c r="AM50" s="1017"/>
      <c r="AN50" s="1017"/>
      <c r="AO50" s="1017"/>
      <c r="AP50" s="1017"/>
      <c r="AQ50" s="1017"/>
      <c r="AR50" s="1017"/>
      <c r="AS50" s="1017"/>
      <c r="AT50" s="1017"/>
      <c r="AU50" s="1017"/>
      <c r="AV50" s="1017"/>
      <c r="AW50" s="1017"/>
      <c r="AX50" s="1017"/>
      <c r="AY50" s="1017"/>
      <c r="AZ50" s="1017"/>
      <c r="BA50" s="1017"/>
      <c r="BB50" s="1017"/>
      <c r="BC50" s="1022">
        <f t="shared" si="2"/>
        <v>0</v>
      </c>
      <c r="BD50" s="1028">
        <f t="shared" si="3"/>
        <v>0</v>
      </c>
    </row>
    <row r="51" spans="2:56" s="973" customFormat="1" ht="14.4" x14ac:dyDescent="0.3">
      <c r="B51" s="1010">
        <f>USES!C66</f>
        <v>51</v>
      </c>
      <c r="C51" s="1011" t="str">
        <f>USES!D66</f>
        <v>Bond Interest</v>
      </c>
      <c r="D51" s="1014"/>
      <c r="E51" s="1022">
        <f>USES!J66</f>
        <v>0</v>
      </c>
      <c r="F51" s="1017"/>
      <c r="G51" s="1017"/>
      <c r="H51" s="1017"/>
      <c r="I51" s="1017"/>
      <c r="J51" s="1017"/>
      <c r="K51" s="1017"/>
      <c r="L51" s="1017"/>
      <c r="M51" s="1017"/>
      <c r="N51" s="1017"/>
      <c r="O51" s="1017"/>
      <c r="P51" s="1017"/>
      <c r="Q51" s="1017"/>
      <c r="R51" s="1017"/>
      <c r="S51" s="1017"/>
      <c r="T51" s="1017"/>
      <c r="U51" s="1017"/>
      <c r="V51" s="1017"/>
      <c r="W51" s="1017"/>
      <c r="X51" s="1017"/>
      <c r="Y51" s="1017"/>
      <c r="Z51" s="1017"/>
      <c r="AA51" s="1017"/>
      <c r="AB51" s="1017"/>
      <c r="AC51" s="1017"/>
      <c r="AD51" s="1017"/>
      <c r="AE51" s="1017"/>
      <c r="AF51" s="1017"/>
      <c r="AG51" s="1017"/>
      <c r="AH51" s="1017"/>
      <c r="AI51" s="1017"/>
      <c r="AJ51" s="1017"/>
      <c r="AK51" s="1017"/>
      <c r="AL51" s="1017"/>
      <c r="AM51" s="1017"/>
      <c r="AN51" s="1017"/>
      <c r="AO51" s="1017"/>
      <c r="AP51" s="1017"/>
      <c r="AQ51" s="1017"/>
      <c r="AR51" s="1017"/>
      <c r="AS51" s="1017"/>
      <c r="AT51" s="1017"/>
      <c r="AU51" s="1017"/>
      <c r="AV51" s="1017"/>
      <c r="AW51" s="1017"/>
      <c r="AX51" s="1017"/>
      <c r="AY51" s="1017"/>
      <c r="AZ51" s="1017"/>
      <c r="BA51" s="1017"/>
      <c r="BB51" s="1017"/>
      <c r="BC51" s="1022">
        <f t="shared" si="2"/>
        <v>0</v>
      </c>
      <c r="BD51" s="1028">
        <f t="shared" si="3"/>
        <v>0</v>
      </c>
    </row>
    <row r="52" spans="2:56" s="973" customFormat="1" ht="14.4" x14ac:dyDescent="0.3">
      <c r="B52" s="1010">
        <f>USES!C67</f>
        <v>52</v>
      </c>
      <c r="C52" s="1011" t="str">
        <f>USES!D67</f>
        <v>Negative Arbitrage</v>
      </c>
      <c r="D52" s="1014"/>
      <c r="E52" s="1022">
        <f>USES!J67</f>
        <v>0</v>
      </c>
      <c r="F52" s="1017"/>
      <c r="G52" s="1017"/>
      <c r="H52" s="1017"/>
      <c r="I52" s="1017"/>
      <c r="J52" s="1017"/>
      <c r="K52" s="1017"/>
      <c r="L52" s="1017"/>
      <c r="M52" s="1017"/>
      <c r="N52" s="1017"/>
      <c r="O52" s="1017"/>
      <c r="P52" s="1017"/>
      <c r="Q52" s="1017"/>
      <c r="R52" s="1017"/>
      <c r="S52" s="1017"/>
      <c r="T52" s="1017"/>
      <c r="U52" s="1017"/>
      <c r="V52" s="1017"/>
      <c r="W52" s="1017"/>
      <c r="X52" s="1017"/>
      <c r="Y52" s="1017"/>
      <c r="Z52" s="1017"/>
      <c r="AA52" s="1017"/>
      <c r="AB52" s="1017"/>
      <c r="AC52" s="1017"/>
      <c r="AD52" s="1017"/>
      <c r="AE52" s="1017"/>
      <c r="AF52" s="1017"/>
      <c r="AG52" s="1017"/>
      <c r="AH52" s="1017"/>
      <c r="AI52" s="1017"/>
      <c r="AJ52" s="1017"/>
      <c r="AK52" s="1017"/>
      <c r="AL52" s="1017"/>
      <c r="AM52" s="1017"/>
      <c r="AN52" s="1017"/>
      <c r="AO52" s="1017"/>
      <c r="AP52" s="1017"/>
      <c r="AQ52" s="1017"/>
      <c r="AR52" s="1017"/>
      <c r="AS52" s="1017"/>
      <c r="AT52" s="1017"/>
      <c r="AU52" s="1017"/>
      <c r="AV52" s="1017"/>
      <c r="AW52" s="1017"/>
      <c r="AX52" s="1017"/>
      <c r="AY52" s="1017"/>
      <c r="AZ52" s="1017"/>
      <c r="BA52" s="1017"/>
      <c r="BB52" s="1017"/>
      <c r="BC52" s="1022">
        <f t="shared" si="2"/>
        <v>0</v>
      </c>
      <c r="BD52" s="1028">
        <f t="shared" si="3"/>
        <v>0</v>
      </c>
    </row>
    <row r="53" spans="2:56" s="973" customFormat="1" ht="14.4" x14ac:dyDescent="0.3">
      <c r="B53" s="1010">
        <f>USES!C68</f>
        <v>53</v>
      </c>
      <c r="C53" s="1011" t="str">
        <f>USES!D68</f>
        <v>Real Estate Taxes</v>
      </c>
      <c r="D53" s="1014"/>
      <c r="E53" s="1022">
        <f>USES!J68</f>
        <v>0</v>
      </c>
      <c r="F53" s="1017"/>
      <c r="G53" s="1017"/>
      <c r="H53" s="1017"/>
      <c r="I53" s="1017"/>
      <c r="J53" s="1017"/>
      <c r="K53" s="1017"/>
      <c r="L53" s="1017"/>
      <c r="M53" s="1017"/>
      <c r="N53" s="1017"/>
      <c r="O53" s="1017"/>
      <c r="P53" s="1017"/>
      <c r="Q53" s="1017"/>
      <c r="R53" s="1017"/>
      <c r="S53" s="1017"/>
      <c r="T53" s="1017"/>
      <c r="U53" s="1017"/>
      <c r="V53" s="1017"/>
      <c r="W53" s="1017"/>
      <c r="X53" s="1017"/>
      <c r="Y53" s="1017"/>
      <c r="Z53" s="1017"/>
      <c r="AA53" s="1017"/>
      <c r="AB53" s="1017"/>
      <c r="AC53" s="1017"/>
      <c r="AD53" s="1017"/>
      <c r="AE53" s="1017"/>
      <c r="AF53" s="1017"/>
      <c r="AG53" s="1017"/>
      <c r="AH53" s="1017"/>
      <c r="AI53" s="1017"/>
      <c r="AJ53" s="1017"/>
      <c r="AK53" s="1017"/>
      <c r="AL53" s="1017"/>
      <c r="AM53" s="1017"/>
      <c r="AN53" s="1017"/>
      <c r="AO53" s="1017"/>
      <c r="AP53" s="1017"/>
      <c r="AQ53" s="1017"/>
      <c r="AR53" s="1017"/>
      <c r="AS53" s="1017"/>
      <c r="AT53" s="1017"/>
      <c r="AU53" s="1017"/>
      <c r="AV53" s="1017"/>
      <c r="AW53" s="1017"/>
      <c r="AX53" s="1017"/>
      <c r="AY53" s="1017"/>
      <c r="AZ53" s="1017"/>
      <c r="BA53" s="1017"/>
      <c r="BB53" s="1017"/>
      <c r="BC53" s="1022">
        <f t="shared" si="2"/>
        <v>0</v>
      </c>
      <c r="BD53" s="1028">
        <f t="shared" si="3"/>
        <v>0</v>
      </c>
    </row>
    <row r="54" spans="2:56" s="973" customFormat="1" ht="14.4" x14ac:dyDescent="0.3">
      <c r="B54" s="1010">
        <f>USES!C69</f>
        <v>54</v>
      </c>
      <c r="C54" s="1011" t="str">
        <f>USES!D69</f>
        <v>Insurance Premium</v>
      </c>
      <c r="D54" s="1014"/>
      <c r="E54" s="1022">
        <f>USES!J69</f>
        <v>0</v>
      </c>
      <c r="F54" s="1017"/>
      <c r="G54" s="1017"/>
      <c r="H54" s="1017"/>
      <c r="I54" s="1017"/>
      <c r="J54" s="1017"/>
      <c r="K54" s="1017"/>
      <c r="L54" s="1017"/>
      <c r="M54" s="1017"/>
      <c r="N54" s="1017"/>
      <c r="O54" s="1017"/>
      <c r="P54" s="1017"/>
      <c r="Q54" s="1017"/>
      <c r="R54" s="1017"/>
      <c r="S54" s="1017"/>
      <c r="T54" s="1017"/>
      <c r="U54" s="1017"/>
      <c r="V54" s="1017"/>
      <c r="W54" s="1017"/>
      <c r="X54" s="1017"/>
      <c r="Y54" s="1017"/>
      <c r="Z54" s="1017"/>
      <c r="AA54" s="1017"/>
      <c r="AB54" s="1017"/>
      <c r="AC54" s="1017"/>
      <c r="AD54" s="1017"/>
      <c r="AE54" s="1017"/>
      <c r="AF54" s="1017"/>
      <c r="AG54" s="1017"/>
      <c r="AH54" s="1017"/>
      <c r="AI54" s="1017"/>
      <c r="AJ54" s="1017"/>
      <c r="AK54" s="1017"/>
      <c r="AL54" s="1017"/>
      <c r="AM54" s="1017"/>
      <c r="AN54" s="1017"/>
      <c r="AO54" s="1017"/>
      <c r="AP54" s="1017"/>
      <c r="AQ54" s="1017"/>
      <c r="AR54" s="1017"/>
      <c r="AS54" s="1017"/>
      <c r="AT54" s="1017"/>
      <c r="AU54" s="1017"/>
      <c r="AV54" s="1017"/>
      <c r="AW54" s="1017"/>
      <c r="AX54" s="1017"/>
      <c r="AY54" s="1017"/>
      <c r="AZ54" s="1017"/>
      <c r="BA54" s="1017"/>
      <c r="BB54" s="1017"/>
      <c r="BC54" s="1022">
        <f t="shared" si="2"/>
        <v>0</v>
      </c>
      <c r="BD54" s="1028">
        <f t="shared" si="3"/>
        <v>0</v>
      </c>
    </row>
    <row r="55" spans="2:56" s="973" customFormat="1" ht="14.4" x14ac:dyDescent="0.3">
      <c r="B55" s="1010">
        <f>USES!C70</f>
        <v>55</v>
      </c>
      <c r="C55" s="1011" t="str">
        <f>USES!D70</f>
        <v>Mortgage Insurance Premium</v>
      </c>
      <c r="D55" s="1014"/>
      <c r="E55" s="1022">
        <f>USES!J70</f>
        <v>0</v>
      </c>
      <c r="F55" s="1017"/>
      <c r="G55" s="1017"/>
      <c r="H55" s="1017"/>
      <c r="I55" s="1017"/>
      <c r="J55" s="1017"/>
      <c r="K55" s="1017"/>
      <c r="L55" s="1017"/>
      <c r="M55" s="1017"/>
      <c r="N55" s="1017"/>
      <c r="O55" s="1017"/>
      <c r="P55" s="1017"/>
      <c r="Q55" s="1017"/>
      <c r="R55" s="1017"/>
      <c r="S55" s="1017"/>
      <c r="T55" s="1017"/>
      <c r="U55" s="1017"/>
      <c r="V55" s="1017"/>
      <c r="W55" s="1017"/>
      <c r="X55" s="1017"/>
      <c r="Y55" s="1017"/>
      <c r="Z55" s="1017"/>
      <c r="AA55" s="1017"/>
      <c r="AB55" s="1017"/>
      <c r="AC55" s="1017"/>
      <c r="AD55" s="1017"/>
      <c r="AE55" s="1017"/>
      <c r="AF55" s="1017"/>
      <c r="AG55" s="1017"/>
      <c r="AH55" s="1017"/>
      <c r="AI55" s="1017"/>
      <c r="AJ55" s="1017"/>
      <c r="AK55" s="1017"/>
      <c r="AL55" s="1017"/>
      <c r="AM55" s="1017"/>
      <c r="AN55" s="1017"/>
      <c r="AO55" s="1017"/>
      <c r="AP55" s="1017"/>
      <c r="AQ55" s="1017"/>
      <c r="AR55" s="1017"/>
      <c r="AS55" s="1017"/>
      <c r="AT55" s="1017"/>
      <c r="AU55" s="1017"/>
      <c r="AV55" s="1017"/>
      <c r="AW55" s="1017"/>
      <c r="AX55" s="1017"/>
      <c r="AY55" s="1017"/>
      <c r="AZ55" s="1017"/>
      <c r="BA55" s="1017"/>
      <c r="BB55" s="1017"/>
      <c r="BC55" s="1022">
        <f t="shared" si="2"/>
        <v>0</v>
      </c>
      <c r="BD55" s="1028">
        <f t="shared" si="3"/>
        <v>0</v>
      </c>
    </row>
    <row r="56" spans="2:56" s="973" customFormat="1" ht="14.4" x14ac:dyDescent="0.3">
      <c r="B56" s="1010">
        <f>USES!C71</f>
        <v>56</v>
      </c>
      <c r="C56" s="1011" t="str">
        <f>USES!D71</f>
        <v>Title and Recording</v>
      </c>
      <c r="D56" s="1014"/>
      <c r="E56" s="1022">
        <f>USES!J71</f>
        <v>0</v>
      </c>
      <c r="F56" s="1017"/>
      <c r="G56" s="1017"/>
      <c r="H56" s="1017"/>
      <c r="I56" s="1017"/>
      <c r="J56" s="1017"/>
      <c r="K56" s="1017"/>
      <c r="L56" s="1017"/>
      <c r="M56" s="1017"/>
      <c r="N56" s="1017"/>
      <c r="O56" s="1017"/>
      <c r="P56" s="1017"/>
      <c r="Q56" s="1017"/>
      <c r="R56" s="1017"/>
      <c r="S56" s="1017"/>
      <c r="T56" s="1017"/>
      <c r="U56" s="1017"/>
      <c r="V56" s="1017"/>
      <c r="W56" s="1017"/>
      <c r="X56" s="1017"/>
      <c r="Y56" s="1017"/>
      <c r="Z56" s="1017"/>
      <c r="AA56" s="1017"/>
      <c r="AB56" s="1017"/>
      <c r="AC56" s="1017"/>
      <c r="AD56" s="1017"/>
      <c r="AE56" s="1017"/>
      <c r="AF56" s="1017"/>
      <c r="AG56" s="1017"/>
      <c r="AH56" s="1017"/>
      <c r="AI56" s="1017"/>
      <c r="AJ56" s="1017"/>
      <c r="AK56" s="1017"/>
      <c r="AL56" s="1017"/>
      <c r="AM56" s="1017"/>
      <c r="AN56" s="1017"/>
      <c r="AO56" s="1017"/>
      <c r="AP56" s="1017"/>
      <c r="AQ56" s="1017"/>
      <c r="AR56" s="1017"/>
      <c r="AS56" s="1017"/>
      <c r="AT56" s="1017"/>
      <c r="AU56" s="1017"/>
      <c r="AV56" s="1017"/>
      <c r="AW56" s="1017"/>
      <c r="AX56" s="1017"/>
      <c r="AY56" s="1017"/>
      <c r="AZ56" s="1017"/>
      <c r="BA56" s="1017"/>
      <c r="BB56" s="1017"/>
      <c r="BC56" s="1022">
        <f t="shared" si="2"/>
        <v>0</v>
      </c>
      <c r="BD56" s="1028">
        <f t="shared" si="3"/>
        <v>0</v>
      </c>
    </row>
    <row r="57" spans="2:56" s="973" customFormat="1" ht="14.4" x14ac:dyDescent="0.3">
      <c r="B57" s="1010">
        <f>USES!C72</f>
        <v>57</v>
      </c>
      <c r="C57" s="1011" t="str">
        <f>USES!D72</f>
        <v>Credit Report</v>
      </c>
      <c r="D57" s="1014"/>
      <c r="E57" s="1022">
        <f>USES!J72</f>
        <v>0</v>
      </c>
      <c r="F57" s="1017"/>
      <c r="G57" s="1017"/>
      <c r="H57" s="1017"/>
      <c r="I57" s="1017"/>
      <c r="J57" s="1017"/>
      <c r="K57" s="1017"/>
      <c r="L57" s="1017"/>
      <c r="M57" s="1017"/>
      <c r="N57" s="1017"/>
      <c r="O57" s="1017"/>
      <c r="P57" s="1017"/>
      <c r="Q57" s="1017"/>
      <c r="R57" s="1017"/>
      <c r="S57" s="1017"/>
      <c r="T57" s="1017"/>
      <c r="U57" s="1017"/>
      <c r="V57" s="1017"/>
      <c r="W57" s="1017"/>
      <c r="X57" s="1017"/>
      <c r="Y57" s="1017"/>
      <c r="Z57" s="1017"/>
      <c r="AA57" s="1017"/>
      <c r="AB57" s="1017"/>
      <c r="AC57" s="1017"/>
      <c r="AD57" s="1017"/>
      <c r="AE57" s="1017"/>
      <c r="AF57" s="1017"/>
      <c r="AG57" s="1017"/>
      <c r="AH57" s="1017"/>
      <c r="AI57" s="1017"/>
      <c r="AJ57" s="1017"/>
      <c r="AK57" s="1017"/>
      <c r="AL57" s="1017"/>
      <c r="AM57" s="1017"/>
      <c r="AN57" s="1017"/>
      <c r="AO57" s="1017"/>
      <c r="AP57" s="1017"/>
      <c r="AQ57" s="1017"/>
      <c r="AR57" s="1017"/>
      <c r="AS57" s="1017"/>
      <c r="AT57" s="1017"/>
      <c r="AU57" s="1017"/>
      <c r="AV57" s="1017"/>
      <c r="AW57" s="1017"/>
      <c r="AX57" s="1017"/>
      <c r="AY57" s="1017"/>
      <c r="AZ57" s="1017"/>
      <c r="BA57" s="1017"/>
      <c r="BB57" s="1017"/>
      <c r="BC57" s="1022">
        <f t="shared" si="2"/>
        <v>0</v>
      </c>
      <c r="BD57" s="1028">
        <f t="shared" si="3"/>
        <v>0</v>
      </c>
    </row>
    <row r="58" spans="2:56" s="973" customFormat="1" ht="14.4" x14ac:dyDescent="0.3">
      <c r="B58" s="1010">
        <f>USES!C73</f>
        <v>58</v>
      </c>
      <c r="C58" s="1011" t="str">
        <f>USES!D73</f>
        <v>Predevelopment Loan Fees</v>
      </c>
      <c r="D58" s="1014"/>
      <c r="E58" s="1022">
        <f>USES!J73</f>
        <v>0</v>
      </c>
      <c r="F58" s="1017"/>
      <c r="G58" s="1017"/>
      <c r="H58" s="1017"/>
      <c r="I58" s="1017"/>
      <c r="J58" s="1017"/>
      <c r="K58" s="1017"/>
      <c r="L58" s="1017"/>
      <c r="M58" s="1017"/>
      <c r="N58" s="1017"/>
      <c r="O58" s="1017"/>
      <c r="P58" s="1017"/>
      <c r="Q58" s="1017"/>
      <c r="R58" s="1017"/>
      <c r="S58" s="1017"/>
      <c r="T58" s="1017"/>
      <c r="U58" s="1017"/>
      <c r="V58" s="1017"/>
      <c r="W58" s="1017"/>
      <c r="X58" s="1017"/>
      <c r="Y58" s="1017"/>
      <c r="Z58" s="1017"/>
      <c r="AA58" s="1017"/>
      <c r="AB58" s="1017"/>
      <c r="AC58" s="1017"/>
      <c r="AD58" s="1017"/>
      <c r="AE58" s="1017"/>
      <c r="AF58" s="1017"/>
      <c r="AG58" s="1017"/>
      <c r="AH58" s="1017"/>
      <c r="AI58" s="1017"/>
      <c r="AJ58" s="1017"/>
      <c r="AK58" s="1017"/>
      <c r="AL58" s="1017"/>
      <c r="AM58" s="1017"/>
      <c r="AN58" s="1017"/>
      <c r="AO58" s="1017"/>
      <c r="AP58" s="1017"/>
      <c r="AQ58" s="1017"/>
      <c r="AR58" s="1017"/>
      <c r="AS58" s="1017"/>
      <c r="AT58" s="1017"/>
      <c r="AU58" s="1017"/>
      <c r="AV58" s="1017"/>
      <c r="AW58" s="1017"/>
      <c r="AX58" s="1017"/>
      <c r="AY58" s="1017"/>
      <c r="AZ58" s="1017"/>
      <c r="BA58" s="1017"/>
      <c r="BB58" s="1017"/>
      <c r="BC58" s="1022">
        <f t="shared" si="2"/>
        <v>0</v>
      </c>
      <c r="BD58" s="1028">
        <f t="shared" si="3"/>
        <v>0</v>
      </c>
    </row>
    <row r="59" spans="2:56" s="973" customFormat="1" ht="14.4" x14ac:dyDescent="0.3">
      <c r="B59" s="1010">
        <f>USES!C74</f>
        <v>59</v>
      </c>
      <c r="C59" s="1011" t="str">
        <f>USES!D74</f>
        <v>Soft Cost Contingency</v>
      </c>
      <c r="D59" s="1014"/>
      <c r="E59" s="1022">
        <f>USES!J74</f>
        <v>0</v>
      </c>
      <c r="F59" s="1017"/>
      <c r="G59" s="1017"/>
      <c r="H59" s="1017"/>
      <c r="I59" s="1017"/>
      <c r="J59" s="1017"/>
      <c r="K59" s="1017"/>
      <c r="L59" s="1017"/>
      <c r="M59" s="1017"/>
      <c r="N59" s="1017"/>
      <c r="O59" s="1017"/>
      <c r="P59" s="1017"/>
      <c r="Q59" s="1017"/>
      <c r="R59" s="1017"/>
      <c r="S59" s="1017"/>
      <c r="T59" s="1017"/>
      <c r="U59" s="1017"/>
      <c r="V59" s="1017"/>
      <c r="W59" s="1017"/>
      <c r="X59" s="1017"/>
      <c r="Y59" s="1017"/>
      <c r="Z59" s="1017"/>
      <c r="AA59" s="1017"/>
      <c r="AB59" s="1017"/>
      <c r="AC59" s="1017"/>
      <c r="AD59" s="1017"/>
      <c r="AE59" s="1017"/>
      <c r="AF59" s="1017"/>
      <c r="AG59" s="1017"/>
      <c r="AH59" s="1017"/>
      <c r="AI59" s="1017"/>
      <c r="AJ59" s="1017"/>
      <c r="AK59" s="1017"/>
      <c r="AL59" s="1017"/>
      <c r="AM59" s="1017"/>
      <c r="AN59" s="1017"/>
      <c r="AO59" s="1017"/>
      <c r="AP59" s="1017"/>
      <c r="AQ59" s="1017"/>
      <c r="AR59" s="1017"/>
      <c r="AS59" s="1017"/>
      <c r="AT59" s="1017"/>
      <c r="AU59" s="1017"/>
      <c r="AV59" s="1017"/>
      <c r="AW59" s="1017"/>
      <c r="AX59" s="1017"/>
      <c r="AY59" s="1017"/>
      <c r="AZ59" s="1017"/>
      <c r="BA59" s="1017"/>
      <c r="BB59" s="1017"/>
      <c r="BC59" s="1022">
        <f t="shared" si="2"/>
        <v>0</v>
      </c>
      <c r="BD59" s="1028">
        <f t="shared" si="3"/>
        <v>0</v>
      </c>
    </row>
    <row r="60" spans="2:56" s="973" customFormat="1" ht="14.4" x14ac:dyDescent="0.3">
      <c r="B60" s="1010">
        <f>USES!C75</f>
        <v>60</v>
      </c>
      <c r="C60" s="1011" t="str">
        <f>USES!D75</f>
        <v>CDA Subordinate Loan Commitment Fees (RHP)</v>
      </c>
      <c r="D60" s="1014"/>
      <c r="E60" s="1022">
        <f>USES!J75</f>
        <v>0</v>
      </c>
      <c r="F60" s="1017"/>
      <c r="G60" s="1017"/>
      <c r="H60" s="1017"/>
      <c r="I60" s="1017"/>
      <c r="J60" s="1017"/>
      <c r="K60" s="1017"/>
      <c r="L60" s="1017"/>
      <c r="M60" s="1017"/>
      <c r="N60" s="1017"/>
      <c r="O60" s="1017"/>
      <c r="P60" s="1017"/>
      <c r="Q60" s="1017"/>
      <c r="R60" s="1017"/>
      <c r="S60" s="1017"/>
      <c r="T60" s="1017"/>
      <c r="U60" s="1017"/>
      <c r="V60" s="1017"/>
      <c r="W60" s="1017"/>
      <c r="X60" s="1017"/>
      <c r="Y60" s="1017"/>
      <c r="Z60" s="1017"/>
      <c r="AA60" s="1017"/>
      <c r="AB60" s="1017"/>
      <c r="AC60" s="1017"/>
      <c r="AD60" s="1017"/>
      <c r="AE60" s="1017"/>
      <c r="AF60" s="1017"/>
      <c r="AG60" s="1017"/>
      <c r="AH60" s="1017"/>
      <c r="AI60" s="1017"/>
      <c r="AJ60" s="1017"/>
      <c r="AK60" s="1017"/>
      <c r="AL60" s="1017"/>
      <c r="AM60" s="1017"/>
      <c r="AN60" s="1017"/>
      <c r="AO60" s="1017"/>
      <c r="AP60" s="1017"/>
      <c r="AQ60" s="1017"/>
      <c r="AR60" s="1017"/>
      <c r="AS60" s="1017"/>
      <c r="AT60" s="1017"/>
      <c r="AU60" s="1017"/>
      <c r="AV60" s="1017"/>
      <c r="AW60" s="1017"/>
      <c r="AX60" s="1017"/>
      <c r="AY60" s="1017"/>
      <c r="AZ60" s="1017"/>
      <c r="BA60" s="1017"/>
      <c r="BB60" s="1017"/>
      <c r="BC60" s="1022">
        <f t="shared" si="2"/>
        <v>0</v>
      </c>
      <c r="BD60" s="1028">
        <f t="shared" si="3"/>
        <v>0</v>
      </c>
    </row>
    <row r="61" spans="2:56" s="973" customFormat="1" ht="14.4" x14ac:dyDescent="0.3">
      <c r="B61" s="1010">
        <f>USES!C76</f>
        <v>61</v>
      </c>
      <c r="C61" s="1011" t="str">
        <f>USES!D76</f>
        <v>CDA Subordinate Loan Commitment Fees (RHW)</v>
      </c>
      <c r="D61" s="1014"/>
      <c r="E61" s="1022">
        <f>USES!J76</f>
        <v>0</v>
      </c>
      <c r="F61" s="1017"/>
      <c r="G61" s="1017"/>
      <c r="H61" s="1017"/>
      <c r="I61" s="1017"/>
      <c r="J61" s="1017"/>
      <c r="K61" s="1017"/>
      <c r="L61" s="1017"/>
      <c r="M61" s="1017"/>
      <c r="N61" s="1017"/>
      <c r="O61" s="1017"/>
      <c r="P61" s="1017"/>
      <c r="Q61" s="1017"/>
      <c r="R61" s="1017"/>
      <c r="S61" s="1017"/>
      <c r="T61" s="1017"/>
      <c r="U61" s="1017"/>
      <c r="V61" s="1017"/>
      <c r="W61" s="1017"/>
      <c r="X61" s="1017"/>
      <c r="Y61" s="1017"/>
      <c r="Z61" s="1017"/>
      <c r="AA61" s="1017"/>
      <c r="AB61" s="1017"/>
      <c r="AC61" s="1017"/>
      <c r="AD61" s="1017"/>
      <c r="AE61" s="1017"/>
      <c r="AF61" s="1017"/>
      <c r="AG61" s="1017"/>
      <c r="AH61" s="1017"/>
      <c r="AI61" s="1017"/>
      <c r="AJ61" s="1017"/>
      <c r="AK61" s="1017"/>
      <c r="AL61" s="1017"/>
      <c r="AM61" s="1017"/>
      <c r="AN61" s="1017"/>
      <c r="AO61" s="1017"/>
      <c r="AP61" s="1017"/>
      <c r="AQ61" s="1017"/>
      <c r="AR61" s="1017"/>
      <c r="AS61" s="1017"/>
      <c r="AT61" s="1017"/>
      <c r="AU61" s="1017"/>
      <c r="AV61" s="1017"/>
      <c r="AW61" s="1017"/>
      <c r="AX61" s="1017"/>
      <c r="AY61" s="1017"/>
      <c r="AZ61" s="1017"/>
      <c r="BA61" s="1017"/>
      <c r="BB61" s="1017"/>
      <c r="BC61" s="1022">
        <f t="shared" si="2"/>
        <v>0</v>
      </c>
      <c r="BD61" s="1028">
        <f t="shared" si="3"/>
        <v>0</v>
      </c>
    </row>
    <row r="62" spans="2:56" s="973" customFormat="1" ht="14.4" x14ac:dyDescent="0.3">
      <c r="B62" s="1010">
        <f>USES!C77</f>
        <v>62</v>
      </c>
      <c r="C62" s="1011" t="str">
        <f>USES!D77</f>
        <v>CDA Subordinate Loan Commitment Fees (PRHP)</v>
      </c>
      <c r="D62" s="1014"/>
      <c r="E62" s="1022">
        <f>USES!J77</f>
        <v>0</v>
      </c>
      <c r="F62" s="1017"/>
      <c r="G62" s="1017"/>
      <c r="H62" s="1017"/>
      <c r="I62" s="1017"/>
      <c r="J62" s="1017"/>
      <c r="K62" s="1017"/>
      <c r="L62" s="1017"/>
      <c r="M62" s="1017"/>
      <c r="N62" s="1017"/>
      <c r="O62" s="1017"/>
      <c r="P62" s="1017"/>
      <c r="Q62" s="1017"/>
      <c r="R62" s="1017"/>
      <c r="S62" s="1017"/>
      <c r="T62" s="1017"/>
      <c r="U62" s="1017"/>
      <c r="V62" s="1017"/>
      <c r="W62" s="1017"/>
      <c r="X62" s="1017"/>
      <c r="Y62" s="1017"/>
      <c r="Z62" s="1017"/>
      <c r="AA62" s="1017"/>
      <c r="AB62" s="1017"/>
      <c r="AC62" s="1017"/>
      <c r="AD62" s="1017"/>
      <c r="AE62" s="1017"/>
      <c r="AF62" s="1017"/>
      <c r="AG62" s="1017"/>
      <c r="AH62" s="1017"/>
      <c r="AI62" s="1017"/>
      <c r="AJ62" s="1017"/>
      <c r="AK62" s="1017"/>
      <c r="AL62" s="1017"/>
      <c r="AM62" s="1017"/>
      <c r="AN62" s="1017"/>
      <c r="AO62" s="1017"/>
      <c r="AP62" s="1017"/>
      <c r="AQ62" s="1017"/>
      <c r="AR62" s="1017"/>
      <c r="AS62" s="1017"/>
      <c r="AT62" s="1017"/>
      <c r="AU62" s="1017"/>
      <c r="AV62" s="1017"/>
      <c r="AW62" s="1017"/>
      <c r="AX62" s="1017"/>
      <c r="AY62" s="1017"/>
      <c r="AZ62" s="1017"/>
      <c r="BA62" s="1017"/>
      <c r="BB62" s="1017"/>
      <c r="BC62" s="1022">
        <f t="shared" si="2"/>
        <v>0</v>
      </c>
      <c r="BD62" s="1028">
        <f t="shared" si="3"/>
        <v>0</v>
      </c>
    </row>
    <row r="63" spans="2:56" s="973" customFormat="1" ht="14.4" x14ac:dyDescent="0.3">
      <c r="B63" s="1010">
        <f>USES!C78</f>
        <v>63</v>
      </c>
      <c r="C63" s="1011" t="str">
        <f>USES!D78</f>
        <v>State Loan and LIHTC Assumption Fee</v>
      </c>
      <c r="D63" s="1014"/>
      <c r="E63" s="1022">
        <f>USES!J78</f>
        <v>0</v>
      </c>
      <c r="F63" s="1017"/>
      <c r="G63" s="1017"/>
      <c r="H63" s="1017"/>
      <c r="I63" s="1017"/>
      <c r="J63" s="1017"/>
      <c r="K63" s="1017"/>
      <c r="L63" s="1017"/>
      <c r="M63" s="1017"/>
      <c r="N63" s="1017"/>
      <c r="O63" s="1017"/>
      <c r="P63" s="1017"/>
      <c r="Q63" s="1017"/>
      <c r="R63" s="1017"/>
      <c r="S63" s="1017"/>
      <c r="T63" s="1017"/>
      <c r="U63" s="1017"/>
      <c r="V63" s="1017"/>
      <c r="W63" s="1017"/>
      <c r="X63" s="1017"/>
      <c r="Y63" s="1017"/>
      <c r="Z63" s="1017"/>
      <c r="AA63" s="1017"/>
      <c r="AB63" s="1017"/>
      <c r="AC63" s="1017"/>
      <c r="AD63" s="1017"/>
      <c r="AE63" s="1017"/>
      <c r="AF63" s="1017"/>
      <c r="AG63" s="1017"/>
      <c r="AH63" s="1017"/>
      <c r="AI63" s="1017"/>
      <c r="AJ63" s="1017"/>
      <c r="AK63" s="1017"/>
      <c r="AL63" s="1017"/>
      <c r="AM63" s="1017"/>
      <c r="AN63" s="1017"/>
      <c r="AO63" s="1017"/>
      <c r="AP63" s="1017"/>
      <c r="AQ63" s="1017"/>
      <c r="AR63" s="1017"/>
      <c r="AS63" s="1017"/>
      <c r="AT63" s="1017"/>
      <c r="AU63" s="1017"/>
      <c r="AV63" s="1017"/>
      <c r="AW63" s="1017"/>
      <c r="AX63" s="1017"/>
      <c r="AY63" s="1017"/>
      <c r="AZ63" s="1017"/>
      <c r="BA63" s="1017"/>
      <c r="BB63" s="1017"/>
      <c r="BC63" s="1022">
        <f t="shared" si="2"/>
        <v>0</v>
      </c>
      <c r="BD63" s="1028">
        <f t="shared" si="3"/>
        <v>0</v>
      </c>
    </row>
    <row r="64" spans="2:56" s="973" customFormat="1" ht="14.4" x14ac:dyDescent="0.3">
      <c r="B64" s="1010">
        <f>USES!C79</f>
        <v>64</v>
      </c>
      <c r="C64" s="1011" t="str">
        <f>USES!D79</f>
        <v>MBP Loan Assumption Fee</v>
      </c>
      <c r="D64" s="1014"/>
      <c r="E64" s="1022">
        <f>USES!J79</f>
        <v>0</v>
      </c>
      <c r="F64" s="1017"/>
      <c r="G64" s="1017"/>
      <c r="H64" s="1017"/>
      <c r="I64" s="1017"/>
      <c r="J64" s="1017"/>
      <c r="K64" s="1017"/>
      <c r="L64" s="1017"/>
      <c r="M64" s="1017"/>
      <c r="N64" s="1017"/>
      <c r="O64" s="1017"/>
      <c r="P64" s="1017"/>
      <c r="Q64" s="1017"/>
      <c r="R64" s="1017"/>
      <c r="S64" s="1017"/>
      <c r="T64" s="1017"/>
      <c r="U64" s="1017"/>
      <c r="V64" s="1017"/>
      <c r="W64" s="1017"/>
      <c r="X64" s="1017"/>
      <c r="Y64" s="1017"/>
      <c r="Z64" s="1017"/>
      <c r="AA64" s="1017"/>
      <c r="AB64" s="1017"/>
      <c r="AC64" s="1017"/>
      <c r="AD64" s="1017"/>
      <c r="AE64" s="1017"/>
      <c r="AF64" s="1017"/>
      <c r="AG64" s="1017"/>
      <c r="AH64" s="1017"/>
      <c r="AI64" s="1017"/>
      <c r="AJ64" s="1017"/>
      <c r="AK64" s="1017"/>
      <c r="AL64" s="1017"/>
      <c r="AM64" s="1017"/>
      <c r="AN64" s="1017"/>
      <c r="AO64" s="1017"/>
      <c r="AP64" s="1017"/>
      <c r="AQ64" s="1017"/>
      <c r="AR64" s="1017"/>
      <c r="AS64" s="1017"/>
      <c r="AT64" s="1017"/>
      <c r="AU64" s="1017"/>
      <c r="AV64" s="1017"/>
      <c r="AW64" s="1017"/>
      <c r="AX64" s="1017"/>
      <c r="AY64" s="1017"/>
      <c r="AZ64" s="1017"/>
      <c r="BA64" s="1017"/>
      <c r="BB64" s="1017"/>
      <c r="BC64" s="1022">
        <f t="shared" si="2"/>
        <v>0</v>
      </c>
      <c r="BD64" s="1028">
        <f t="shared" si="3"/>
        <v>0</v>
      </c>
    </row>
    <row r="65" spans="2:56" s="973" customFormat="1" ht="14.4" x14ac:dyDescent="0.3">
      <c r="B65" s="1010">
        <f>USES!C80</f>
        <v>65</v>
      </c>
      <c r="C65" s="1011" t="str">
        <f>USES!D80</f>
        <v>CDA Loan Servicing Fee</v>
      </c>
      <c r="D65" s="1014"/>
      <c r="E65" s="1022">
        <f>USES!J80</f>
        <v>0</v>
      </c>
      <c r="F65" s="1017"/>
      <c r="G65" s="1017"/>
      <c r="H65" s="1017"/>
      <c r="I65" s="1017"/>
      <c r="J65" s="1017"/>
      <c r="K65" s="1017"/>
      <c r="L65" s="1017"/>
      <c r="M65" s="1017"/>
      <c r="N65" s="1017"/>
      <c r="O65" s="1017"/>
      <c r="P65" s="1017"/>
      <c r="Q65" s="1017"/>
      <c r="R65" s="1017"/>
      <c r="S65" s="1017"/>
      <c r="T65" s="1017"/>
      <c r="U65" s="1017"/>
      <c r="V65" s="1017"/>
      <c r="W65" s="1017"/>
      <c r="X65" s="1017"/>
      <c r="Y65" s="1017"/>
      <c r="Z65" s="1017"/>
      <c r="AA65" s="1017"/>
      <c r="AB65" s="1017"/>
      <c r="AC65" s="1017"/>
      <c r="AD65" s="1017"/>
      <c r="AE65" s="1017"/>
      <c r="AF65" s="1017"/>
      <c r="AG65" s="1017"/>
      <c r="AH65" s="1017"/>
      <c r="AI65" s="1017"/>
      <c r="AJ65" s="1017"/>
      <c r="AK65" s="1017"/>
      <c r="AL65" s="1017"/>
      <c r="AM65" s="1017"/>
      <c r="AN65" s="1017"/>
      <c r="AO65" s="1017"/>
      <c r="AP65" s="1017"/>
      <c r="AQ65" s="1017"/>
      <c r="AR65" s="1017"/>
      <c r="AS65" s="1017"/>
      <c r="AT65" s="1017"/>
      <c r="AU65" s="1017"/>
      <c r="AV65" s="1017"/>
      <c r="AW65" s="1017"/>
      <c r="AX65" s="1017"/>
      <c r="AY65" s="1017"/>
      <c r="AZ65" s="1017"/>
      <c r="BA65" s="1017"/>
      <c r="BB65" s="1017"/>
      <c r="BC65" s="1022">
        <f t="shared" si="2"/>
        <v>0</v>
      </c>
      <c r="BD65" s="1028">
        <f t="shared" si="3"/>
        <v>0</v>
      </c>
    </row>
    <row r="66" spans="2:56" s="973" customFormat="1" ht="14.4" x14ac:dyDescent="0.3">
      <c r="B66" s="1010">
        <f>USES!C81</f>
        <v>66</v>
      </c>
      <c r="C66" s="1011" t="str">
        <f>USES!D81</f>
        <v>CDA Subsidy Layering Review Fee</v>
      </c>
      <c r="D66" s="1014"/>
      <c r="E66" s="1022">
        <f>USES!J81</f>
        <v>0</v>
      </c>
      <c r="F66" s="1017"/>
      <c r="G66" s="1017"/>
      <c r="H66" s="1017"/>
      <c r="I66" s="1017"/>
      <c r="J66" s="1017"/>
      <c r="K66" s="1017"/>
      <c r="L66" s="1017"/>
      <c r="M66" s="1017"/>
      <c r="N66" s="1017"/>
      <c r="O66" s="1017"/>
      <c r="P66" s="1017"/>
      <c r="Q66" s="1017"/>
      <c r="R66" s="1017"/>
      <c r="S66" s="1017"/>
      <c r="T66" s="1017"/>
      <c r="U66" s="1017"/>
      <c r="V66" s="1017"/>
      <c r="W66" s="1017"/>
      <c r="X66" s="1017"/>
      <c r="Y66" s="1017"/>
      <c r="Z66" s="1017"/>
      <c r="AA66" s="1017"/>
      <c r="AB66" s="1017"/>
      <c r="AC66" s="1017"/>
      <c r="AD66" s="1017"/>
      <c r="AE66" s="1017"/>
      <c r="AF66" s="1017"/>
      <c r="AG66" s="1017"/>
      <c r="AH66" s="1017"/>
      <c r="AI66" s="1017"/>
      <c r="AJ66" s="1017"/>
      <c r="AK66" s="1017"/>
      <c r="AL66" s="1017"/>
      <c r="AM66" s="1017"/>
      <c r="AN66" s="1017"/>
      <c r="AO66" s="1017"/>
      <c r="AP66" s="1017"/>
      <c r="AQ66" s="1017"/>
      <c r="AR66" s="1017"/>
      <c r="AS66" s="1017"/>
      <c r="AT66" s="1017"/>
      <c r="AU66" s="1017"/>
      <c r="AV66" s="1017"/>
      <c r="AW66" s="1017"/>
      <c r="AX66" s="1017"/>
      <c r="AY66" s="1017"/>
      <c r="AZ66" s="1017"/>
      <c r="BA66" s="1017"/>
      <c r="BB66" s="1017"/>
      <c r="BC66" s="1022">
        <f t="shared" si="2"/>
        <v>0</v>
      </c>
      <c r="BD66" s="1028">
        <f t="shared" si="3"/>
        <v>0</v>
      </c>
    </row>
    <row r="67" spans="2:56" s="973" customFormat="1" ht="14.4" x14ac:dyDescent="0.3">
      <c r="B67" s="1010">
        <f>USES!C82</f>
        <v>67</v>
      </c>
      <c r="C67" s="1011" t="str">
        <f>USES!D82</f>
        <v>CDA Construction Monitoring Fee</v>
      </c>
      <c r="D67" s="1014"/>
      <c r="E67" s="1022">
        <f>USES!J82</f>
        <v>0</v>
      </c>
      <c r="F67" s="1017"/>
      <c r="G67" s="1017"/>
      <c r="H67" s="1017"/>
      <c r="I67" s="1017"/>
      <c r="J67" s="1017"/>
      <c r="K67" s="1017"/>
      <c r="L67" s="1017"/>
      <c r="M67" s="1017"/>
      <c r="N67" s="1017"/>
      <c r="O67" s="1017"/>
      <c r="P67" s="1017"/>
      <c r="Q67" s="1017"/>
      <c r="R67" s="1017"/>
      <c r="S67" s="1017"/>
      <c r="T67" s="1017"/>
      <c r="U67" s="1017"/>
      <c r="V67" s="1017"/>
      <c r="W67" s="1017"/>
      <c r="X67" s="1017"/>
      <c r="Y67" s="1017"/>
      <c r="Z67" s="1017"/>
      <c r="AA67" s="1017"/>
      <c r="AB67" s="1017"/>
      <c r="AC67" s="1017"/>
      <c r="AD67" s="1017"/>
      <c r="AE67" s="1017"/>
      <c r="AF67" s="1017"/>
      <c r="AG67" s="1017"/>
      <c r="AH67" s="1017"/>
      <c r="AI67" s="1017"/>
      <c r="AJ67" s="1017"/>
      <c r="AK67" s="1017"/>
      <c r="AL67" s="1017"/>
      <c r="AM67" s="1017"/>
      <c r="AN67" s="1017"/>
      <c r="AO67" s="1017"/>
      <c r="AP67" s="1017"/>
      <c r="AQ67" s="1017"/>
      <c r="AR67" s="1017"/>
      <c r="AS67" s="1017"/>
      <c r="AT67" s="1017"/>
      <c r="AU67" s="1017"/>
      <c r="AV67" s="1017"/>
      <c r="AW67" s="1017"/>
      <c r="AX67" s="1017"/>
      <c r="AY67" s="1017"/>
      <c r="AZ67" s="1017"/>
      <c r="BA67" s="1017"/>
      <c r="BB67" s="1017"/>
      <c r="BC67" s="1022">
        <f t="shared" si="2"/>
        <v>0</v>
      </c>
      <c r="BD67" s="1028">
        <f t="shared" si="3"/>
        <v>0</v>
      </c>
    </row>
    <row r="68" spans="2:56" s="973" customFormat="1" ht="14.4" x14ac:dyDescent="0.3">
      <c r="B68" s="1010">
        <f>USES!C83</f>
        <v>68</v>
      </c>
      <c r="C68" s="1011" t="str">
        <f>USES!D83</f>
        <v>Cost of Issuance (Private Placement Underwriter's Fees)</v>
      </c>
      <c r="D68" s="1014"/>
      <c r="E68" s="1022">
        <f>USES!J83</f>
        <v>0</v>
      </c>
      <c r="F68" s="1017"/>
      <c r="G68" s="1017"/>
      <c r="H68" s="1017"/>
      <c r="I68" s="1017"/>
      <c r="J68" s="1017"/>
      <c r="K68" s="1017"/>
      <c r="L68" s="1017"/>
      <c r="M68" s="1017"/>
      <c r="N68" s="1017"/>
      <c r="O68" s="1017"/>
      <c r="P68" s="1017"/>
      <c r="Q68" s="1017"/>
      <c r="R68" s="1017"/>
      <c r="S68" s="1017"/>
      <c r="T68" s="1017"/>
      <c r="U68" s="1017"/>
      <c r="V68" s="1017"/>
      <c r="W68" s="1017"/>
      <c r="X68" s="1017"/>
      <c r="Y68" s="1017"/>
      <c r="Z68" s="1017"/>
      <c r="AA68" s="1017"/>
      <c r="AB68" s="1017"/>
      <c r="AC68" s="1017"/>
      <c r="AD68" s="1017"/>
      <c r="AE68" s="1017"/>
      <c r="AF68" s="1017"/>
      <c r="AG68" s="1017"/>
      <c r="AH68" s="1017"/>
      <c r="AI68" s="1017"/>
      <c r="AJ68" s="1017"/>
      <c r="AK68" s="1017"/>
      <c r="AL68" s="1017"/>
      <c r="AM68" s="1017"/>
      <c r="AN68" s="1017"/>
      <c r="AO68" s="1017"/>
      <c r="AP68" s="1017"/>
      <c r="AQ68" s="1017"/>
      <c r="AR68" s="1017"/>
      <c r="AS68" s="1017"/>
      <c r="AT68" s="1017"/>
      <c r="AU68" s="1017"/>
      <c r="AV68" s="1017"/>
      <c r="AW68" s="1017"/>
      <c r="AX68" s="1017"/>
      <c r="AY68" s="1017"/>
      <c r="AZ68" s="1017"/>
      <c r="BA68" s="1017"/>
      <c r="BB68" s="1017"/>
      <c r="BC68" s="1022">
        <f t="shared" si="2"/>
        <v>0</v>
      </c>
      <c r="BD68" s="1028">
        <f t="shared" si="3"/>
        <v>0</v>
      </c>
    </row>
    <row r="69" spans="2:56" s="973" customFormat="1" ht="14.4" x14ac:dyDescent="0.3">
      <c r="B69" s="1010">
        <f>USES!C84</f>
        <v>69</v>
      </c>
      <c r="C69" s="1011" t="str">
        <f>USES!D84</f>
        <v xml:space="preserve">Cost of Issuance (CDA) </v>
      </c>
      <c r="D69" s="1014"/>
      <c r="E69" s="1022">
        <f>USES!J84</f>
        <v>0</v>
      </c>
      <c r="F69" s="1017"/>
      <c r="G69" s="1017"/>
      <c r="H69" s="1017"/>
      <c r="I69" s="1017"/>
      <c r="J69" s="1017"/>
      <c r="K69" s="1017"/>
      <c r="L69" s="1017"/>
      <c r="M69" s="1017"/>
      <c r="N69" s="1017"/>
      <c r="O69" s="1017"/>
      <c r="P69" s="1017"/>
      <c r="Q69" s="1017"/>
      <c r="R69" s="1017"/>
      <c r="S69" s="1017"/>
      <c r="T69" s="1017"/>
      <c r="U69" s="1017"/>
      <c r="V69" s="1017"/>
      <c r="W69" s="1017"/>
      <c r="X69" s="1017"/>
      <c r="Y69" s="1017"/>
      <c r="Z69" s="1017"/>
      <c r="AA69" s="1017"/>
      <c r="AB69" s="1017"/>
      <c r="AC69" s="1017"/>
      <c r="AD69" s="1017"/>
      <c r="AE69" s="1017"/>
      <c r="AF69" s="1017"/>
      <c r="AG69" s="1017"/>
      <c r="AH69" s="1017"/>
      <c r="AI69" s="1017"/>
      <c r="AJ69" s="1017"/>
      <c r="AK69" s="1017"/>
      <c r="AL69" s="1017"/>
      <c r="AM69" s="1017"/>
      <c r="AN69" s="1017"/>
      <c r="AO69" s="1017"/>
      <c r="AP69" s="1017"/>
      <c r="AQ69" s="1017"/>
      <c r="AR69" s="1017"/>
      <c r="AS69" s="1017"/>
      <c r="AT69" s="1017"/>
      <c r="AU69" s="1017"/>
      <c r="AV69" s="1017"/>
      <c r="AW69" s="1017"/>
      <c r="AX69" s="1017"/>
      <c r="AY69" s="1017"/>
      <c r="AZ69" s="1017"/>
      <c r="BA69" s="1017"/>
      <c r="BB69" s="1017"/>
      <c r="BC69" s="1022">
        <f t="shared" si="2"/>
        <v>0</v>
      </c>
      <c r="BD69" s="1028">
        <f t="shared" si="3"/>
        <v>0</v>
      </c>
    </row>
    <row r="70" spans="2:56" s="973" customFormat="1" ht="14.4" x14ac:dyDescent="0.3">
      <c r="B70" s="1010">
        <f>USES!C85</f>
        <v>70</v>
      </c>
      <c r="C70" s="1011" t="str">
        <f>USES!D85</f>
        <v>CDA Issuer Fee (FNMA MTEB)</v>
      </c>
      <c r="D70" s="1014"/>
      <c r="E70" s="1022">
        <f>USES!J85</f>
        <v>0</v>
      </c>
      <c r="F70" s="1017"/>
      <c r="G70" s="1017"/>
      <c r="H70" s="1017"/>
      <c r="I70" s="1017"/>
      <c r="J70" s="1017"/>
      <c r="K70" s="1017"/>
      <c r="L70" s="1017"/>
      <c r="M70" s="1017"/>
      <c r="N70" s="1017"/>
      <c r="O70" s="1017"/>
      <c r="P70" s="1017"/>
      <c r="Q70" s="1017"/>
      <c r="R70" s="1017"/>
      <c r="S70" s="1017"/>
      <c r="T70" s="1017"/>
      <c r="U70" s="1017"/>
      <c r="V70" s="1017"/>
      <c r="W70" s="1017"/>
      <c r="X70" s="1017"/>
      <c r="Y70" s="1017"/>
      <c r="Z70" s="1017"/>
      <c r="AA70" s="1017"/>
      <c r="AB70" s="1017"/>
      <c r="AC70" s="1017"/>
      <c r="AD70" s="1017"/>
      <c r="AE70" s="1017"/>
      <c r="AF70" s="1017"/>
      <c r="AG70" s="1017"/>
      <c r="AH70" s="1017"/>
      <c r="AI70" s="1017"/>
      <c r="AJ70" s="1017"/>
      <c r="AK70" s="1017"/>
      <c r="AL70" s="1017"/>
      <c r="AM70" s="1017"/>
      <c r="AN70" s="1017"/>
      <c r="AO70" s="1017"/>
      <c r="AP70" s="1017"/>
      <c r="AQ70" s="1017"/>
      <c r="AR70" s="1017"/>
      <c r="AS70" s="1017"/>
      <c r="AT70" s="1017"/>
      <c r="AU70" s="1017"/>
      <c r="AV70" s="1017"/>
      <c r="AW70" s="1017"/>
      <c r="AX70" s="1017"/>
      <c r="AY70" s="1017"/>
      <c r="AZ70" s="1017"/>
      <c r="BA70" s="1017"/>
      <c r="BB70" s="1017"/>
      <c r="BC70" s="1022">
        <f t="shared" si="2"/>
        <v>0</v>
      </c>
      <c r="BD70" s="1028">
        <f t="shared" si="3"/>
        <v>0</v>
      </c>
    </row>
    <row r="71" spans="2:56" s="973" customFormat="1" ht="14.4" x14ac:dyDescent="0.3">
      <c r="B71" s="1010">
        <f>USES!C86</f>
        <v>71</v>
      </c>
      <c r="C71" s="1011" t="str">
        <f>USES!D86</f>
        <v>CDA Issuer Fee (FTEL)</v>
      </c>
      <c r="D71" s="1014"/>
      <c r="E71" s="1022">
        <f>USES!J86</f>
        <v>0</v>
      </c>
      <c r="F71" s="1017"/>
      <c r="G71" s="1017"/>
      <c r="H71" s="1017"/>
      <c r="I71" s="1017"/>
      <c r="J71" s="1017"/>
      <c r="K71" s="1017"/>
      <c r="L71" s="1017"/>
      <c r="M71" s="1017"/>
      <c r="N71" s="1017"/>
      <c r="O71" s="1017"/>
      <c r="P71" s="1017"/>
      <c r="Q71" s="1017"/>
      <c r="R71" s="1017"/>
      <c r="S71" s="1017"/>
      <c r="T71" s="1017"/>
      <c r="U71" s="1017"/>
      <c r="V71" s="1017"/>
      <c r="W71" s="1017"/>
      <c r="X71" s="1017"/>
      <c r="Y71" s="1017"/>
      <c r="Z71" s="1017"/>
      <c r="AA71" s="1017"/>
      <c r="AB71" s="1017"/>
      <c r="AC71" s="1017"/>
      <c r="AD71" s="1017"/>
      <c r="AE71" s="1017"/>
      <c r="AF71" s="1017"/>
      <c r="AG71" s="1017"/>
      <c r="AH71" s="1017"/>
      <c r="AI71" s="1017"/>
      <c r="AJ71" s="1017"/>
      <c r="AK71" s="1017"/>
      <c r="AL71" s="1017"/>
      <c r="AM71" s="1017"/>
      <c r="AN71" s="1017"/>
      <c r="AO71" s="1017"/>
      <c r="AP71" s="1017"/>
      <c r="AQ71" s="1017"/>
      <c r="AR71" s="1017"/>
      <c r="AS71" s="1017"/>
      <c r="AT71" s="1017"/>
      <c r="AU71" s="1017"/>
      <c r="AV71" s="1017"/>
      <c r="AW71" s="1017"/>
      <c r="AX71" s="1017"/>
      <c r="AY71" s="1017"/>
      <c r="AZ71" s="1017"/>
      <c r="BA71" s="1017"/>
      <c r="BB71" s="1017"/>
      <c r="BC71" s="1022">
        <f t="shared" si="2"/>
        <v>0</v>
      </c>
      <c r="BD71" s="1028">
        <f t="shared" si="3"/>
        <v>0</v>
      </c>
    </row>
    <row r="72" spans="2:56" s="973" customFormat="1" ht="14.4" x14ac:dyDescent="0.3">
      <c r="B72" s="1010">
        <f>USES!C87</f>
        <v>72</v>
      </c>
      <c r="C72" s="1011" t="str">
        <f>USES!D87</f>
        <v>Capitalized Interest on Initial Funding Loan (FTEL)</v>
      </c>
      <c r="D72" s="1014"/>
      <c r="E72" s="1022">
        <f>USES!J87</f>
        <v>0</v>
      </c>
      <c r="F72" s="1017"/>
      <c r="G72" s="1017"/>
      <c r="H72" s="1017"/>
      <c r="I72" s="1017"/>
      <c r="J72" s="1017"/>
      <c r="K72" s="1017"/>
      <c r="L72" s="1017"/>
      <c r="M72" s="1017"/>
      <c r="N72" s="1017"/>
      <c r="O72" s="1017"/>
      <c r="P72" s="1017"/>
      <c r="Q72" s="1017"/>
      <c r="R72" s="1017"/>
      <c r="S72" s="1017"/>
      <c r="T72" s="1017"/>
      <c r="U72" s="1017"/>
      <c r="V72" s="1017"/>
      <c r="W72" s="1017"/>
      <c r="X72" s="1017"/>
      <c r="Y72" s="1017"/>
      <c r="Z72" s="1017"/>
      <c r="AA72" s="1017"/>
      <c r="AB72" s="1017"/>
      <c r="AC72" s="1017"/>
      <c r="AD72" s="1017"/>
      <c r="AE72" s="1017"/>
      <c r="AF72" s="1017"/>
      <c r="AG72" s="1017"/>
      <c r="AH72" s="1017"/>
      <c r="AI72" s="1017"/>
      <c r="AJ72" s="1017"/>
      <c r="AK72" s="1017"/>
      <c r="AL72" s="1017"/>
      <c r="AM72" s="1017"/>
      <c r="AN72" s="1017"/>
      <c r="AO72" s="1017"/>
      <c r="AP72" s="1017"/>
      <c r="AQ72" s="1017"/>
      <c r="AR72" s="1017"/>
      <c r="AS72" s="1017"/>
      <c r="AT72" s="1017"/>
      <c r="AU72" s="1017"/>
      <c r="AV72" s="1017"/>
      <c r="AW72" s="1017"/>
      <c r="AX72" s="1017"/>
      <c r="AY72" s="1017"/>
      <c r="AZ72" s="1017"/>
      <c r="BA72" s="1017"/>
      <c r="BB72" s="1017"/>
      <c r="BC72" s="1022">
        <f t="shared" si="2"/>
        <v>0</v>
      </c>
      <c r="BD72" s="1028">
        <f t="shared" si="3"/>
        <v>0</v>
      </c>
    </row>
    <row r="73" spans="2:56" s="973" customFormat="1" ht="14.4" x14ac:dyDescent="0.3">
      <c r="B73" s="1010">
        <f>USES!C88</f>
        <v>73</v>
      </c>
      <c r="C73" s="1011" t="str">
        <f>USES!D88</f>
        <v>MHF Application Fee (CDA/FHA Risk Sharing)</v>
      </c>
      <c r="D73" s="1014"/>
      <c r="E73" s="1022">
        <f>USES!J88</f>
        <v>0</v>
      </c>
      <c r="F73" s="1017"/>
      <c r="G73" s="1017"/>
      <c r="H73" s="1017"/>
      <c r="I73" s="1017"/>
      <c r="J73" s="1017"/>
      <c r="K73" s="1017"/>
      <c r="L73" s="1017"/>
      <c r="M73" s="1017"/>
      <c r="N73" s="1017"/>
      <c r="O73" s="1017"/>
      <c r="P73" s="1017"/>
      <c r="Q73" s="1017"/>
      <c r="R73" s="1017"/>
      <c r="S73" s="1017"/>
      <c r="T73" s="1017"/>
      <c r="U73" s="1017"/>
      <c r="V73" s="1017"/>
      <c r="W73" s="1017"/>
      <c r="X73" s="1017"/>
      <c r="Y73" s="1017"/>
      <c r="Z73" s="1017"/>
      <c r="AA73" s="1017"/>
      <c r="AB73" s="1017"/>
      <c r="AC73" s="1017"/>
      <c r="AD73" s="1017"/>
      <c r="AE73" s="1017"/>
      <c r="AF73" s="1017"/>
      <c r="AG73" s="1017"/>
      <c r="AH73" s="1017"/>
      <c r="AI73" s="1017"/>
      <c r="AJ73" s="1017"/>
      <c r="AK73" s="1017"/>
      <c r="AL73" s="1017"/>
      <c r="AM73" s="1017"/>
      <c r="AN73" s="1017"/>
      <c r="AO73" s="1017"/>
      <c r="AP73" s="1017"/>
      <c r="AQ73" s="1017"/>
      <c r="AR73" s="1017"/>
      <c r="AS73" s="1017"/>
      <c r="AT73" s="1017"/>
      <c r="AU73" s="1017"/>
      <c r="AV73" s="1017"/>
      <c r="AW73" s="1017"/>
      <c r="AX73" s="1017"/>
      <c r="AY73" s="1017"/>
      <c r="AZ73" s="1017"/>
      <c r="BA73" s="1017"/>
      <c r="BB73" s="1017"/>
      <c r="BC73" s="1022">
        <f t="shared" si="2"/>
        <v>0</v>
      </c>
      <c r="BD73" s="1028">
        <f t="shared" si="3"/>
        <v>0</v>
      </c>
    </row>
    <row r="74" spans="2:56" s="973" customFormat="1" ht="14.4" x14ac:dyDescent="0.3">
      <c r="B74" s="1010">
        <f>USES!C89</f>
        <v>74</v>
      </c>
      <c r="C74" s="1011" t="str">
        <f>USES!D89</f>
        <v>MHF Administrative and Legal Fee (CDA/FHA Risk Sharing)</v>
      </c>
      <c r="D74" s="1014"/>
      <c r="E74" s="1022">
        <f>USES!J89</f>
        <v>0</v>
      </c>
      <c r="F74" s="1017"/>
      <c r="G74" s="1017"/>
      <c r="H74" s="1017"/>
      <c r="I74" s="1017"/>
      <c r="J74" s="1017"/>
      <c r="K74" s="1017"/>
      <c r="L74" s="1017"/>
      <c r="M74" s="1017"/>
      <c r="N74" s="1017"/>
      <c r="O74" s="1017"/>
      <c r="P74" s="1017"/>
      <c r="Q74" s="1017"/>
      <c r="R74" s="1017"/>
      <c r="S74" s="1017"/>
      <c r="T74" s="1017"/>
      <c r="U74" s="1017"/>
      <c r="V74" s="1017"/>
      <c r="W74" s="1017"/>
      <c r="X74" s="1017"/>
      <c r="Y74" s="1017"/>
      <c r="Z74" s="1017"/>
      <c r="AA74" s="1017"/>
      <c r="AB74" s="1017"/>
      <c r="AC74" s="1017"/>
      <c r="AD74" s="1017"/>
      <c r="AE74" s="1017"/>
      <c r="AF74" s="1017"/>
      <c r="AG74" s="1017"/>
      <c r="AH74" s="1017"/>
      <c r="AI74" s="1017"/>
      <c r="AJ74" s="1017"/>
      <c r="AK74" s="1017"/>
      <c r="AL74" s="1017"/>
      <c r="AM74" s="1017"/>
      <c r="AN74" s="1017"/>
      <c r="AO74" s="1017"/>
      <c r="AP74" s="1017"/>
      <c r="AQ74" s="1017"/>
      <c r="AR74" s="1017"/>
      <c r="AS74" s="1017"/>
      <c r="AT74" s="1017"/>
      <c r="AU74" s="1017"/>
      <c r="AV74" s="1017"/>
      <c r="AW74" s="1017"/>
      <c r="AX74" s="1017"/>
      <c r="AY74" s="1017"/>
      <c r="AZ74" s="1017"/>
      <c r="BA74" s="1017"/>
      <c r="BB74" s="1017"/>
      <c r="BC74" s="1022">
        <f t="shared" si="2"/>
        <v>0</v>
      </c>
      <c r="BD74" s="1028">
        <f t="shared" si="3"/>
        <v>0</v>
      </c>
    </row>
    <row r="75" spans="2:56" s="973" customFormat="1" ht="14.4" x14ac:dyDescent="0.3">
      <c r="B75" s="1010">
        <f>USES!C90</f>
        <v>75</v>
      </c>
      <c r="C75" s="1011" t="str">
        <f>USES!D90</f>
        <v>Construction Loan Period MIP (CDA/FHA Risk Sharing)</v>
      </c>
      <c r="D75" s="1014"/>
      <c r="E75" s="1022">
        <f>USES!J90</f>
        <v>0</v>
      </c>
      <c r="F75" s="1017"/>
      <c r="G75" s="1017"/>
      <c r="H75" s="1017"/>
      <c r="I75" s="1017"/>
      <c r="J75" s="1017"/>
      <c r="K75" s="1017"/>
      <c r="L75" s="1017"/>
      <c r="M75" s="1017"/>
      <c r="N75" s="1017"/>
      <c r="O75" s="1017"/>
      <c r="P75" s="1017"/>
      <c r="Q75" s="1017"/>
      <c r="R75" s="1017"/>
      <c r="S75" s="1017"/>
      <c r="T75" s="1017"/>
      <c r="U75" s="1017"/>
      <c r="V75" s="1017"/>
      <c r="W75" s="1017"/>
      <c r="X75" s="1017"/>
      <c r="Y75" s="1017"/>
      <c r="Z75" s="1017"/>
      <c r="AA75" s="1017"/>
      <c r="AB75" s="1017"/>
      <c r="AC75" s="1017"/>
      <c r="AD75" s="1017"/>
      <c r="AE75" s="1017"/>
      <c r="AF75" s="1017"/>
      <c r="AG75" s="1017"/>
      <c r="AH75" s="1017"/>
      <c r="AI75" s="1017"/>
      <c r="AJ75" s="1017"/>
      <c r="AK75" s="1017"/>
      <c r="AL75" s="1017"/>
      <c r="AM75" s="1017"/>
      <c r="AN75" s="1017"/>
      <c r="AO75" s="1017"/>
      <c r="AP75" s="1017"/>
      <c r="AQ75" s="1017"/>
      <c r="AR75" s="1017"/>
      <c r="AS75" s="1017"/>
      <c r="AT75" s="1017"/>
      <c r="AU75" s="1017"/>
      <c r="AV75" s="1017"/>
      <c r="AW75" s="1017"/>
      <c r="AX75" s="1017"/>
      <c r="AY75" s="1017"/>
      <c r="AZ75" s="1017"/>
      <c r="BA75" s="1017"/>
      <c r="BB75" s="1017"/>
      <c r="BC75" s="1022">
        <f t="shared" si="2"/>
        <v>0</v>
      </c>
      <c r="BD75" s="1028">
        <f t="shared" si="3"/>
        <v>0</v>
      </c>
    </row>
    <row r="76" spans="2:56" s="973" customFormat="1" ht="14.4" x14ac:dyDescent="0.3">
      <c r="B76" s="1010">
        <f>USES!C91</f>
        <v>76</v>
      </c>
      <c r="C76" s="1011" t="str">
        <f>USES!D91</f>
        <v>First Year's Permanent MIP (CDA/FHA Risk Sharing)</v>
      </c>
      <c r="D76" s="1014"/>
      <c r="E76" s="1022">
        <f>USES!J91</f>
        <v>0</v>
      </c>
      <c r="F76" s="1017"/>
      <c r="G76" s="1017"/>
      <c r="H76" s="1017"/>
      <c r="I76" s="1017"/>
      <c r="J76" s="1017"/>
      <c r="K76" s="1017"/>
      <c r="L76" s="1017"/>
      <c r="M76" s="1017"/>
      <c r="N76" s="1017"/>
      <c r="O76" s="1017"/>
      <c r="P76" s="1017"/>
      <c r="Q76" s="1017"/>
      <c r="R76" s="1017"/>
      <c r="S76" s="1017"/>
      <c r="T76" s="1017"/>
      <c r="U76" s="1017"/>
      <c r="V76" s="1017"/>
      <c r="W76" s="1017"/>
      <c r="X76" s="1017"/>
      <c r="Y76" s="1017"/>
      <c r="Z76" s="1017"/>
      <c r="AA76" s="1017"/>
      <c r="AB76" s="1017"/>
      <c r="AC76" s="1017"/>
      <c r="AD76" s="1017"/>
      <c r="AE76" s="1017"/>
      <c r="AF76" s="1017"/>
      <c r="AG76" s="1017"/>
      <c r="AH76" s="1017"/>
      <c r="AI76" s="1017"/>
      <c r="AJ76" s="1017"/>
      <c r="AK76" s="1017"/>
      <c r="AL76" s="1017"/>
      <c r="AM76" s="1017"/>
      <c r="AN76" s="1017"/>
      <c r="AO76" s="1017"/>
      <c r="AP76" s="1017"/>
      <c r="AQ76" s="1017"/>
      <c r="AR76" s="1017"/>
      <c r="AS76" s="1017"/>
      <c r="AT76" s="1017"/>
      <c r="AU76" s="1017"/>
      <c r="AV76" s="1017"/>
      <c r="AW76" s="1017"/>
      <c r="AX76" s="1017"/>
      <c r="AY76" s="1017"/>
      <c r="AZ76" s="1017"/>
      <c r="BA76" s="1017"/>
      <c r="BB76" s="1017"/>
      <c r="BC76" s="1022">
        <f t="shared" si="2"/>
        <v>0</v>
      </c>
      <c r="BD76" s="1028">
        <f t="shared" si="3"/>
        <v>0</v>
      </c>
    </row>
    <row r="77" spans="2:56" s="973" customFormat="1" ht="14.4" x14ac:dyDescent="0.3">
      <c r="B77" s="1010">
        <f>USES!C92</f>
        <v>77</v>
      </c>
      <c r="C77" s="1011" t="str">
        <f>USES!D92</f>
        <v>CDA Closing Attorney's Fees</v>
      </c>
      <c r="D77" s="1014"/>
      <c r="E77" s="1022">
        <f>USES!J92</f>
        <v>0</v>
      </c>
      <c r="F77" s="1017"/>
      <c r="G77" s="1017"/>
      <c r="H77" s="1017"/>
      <c r="I77" s="1017"/>
      <c r="J77" s="1017"/>
      <c r="K77" s="1017"/>
      <c r="L77" s="1017"/>
      <c r="M77" s="1017"/>
      <c r="N77" s="1017"/>
      <c r="O77" s="1017"/>
      <c r="P77" s="1017"/>
      <c r="Q77" s="1017"/>
      <c r="R77" s="1017"/>
      <c r="S77" s="1017"/>
      <c r="T77" s="1017"/>
      <c r="U77" s="1017"/>
      <c r="V77" s="1017"/>
      <c r="W77" s="1017"/>
      <c r="X77" s="1017"/>
      <c r="Y77" s="1017"/>
      <c r="Z77" s="1017"/>
      <c r="AA77" s="1017"/>
      <c r="AB77" s="1017"/>
      <c r="AC77" s="1017"/>
      <c r="AD77" s="1017"/>
      <c r="AE77" s="1017"/>
      <c r="AF77" s="1017"/>
      <c r="AG77" s="1017"/>
      <c r="AH77" s="1017"/>
      <c r="AI77" s="1017"/>
      <c r="AJ77" s="1017"/>
      <c r="AK77" s="1017"/>
      <c r="AL77" s="1017"/>
      <c r="AM77" s="1017"/>
      <c r="AN77" s="1017"/>
      <c r="AO77" s="1017"/>
      <c r="AP77" s="1017"/>
      <c r="AQ77" s="1017"/>
      <c r="AR77" s="1017"/>
      <c r="AS77" s="1017"/>
      <c r="AT77" s="1017"/>
      <c r="AU77" s="1017"/>
      <c r="AV77" s="1017"/>
      <c r="AW77" s="1017"/>
      <c r="AX77" s="1017"/>
      <c r="AY77" s="1017"/>
      <c r="AZ77" s="1017"/>
      <c r="BA77" s="1017"/>
      <c r="BB77" s="1017"/>
      <c r="BC77" s="1022">
        <f t="shared" si="2"/>
        <v>0</v>
      </c>
      <c r="BD77" s="1028">
        <f t="shared" si="3"/>
        <v>0</v>
      </c>
    </row>
    <row r="78" spans="2:56" s="973" customFormat="1" ht="14.4" x14ac:dyDescent="0.3">
      <c r="B78" s="1010">
        <f>USES!C93</f>
        <v>78</v>
      </c>
      <c r="C78" s="1011" t="str">
        <f>USES!D93</f>
        <v>CDA Tax Escrow Fee (All Bond Executions)</v>
      </c>
      <c r="D78" s="1014"/>
      <c r="E78" s="1022">
        <f>USES!J93</f>
        <v>0</v>
      </c>
      <c r="F78" s="1017"/>
      <c r="G78" s="1017"/>
      <c r="H78" s="1017"/>
      <c r="I78" s="1017"/>
      <c r="J78" s="1017"/>
      <c r="K78" s="1017"/>
      <c r="L78" s="1017"/>
      <c r="M78" s="1017"/>
      <c r="N78" s="1017"/>
      <c r="O78" s="1017"/>
      <c r="P78" s="1017"/>
      <c r="Q78" s="1017"/>
      <c r="R78" s="1017"/>
      <c r="S78" s="1017"/>
      <c r="T78" s="1017"/>
      <c r="U78" s="1017"/>
      <c r="V78" s="1017"/>
      <c r="W78" s="1017"/>
      <c r="X78" s="1017"/>
      <c r="Y78" s="1017"/>
      <c r="Z78" s="1017"/>
      <c r="AA78" s="1017"/>
      <c r="AB78" s="1017"/>
      <c r="AC78" s="1017"/>
      <c r="AD78" s="1017"/>
      <c r="AE78" s="1017"/>
      <c r="AF78" s="1017"/>
      <c r="AG78" s="1017"/>
      <c r="AH78" s="1017"/>
      <c r="AI78" s="1017"/>
      <c r="AJ78" s="1017"/>
      <c r="AK78" s="1017"/>
      <c r="AL78" s="1017"/>
      <c r="AM78" s="1017"/>
      <c r="AN78" s="1017"/>
      <c r="AO78" s="1017"/>
      <c r="AP78" s="1017"/>
      <c r="AQ78" s="1017"/>
      <c r="AR78" s="1017"/>
      <c r="AS78" s="1017"/>
      <c r="AT78" s="1017"/>
      <c r="AU78" s="1017"/>
      <c r="AV78" s="1017"/>
      <c r="AW78" s="1017"/>
      <c r="AX78" s="1017"/>
      <c r="AY78" s="1017"/>
      <c r="AZ78" s="1017"/>
      <c r="BA78" s="1017"/>
      <c r="BB78" s="1017"/>
      <c r="BC78" s="1022">
        <f t="shared" si="2"/>
        <v>0</v>
      </c>
      <c r="BD78" s="1028">
        <f t="shared" si="3"/>
        <v>0</v>
      </c>
    </row>
    <row r="79" spans="2:56" s="973" customFormat="1" ht="14.4" x14ac:dyDescent="0.3">
      <c r="B79" s="1010">
        <f>USES!C94</f>
        <v>79</v>
      </c>
      <c r="C79" s="1011" t="str">
        <f>USES!D94</f>
        <v>CDA Bond Financing Fee (Risk Sharing, LT GNMA, FTEL, FNMA MTEB)</v>
      </c>
      <c r="D79" s="1014"/>
      <c r="E79" s="1022">
        <f>USES!J94</f>
        <v>0</v>
      </c>
      <c r="F79" s="1017"/>
      <c r="G79" s="1017"/>
      <c r="H79" s="1017"/>
      <c r="I79" s="1017"/>
      <c r="J79" s="1017"/>
      <c r="K79" s="1017"/>
      <c r="L79" s="1017"/>
      <c r="M79" s="1017"/>
      <c r="N79" s="1017"/>
      <c r="O79" s="1017"/>
      <c r="P79" s="1017"/>
      <c r="Q79" s="1017"/>
      <c r="R79" s="1017"/>
      <c r="S79" s="1017"/>
      <c r="T79" s="1017"/>
      <c r="U79" s="1017"/>
      <c r="V79" s="1017"/>
      <c r="W79" s="1017"/>
      <c r="X79" s="1017"/>
      <c r="Y79" s="1017"/>
      <c r="Z79" s="1017"/>
      <c r="AA79" s="1017"/>
      <c r="AB79" s="1017"/>
      <c r="AC79" s="1017"/>
      <c r="AD79" s="1017"/>
      <c r="AE79" s="1017"/>
      <c r="AF79" s="1017"/>
      <c r="AG79" s="1017"/>
      <c r="AH79" s="1017"/>
      <c r="AI79" s="1017"/>
      <c r="AJ79" s="1017"/>
      <c r="AK79" s="1017"/>
      <c r="AL79" s="1017"/>
      <c r="AM79" s="1017"/>
      <c r="AN79" s="1017"/>
      <c r="AO79" s="1017"/>
      <c r="AP79" s="1017"/>
      <c r="AQ79" s="1017"/>
      <c r="AR79" s="1017"/>
      <c r="AS79" s="1017"/>
      <c r="AT79" s="1017"/>
      <c r="AU79" s="1017"/>
      <c r="AV79" s="1017"/>
      <c r="AW79" s="1017"/>
      <c r="AX79" s="1017"/>
      <c r="AY79" s="1017"/>
      <c r="AZ79" s="1017"/>
      <c r="BA79" s="1017"/>
      <c r="BB79" s="1017"/>
      <c r="BC79" s="1022">
        <f t="shared" si="2"/>
        <v>0</v>
      </c>
      <c r="BD79" s="1028">
        <f t="shared" si="3"/>
        <v>0</v>
      </c>
    </row>
    <row r="80" spans="2:56" s="973" customFormat="1" ht="14.4" x14ac:dyDescent="0.3">
      <c r="B80" s="1010">
        <f>USES!C95</f>
        <v>80</v>
      </c>
      <c r="C80" s="1011" t="str">
        <f>USES!D95</f>
        <v>CDA Bond Financing Fee (TX-TE GNMA)</v>
      </c>
      <c r="D80" s="1014"/>
      <c r="E80" s="1022">
        <f>USES!J95</f>
        <v>0</v>
      </c>
      <c r="F80" s="1017"/>
      <c r="G80" s="1017"/>
      <c r="H80" s="1017"/>
      <c r="I80" s="1017"/>
      <c r="J80" s="1017"/>
      <c r="K80" s="1017"/>
      <c r="L80" s="1017"/>
      <c r="M80" s="1017"/>
      <c r="N80" s="1017"/>
      <c r="O80" s="1017"/>
      <c r="P80" s="1017"/>
      <c r="Q80" s="1017"/>
      <c r="R80" s="1017"/>
      <c r="S80" s="1017"/>
      <c r="T80" s="1017"/>
      <c r="U80" s="1017"/>
      <c r="V80" s="1017"/>
      <c r="W80" s="1017"/>
      <c r="X80" s="1017"/>
      <c r="Y80" s="1017"/>
      <c r="Z80" s="1017"/>
      <c r="AA80" s="1017"/>
      <c r="AB80" s="1017"/>
      <c r="AC80" s="1017"/>
      <c r="AD80" s="1017"/>
      <c r="AE80" s="1017"/>
      <c r="AF80" s="1017"/>
      <c r="AG80" s="1017"/>
      <c r="AH80" s="1017"/>
      <c r="AI80" s="1017"/>
      <c r="AJ80" s="1017"/>
      <c r="AK80" s="1017"/>
      <c r="AL80" s="1017"/>
      <c r="AM80" s="1017"/>
      <c r="AN80" s="1017"/>
      <c r="AO80" s="1017"/>
      <c r="AP80" s="1017"/>
      <c r="AQ80" s="1017"/>
      <c r="AR80" s="1017"/>
      <c r="AS80" s="1017"/>
      <c r="AT80" s="1017"/>
      <c r="AU80" s="1017"/>
      <c r="AV80" s="1017"/>
      <c r="AW80" s="1017"/>
      <c r="AX80" s="1017"/>
      <c r="AY80" s="1017"/>
      <c r="AZ80" s="1017"/>
      <c r="BA80" s="1017"/>
      <c r="BB80" s="1017"/>
      <c r="BC80" s="1022">
        <f t="shared" ref="BC80:BC131" si="4">SUM(F80:BB80)</f>
        <v>0</v>
      </c>
      <c r="BD80" s="1028">
        <f t="shared" ref="BD80:BD131" si="5">E80-BC80</f>
        <v>0</v>
      </c>
    </row>
    <row r="81" spans="2:56" s="973" customFormat="1" ht="14.4" x14ac:dyDescent="0.3">
      <c r="B81" s="1010">
        <f>USES!C96</f>
        <v>81</v>
      </c>
      <c r="C81" s="1011" t="str">
        <f>USES!D96</f>
        <v>Trustee Fee (TX-TE GNMA, FTEL, FNMA MTEB)</v>
      </c>
      <c r="D81" s="1014"/>
      <c r="E81" s="1022">
        <f>USES!J96</f>
        <v>0</v>
      </c>
      <c r="F81" s="1017"/>
      <c r="G81" s="1017"/>
      <c r="H81" s="1017"/>
      <c r="I81" s="1017"/>
      <c r="J81" s="1017"/>
      <c r="K81" s="1017"/>
      <c r="L81" s="1017"/>
      <c r="M81" s="1017"/>
      <c r="N81" s="1017"/>
      <c r="O81" s="1017"/>
      <c r="P81" s="1017"/>
      <c r="Q81" s="1017"/>
      <c r="R81" s="1017"/>
      <c r="S81" s="1017"/>
      <c r="T81" s="1017"/>
      <c r="U81" s="1017"/>
      <c r="V81" s="1017"/>
      <c r="W81" s="1017"/>
      <c r="X81" s="1017"/>
      <c r="Y81" s="1017"/>
      <c r="Z81" s="1017"/>
      <c r="AA81" s="1017"/>
      <c r="AB81" s="1017"/>
      <c r="AC81" s="1017"/>
      <c r="AD81" s="1017"/>
      <c r="AE81" s="1017"/>
      <c r="AF81" s="1017"/>
      <c r="AG81" s="1017"/>
      <c r="AH81" s="1017"/>
      <c r="AI81" s="1017"/>
      <c r="AJ81" s="1017"/>
      <c r="AK81" s="1017"/>
      <c r="AL81" s="1017"/>
      <c r="AM81" s="1017"/>
      <c r="AN81" s="1017"/>
      <c r="AO81" s="1017"/>
      <c r="AP81" s="1017"/>
      <c r="AQ81" s="1017"/>
      <c r="AR81" s="1017"/>
      <c r="AS81" s="1017"/>
      <c r="AT81" s="1017"/>
      <c r="AU81" s="1017"/>
      <c r="AV81" s="1017"/>
      <c r="AW81" s="1017"/>
      <c r="AX81" s="1017"/>
      <c r="AY81" s="1017"/>
      <c r="AZ81" s="1017"/>
      <c r="BA81" s="1017"/>
      <c r="BB81" s="1017"/>
      <c r="BC81" s="1022">
        <f t="shared" si="4"/>
        <v>0</v>
      </c>
      <c r="BD81" s="1028">
        <f t="shared" si="5"/>
        <v>0</v>
      </c>
    </row>
    <row r="82" spans="2:56" s="973" customFormat="1" ht="14.4" x14ac:dyDescent="0.3">
      <c r="B82" s="1010">
        <f>USES!C97</f>
        <v>82</v>
      </c>
      <c r="C82" s="1011" t="str">
        <f>USES!D97</f>
        <v>Rebate Analyst Fee (All Bond Executions)</v>
      </c>
      <c r="D82" s="1014"/>
      <c r="E82" s="1022">
        <f>USES!J97</f>
        <v>0</v>
      </c>
      <c r="F82" s="1017"/>
      <c r="G82" s="1017"/>
      <c r="H82" s="1017"/>
      <c r="I82" s="1017"/>
      <c r="J82" s="1017"/>
      <c r="K82" s="1017"/>
      <c r="L82" s="1017"/>
      <c r="M82" s="1017"/>
      <c r="N82" s="1017"/>
      <c r="O82" s="1017"/>
      <c r="P82" s="1017"/>
      <c r="Q82" s="1017"/>
      <c r="R82" s="1017"/>
      <c r="S82" s="1017"/>
      <c r="T82" s="1017"/>
      <c r="U82" s="1017"/>
      <c r="V82" s="1017"/>
      <c r="W82" s="1017"/>
      <c r="X82" s="1017"/>
      <c r="Y82" s="1017"/>
      <c r="Z82" s="1017"/>
      <c r="AA82" s="1017"/>
      <c r="AB82" s="1017"/>
      <c r="AC82" s="1017"/>
      <c r="AD82" s="1017"/>
      <c r="AE82" s="1017"/>
      <c r="AF82" s="1017"/>
      <c r="AG82" s="1017"/>
      <c r="AH82" s="1017"/>
      <c r="AI82" s="1017"/>
      <c r="AJ82" s="1017"/>
      <c r="AK82" s="1017"/>
      <c r="AL82" s="1017"/>
      <c r="AM82" s="1017"/>
      <c r="AN82" s="1017"/>
      <c r="AO82" s="1017"/>
      <c r="AP82" s="1017"/>
      <c r="AQ82" s="1017"/>
      <c r="AR82" s="1017"/>
      <c r="AS82" s="1017"/>
      <c r="AT82" s="1017"/>
      <c r="AU82" s="1017"/>
      <c r="AV82" s="1017"/>
      <c r="AW82" s="1017"/>
      <c r="AX82" s="1017"/>
      <c r="AY82" s="1017"/>
      <c r="AZ82" s="1017"/>
      <c r="BA82" s="1017"/>
      <c r="BB82" s="1017"/>
      <c r="BC82" s="1022">
        <f t="shared" si="4"/>
        <v>0</v>
      </c>
      <c r="BD82" s="1028">
        <f t="shared" si="5"/>
        <v>0</v>
      </c>
    </row>
    <row r="83" spans="2:56" s="973" customFormat="1" ht="14.4" x14ac:dyDescent="0.3">
      <c r="B83" s="1010">
        <f>USES!C98</f>
        <v>83</v>
      </c>
      <c r="C83" s="1011" t="str">
        <f>USES!D98</f>
        <v>MHF Short Term Bond Loan Insurance</v>
      </c>
      <c r="D83" s="1014"/>
      <c r="E83" s="1022">
        <f>USES!J98</f>
        <v>0</v>
      </c>
      <c r="F83" s="1017"/>
      <c r="G83" s="1017"/>
      <c r="H83" s="1017"/>
      <c r="I83" s="1017"/>
      <c r="J83" s="1017"/>
      <c r="K83" s="1017"/>
      <c r="L83" s="1017"/>
      <c r="M83" s="1017"/>
      <c r="N83" s="1017"/>
      <c r="O83" s="1017"/>
      <c r="P83" s="1017"/>
      <c r="Q83" s="1017"/>
      <c r="R83" s="1017"/>
      <c r="S83" s="1017"/>
      <c r="T83" s="1017"/>
      <c r="U83" s="1017"/>
      <c r="V83" s="1017"/>
      <c r="W83" s="1017"/>
      <c r="X83" s="1017"/>
      <c r="Y83" s="1017"/>
      <c r="Z83" s="1017"/>
      <c r="AA83" s="1017"/>
      <c r="AB83" s="1017"/>
      <c r="AC83" s="1017"/>
      <c r="AD83" s="1017"/>
      <c r="AE83" s="1017"/>
      <c r="AF83" s="1017"/>
      <c r="AG83" s="1017"/>
      <c r="AH83" s="1017"/>
      <c r="AI83" s="1017"/>
      <c r="AJ83" s="1017"/>
      <c r="AK83" s="1017"/>
      <c r="AL83" s="1017"/>
      <c r="AM83" s="1017"/>
      <c r="AN83" s="1017"/>
      <c r="AO83" s="1017"/>
      <c r="AP83" s="1017"/>
      <c r="AQ83" s="1017"/>
      <c r="AR83" s="1017"/>
      <c r="AS83" s="1017"/>
      <c r="AT83" s="1017"/>
      <c r="AU83" s="1017"/>
      <c r="AV83" s="1017"/>
      <c r="AW83" s="1017"/>
      <c r="AX83" s="1017"/>
      <c r="AY83" s="1017"/>
      <c r="AZ83" s="1017"/>
      <c r="BA83" s="1017"/>
      <c r="BB83" s="1017"/>
      <c r="BC83" s="1022">
        <f t="shared" si="4"/>
        <v>0</v>
      </c>
      <c r="BD83" s="1028">
        <f t="shared" si="5"/>
        <v>0</v>
      </c>
    </row>
    <row r="84" spans="2:56" s="973" customFormat="1" ht="14.4" x14ac:dyDescent="0.3">
      <c r="B84" s="1010">
        <f>USES!C99</f>
        <v>84</v>
      </c>
      <c r="C84" s="1011" t="str">
        <f>USES!D99</f>
        <v>Conversion to Perm Fee (FTEL, FNMA MTEB)</v>
      </c>
      <c r="D84" s="1014"/>
      <c r="E84" s="1022">
        <f>USES!J99</f>
        <v>0</v>
      </c>
      <c r="F84" s="1017"/>
      <c r="G84" s="1017"/>
      <c r="H84" s="1017"/>
      <c r="I84" s="1017"/>
      <c r="J84" s="1017"/>
      <c r="K84" s="1017"/>
      <c r="L84" s="1017"/>
      <c r="M84" s="1017"/>
      <c r="N84" s="1017"/>
      <c r="O84" s="1017"/>
      <c r="P84" s="1017"/>
      <c r="Q84" s="1017"/>
      <c r="R84" s="1017"/>
      <c r="S84" s="1017"/>
      <c r="T84" s="1017"/>
      <c r="U84" s="1017"/>
      <c r="V84" s="1017"/>
      <c r="W84" s="1017"/>
      <c r="X84" s="1017"/>
      <c r="Y84" s="1017"/>
      <c r="Z84" s="1017"/>
      <c r="AA84" s="1017"/>
      <c r="AB84" s="1017"/>
      <c r="AC84" s="1017"/>
      <c r="AD84" s="1017"/>
      <c r="AE84" s="1017"/>
      <c r="AF84" s="1017"/>
      <c r="AG84" s="1017"/>
      <c r="AH84" s="1017"/>
      <c r="AI84" s="1017"/>
      <c r="AJ84" s="1017"/>
      <c r="AK84" s="1017"/>
      <c r="AL84" s="1017"/>
      <c r="AM84" s="1017"/>
      <c r="AN84" s="1017"/>
      <c r="AO84" s="1017"/>
      <c r="AP84" s="1017"/>
      <c r="AQ84" s="1017"/>
      <c r="AR84" s="1017"/>
      <c r="AS84" s="1017"/>
      <c r="AT84" s="1017"/>
      <c r="AU84" s="1017"/>
      <c r="AV84" s="1017"/>
      <c r="AW84" s="1017"/>
      <c r="AX84" s="1017"/>
      <c r="AY84" s="1017"/>
      <c r="AZ84" s="1017"/>
      <c r="BA84" s="1017"/>
      <c r="BB84" s="1017"/>
      <c r="BC84" s="1022">
        <f t="shared" si="4"/>
        <v>0</v>
      </c>
      <c r="BD84" s="1028">
        <f t="shared" si="5"/>
        <v>0</v>
      </c>
    </row>
    <row r="85" spans="2:56" s="973" customFormat="1" ht="14.4" x14ac:dyDescent="0.3">
      <c r="B85" s="1010">
        <f>USES!C100</f>
        <v>85</v>
      </c>
      <c r="C85" s="1011" t="str">
        <f>USES!D100</f>
        <v>Other Lenders' Origination Fees (non-syndication only)</v>
      </c>
      <c r="D85" s="1014"/>
      <c r="E85" s="1022">
        <f>USES!J100</f>
        <v>0</v>
      </c>
      <c r="F85" s="1017"/>
      <c r="G85" s="1017"/>
      <c r="H85" s="1017"/>
      <c r="I85" s="1017"/>
      <c r="J85" s="1017"/>
      <c r="K85" s="1017"/>
      <c r="L85" s="1017"/>
      <c r="M85" s="1017"/>
      <c r="N85" s="1017"/>
      <c r="O85" s="1017"/>
      <c r="P85" s="1017"/>
      <c r="Q85" s="1017"/>
      <c r="R85" s="1017"/>
      <c r="S85" s="1017"/>
      <c r="T85" s="1017"/>
      <c r="U85" s="1017"/>
      <c r="V85" s="1017"/>
      <c r="W85" s="1017"/>
      <c r="X85" s="1017"/>
      <c r="Y85" s="1017"/>
      <c r="Z85" s="1017"/>
      <c r="AA85" s="1017"/>
      <c r="AB85" s="1017"/>
      <c r="AC85" s="1017"/>
      <c r="AD85" s="1017"/>
      <c r="AE85" s="1017"/>
      <c r="AF85" s="1017"/>
      <c r="AG85" s="1017"/>
      <c r="AH85" s="1017"/>
      <c r="AI85" s="1017"/>
      <c r="AJ85" s="1017"/>
      <c r="AK85" s="1017"/>
      <c r="AL85" s="1017"/>
      <c r="AM85" s="1017"/>
      <c r="AN85" s="1017"/>
      <c r="AO85" s="1017"/>
      <c r="AP85" s="1017"/>
      <c r="AQ85" s="1017"/>
      <c r="AR85" s="1017"/>
      <c r="AS85" s="1017"/>
      <c r="AT85" s="1017"/>
      <c r="AU85" s="1017"/>
      <c r="AV85" s="1017"/>
      <c r="AW85" s="1017"/>
      <c r="AX85" s="1017"/>
      <c r="AY85" s="1017"/>
      <c r="AZ85" s="1017"/>
      <c r="BA85" s="1017"/>
      <c r="BB85" s="1017"/>
      <c r="BC85" s="1022">
        <f t="shared" si="4"/>
        <v>0</v>
      </c>
      <c r="BD85" s="1028">
        <f t="shared" si="5"/>
        <v>0</v>
      </c>
    </row>
    <row r="86" spans="2:56" s="973" customFormat="1" ht="14.4" x14ac:dyDescent="0.3">
      <c r="B86" s="1010">
        <f>USES!C101</f>
        <v>86</v>
      </c>
      <c r="C86" s="1011" t="str">
        <f>USES!D101</f>
        <v>Other Lenders' Legal Fees (non-syndication only)</v>
      </c>
      <c r="D86" s="1014"/>
      <c r="E86" s="1022">
        <f>USES!J101</f>
        <v>0</v>
      </c>
      <c r="F86" s="1017"/>
      <c r="G86" s="1017"/>
      <c r="H86" s="1017"/>
      <c r="I86" s="1017"/>
      <c r="J86" s="1017"/>
      <c r="K86" s="1017"/>
      <c r="L86" s="1017"/>
      <c r="M86" s="1017"/>
      <c r="N86" s="1017"/>
      <c r="O86" s="1017"/>
      <c r="P86" s="1017"/>
      <c r="Q86" s="1017"/>
      <c r="R86" s="1017"/>
      <c r="S86" s="1017"/>
      <c r="T86" s="1017"/>
      <c r="U86" s="1017"/>
      <c r="V86" s="1017"/>
      <c r="W86" s="1017"/>
      <c r="X86" s="1017"/>
      <c r="Y86" s="1017"/>
      <c r="Z86" s="1017"/>
      <c r="AA86" s="1017"/>
      <c r="AB86" s="1017"/>
      <c r="AC86" s="1017"/>
      <c r="AD86" s="1017"/>
      <c r="AE86" s="1017"/>
      <c r="AF86" s="1017"/>
      <c r="AG86" s="1017"/>
      <c r="AH86" s="1017"/>
      <c r="AI86" s="1017"/>
      <c r="AJ86" s="1017"/>
      <c r="AK86" s="1017"/>
      <c r="AL86" s="1017"/>
      <c r="AM86" s="1017"/>
      <c r="AN86" s="1017"/>
      <c r="AO86" s="1017"/>
      <c r="AP86" s="1017"/>
      <c r="AQ86" s="1017"/>
      <c r="AR86" s="1017"/>
      <c r="AS86" s="1017"/>
      <c r="AT86" s="1017"/>
      <c r="AU86" s="1017"/>
      <c r="AV86" s="1017"/>
      <c r="AW86" s="1017"/>
      <c r="AX86" s="1017"/>
      <c r="AY86" s="1017"/>
      <c r="AZ86" s="1017"/>
      <c r="BA86" s="1017"/>
      <c r="BB86" s="1017"/>
      <c r="BC86" s="1022">
        <f t="shared" si="4"/>
        <v>0</v>
      </c>
      <c r="BD86" s="1028">
        <f t="shared" si="5"/>
        <v>0</v>
      </c>
    </row>
    <row r="87" spans="2:56" s="973" customFormat="1" ht="14.4" x14ac:dyDescent="0.3">
      <c r="B87" s="1010">
        <f>USES!C102</f>
        <v>87</v>
      </c>
      <c r="C87" s="1011" t="str">
        <f>USES!D102</f>
        <v>Other Lenders' Due Diligence Fees (non-syndication only)</v>
      </c>
      <c r="D87" s="1014"/>
      <c r="E87" s="1022">
        <f>USES!J102</f>
        <v>0</v>
      </c>
      <c r="F87" s="1017"/>
      <c r="G87" s="1017"/>
      <c r="H87" s="1017"/>
      <c r="I87" s="1017"/>
      <c r="J87" s="1017"/>
      <c r="K87" s="1017"/>
      <c r="L87" s="1017"/>
      <c r="M87" s="1017"/>
      <c r="N87" s="1017"/>
      <c r="O87" s="1017"/>
      <c r="P87" s="1017"/>
      <c r="Q87" s="1017"/>
      <c r="R87" s="1017"/>
      <c r="S87" s="1017"/>
      <c r="T87" s="1017"/>
      <c r="U87" s="1017"/>
      <c r="V87" s="1017"/>
      <c r="W87" s="1017"/>
      <c r="X87" s="1017"/>
      <c r="Y87" s="1017"/>
      <c r="Z87" s="1017"/>
      <c r="AA87" s="1017"/>
      <c r="AB87" s="1017"/>
      <c r="AC87" s="1017"/>
      <c r="AD87" s="1017"/>
      <c r="AE87" s="1017"/>
      <c r="AF87" s="1017"/>
      <c r="AG87" s="1017"/>
      <c r="AH87" s="1017"/>
      <c r="AI87" s="1017"/>
      <c r="AJ87" s="1017"/>
      <c r="AK87" s="1017"/>
      <c r="AL87" s="1017"/>
      <c r="AM87" s="1017"/>
      <c r="AN87" s="1017"/>
      <c r="AO87" s="1017"/>
      <c r="AP87" s="1017"/>
      <c r="AQ87" s="1017"/>
      <c r="AR87" s="1017"/>
      <c r="AS87" s="1017"/>
      <c r="AT87" s="1017"/>
      <c r="AU87" s="1017"/>
      <c r="AV87" s="1017"/>
      <c r="AW87" s="1017"/>
      <c r="AX87" s="1017"/>
      <c r="AY87" s="1017"/>
      <c r="AZ87" s="1017"/>
      <c r="BA87" s="1017"/>
      <c r="BB87" s="1017"/>
      <c r="BC87" s="1022">
        <f t="shared" si="4"/>
        <v>0</v>
      </c>
      <c r="BD87" s="1028">
        <f t="shared" si="5"/>
        <v>0</v>
      </c>
    </row>
    <row r="88" spans="2:56" s="973" customFormat="1" ht="14.4" x14ac:dyDescent="0.3">
      <c r="B88" s="1010">
        <f>USES!C103</f>
        <v>88</v>
      </c>
      <c r="C88" s="1011" t="str">
        <f>USES!D103</f>
        <v>FHA Lender Legal</v>
      </c>
      <c r="D88" s="1014"/>
      <c r="E88" s="1022">
        <f>USES!J103</f>
        <v>0</v>
      </c>
      <c r="F88" s="1017"/>
      <c r="G88" s="1017"/>
      <c r="H88" s="1017"/>
      <c r="I88" s="1017"/>
      <c r="J88" s="1017"/>
      <c r="K88" s="1017"/>
      <c r="L88" s="1017"/>
      <c r="M88" s="1017"/>
      <c r="N88" s="1017"/>
      <c r="O88" s="1017"/>
      <c r="P88" s="1017"/>
      <c r="Q88" s="1017"/>
      <c r="R88" s="1017"/>
      <c r="S88" s="1017"/>
      <c r="T88" s="1017"/>
      <c r="U88" s="1017"/>
      <c r="V88" s="1017"/>
      <c r="W88" s="1017"/>
      <c r="X88" s="1017"/>
      <c r="Y88" s="1017"/>
      <c r="Z88" s="1017"/>
      <c r="AA88" s="1017"/>
      <c r="AB88" s="1017"/>
      <c r="AC88" s="1017"/>
      <c r="AD88" s="1017"/>
      <c r="AE88" s="1017"/>
      <c r="AF88" s="1017"/>
      <c r="AG88" s="1017"/>
      <c r="AH88" s="1017"/>
      <c r="AI88" s="1017"/>
      <c r="AJ88" s="1017"/>
      <c r="AK88" s="1017"/>
      <c r="AL88" s="1017"/>
      <c r="AM88" s="1017"/>
      <c r="AN88" s="1017"/>
      <c r="AO88" s="1017"/>
      <c r="AP88" s="1017"/>
      <c r="AQ88" s="1017"/>
      <c r="AR88" s="1017"/>
      <c r="AS88" s="1017"/>
      <c r="AT88" s="1017"/>
      <c r="AU88" s="1017"/>
      <c r="AV88" s="1017"/>
      <c r="AW88" s="1017"/>
      <c r="AX88" s="1017"/>
      <c r="AY88" s="1017"/>
      <c r="AZ88" s="1017"/>
      <c r="BA88" s="1017"/>
      <c r="BB88" s="1017"/>
      <c r="BC88" s="1022">
        <f t="shared" si="4"/>
        <v>0</v>
      </c>
      <c r="BD88" s="1028">
        <f t="shared" si="5"/>
        <v>0</v>
      </c>
    </row>
    <row r="89" spans="2:56" s="973" customFormat="1" ht="14.4" x14ac:dyDescent="0.3">
      <c r="B89" s="1010">
        <f>USES!C104</f>
        <v>89</v>
      </c>
      <c r="C89" s="1011" t="str">
        <f>USES!D104</f>
        <v>FHA Lender Commitment Fee</v>
      </c>
      <c r="D89" s="1014"/>
      <c r="E89" s="1022">
        <f>USES!J104</f>
        <v>0</v>
      </c>
      <c r="F89" s="1017"/>
      <c r="G89" s="1017"/>
      <c r="H89" s="1017"/>
      <c r="I89" s="1017"/>
      <c r="J89" s="1017"/>
      <c r="K89" s="1017"/>
      <c r="L89" s="1017"/>
      <c r="M89" s="1017"/>
      <c r="N89" s="1017"/>
      <c r="O89" s="1017"/>
      <c r="P89" s="1017"/>
      <c r="Q89" s="1017"/>
      <c r="R89" s="1017"/>
      <c r="S89" s="1017"/>
      <c r="T89" s="1017"/>
      <c r="U89" s="1017"/>
      <c r="V89" s="1017"/>
      <c r="W89" s="1017"/>
      <c r="X89" s="1017"/>
      <c r="Y89" s="1017"/>
      <c r="Z89" s="1017"/>
      <c r="AA89" s="1017"/>
      <c r="AB89" s="1017"/>
      <c r="AC89" s="1017"/>
      <c r="AD89" s="1017"/>
      <c r="AE89" s="1017"/>
      <c r="AF89" s="1017"/>
      <c r="AG89" s="1017"/>
      <c r="AH89" s="1017"/>
      <c r="AI89" s="1017"/>
      <c r="AJ89" s="1017"/>
      <c r="AK89" s="1017"/>
      <c r="AL89" s="1017"/>
      <c r="AM89" s="1017"/>
      <c r="AN89" s="1017"/>
      <c r="AO89" s="1017"/>
      <c r="AP89" s="1017"/>
      <c r="AQ89" s="1017"/>
      <c r="AR89" s="1017"/>
      <c r="AS89" s="1017"/>
      <c r="AT89" s="1017"/>
      <c r="AU89" s="1017"/>
      <c r="AV89" s="1017"/>
      <c r="AW89" s="1017"/>
      <c r="AX89" s="1017"/>
      <c r="AY89" s="1017"/>
      <c r="AZ89" s="1017"/>
      <c r="BA89" s="1017"/>
      <c r="BB89" s="1017"/>
      <c r="BC89" s="1022">
        <f t="shared" si="4"/>
        <v>0</v>
      </c>
      <c r="BD89" s="1028">
        <f t="shared" si="5"/>
        <v>0</v>
      </c>
    </row>
    <row r="90" spans="2:56" s="973" customFormat="1" ht="14.4" x14ac:dyDescent="0.3">
      <c r="B90" s="1010">
        <f>USES!C105</f>
        <v>90</v>
      </c>
      <c r="C90" s="1011" t="str">
        <f>USES!D105</f>
        <v>FHA Lender Inspection Fee</v>
      </c>
      <c r="D90" s="1014"/>
      <c r="E90" s="1022">
        <f>USES!J105</f>
        <v>0</v>
      </c>
      <c r="F90" s="1017"/>
      <c r="G90" s="1017"/>
      <c r="H90" s="1017"/>
      <c r="I90" s="1017"/>
      <c r="J90" s="1017"/>
      <c r="K90" s="1017"/>
      <c r="L90" s="1017"/>
      <c r="M90" s="1017"/>
      <c r="N90" s="1017"/>
      <c r="O90" s="1017"/>
      <c r="P90" s="1017"/>
      <c r="Q90" s="1017"/>
      <c r="R90" s="1017"/>
      <c r="S90" s="1017"/>
      <c r="T90" s="1017"/>
      <c r="U90" s="1017"/>
      <c r="V90" s="1017"/>
      <c r="W90" s="1017"/>
      <c r="X90" s="1017"/>
      <c r="Y90" s="1017"/>
      <c r="Z90" s="1017"/>
      <c r="AA90" s="1017"/>
      <c r="AB90" s="1017"/>
      <c r="AC90" s="1017"/>
      <c r="AD90" s="1017"/>
      <c r="AE90" s="1017"/>
      <c r="AF90" s="1017"/>
      <c r="AG90" s="1017"/>
      <c r="AH90" s="1017"/>
      <c r="AI90" s="1017"/>
      <c r="AJ90" s="1017"/>
      <c r="AK90" s="1017"/>
      <c r="AL90" s="1017"/>
      <c r="AM90" s="1017"/>
      <c r="AN90" s="1017"/>
      <c r="AO90" s="1017"/>
      <c r="AP90" s="1017"/>
      <c r="AQ90" s="1017"/>
      <c r="AR90" s="1017"/>
      <c r="AS90" s="1017"/>
      <c r="AT90" s="1017"/>
      <c r="AU90" s="1017"/>
      <c r="AV90" s="1017"/>
      <c r="AW90" s="1017"/>
      <c r="AX90" s="1017"/>
      <c r="AY90" s="1017"/>
      <c r="AZ90" s="1017"/>
      <c r="BA90" s="1017"/>
      <c r="BB90" s="1017"/>
      <c r="BC90" s="1022">
        <f t="shared" si="4"/>
        <v>0</v>
      </c>
      <c r="BD90" s="1028">
        <f t="shared" si="5"/>
        <v>0</v>
      </c>
    </row>
    <row r="91" spans="2:56" s="973" customFormat="1" ht="14.4" x14ac:dyDescent="0.3">
      <c r="B91" s="1010">
        <f>USES!C106</f>
        <v>91</v>
      </c>
      <c r="C91" s="1011" t="str">
        <f>USES!D106</f>
        <v>FHA Lender Fee</v>
      </c>
      <c r="D91" s="1014"/>
      <c r="E91" s="1022">
        <f>USES!J106</f>
        <v>0</v>
      </c>
      <c r="F91" s="1056"/>
      <c r="G91" s="1056"/>
      <c r="H91" s="1056"/>
      <c r="I91" s="1056"/>
      <c r="J91" s="1056"/>
      <c r="K91" s="1056"/>
      <c r="L91" s="1056"/>
      <c r="M91" s="1056"/>
      <c r="N91" s="1056"/>
      <c r="O91" s="1056"/>
      <c r="P91" s="1056"/>
      <c r="Q91" s="1056"/>
      <c r="R91" s="1056"/>
      <c r="S91" s="1056"/>
      <c r="T91" s="1056"/>
      <c r="U91" s="1056"/>
      <c r="V91" s="1056"/>
      <c r="W91" s="1056"/>
      <c r="X91" s="1056"/>
      <c r="Y91" s="1056"/>
      <c r="Z91" s="1056"/>
      <c r="AA91" s="1056"/>
      <c r="AB91" s="1056"/>
      <c r="AC91" s="1056"/>
      <c r="AD91" s="1056"/>
      <c r="AE91" s="1056"/>
      <c r="AF91" s="1056"/>
      <c r="AG91" s="1056"/>
      <c r="AH91" s="1056"/>
      <c r="AI91" s="1056"/>
      <c r="AJ91" s="1056"/>
      <c r="AK91" s="1056"/>
      <c r="AL91" s="1056"/>
      <c r="AM91" s="1056"/>
      <c r="AN91" s="1056"/>
      <c r="AO91" s="1056"/>
      <c r="AP91" s="1056"/>
      <c r="AQ91" s="1056"/>
      <c r="AR91" s="1056"/>
      <c r="AS91" s="1056"/>
      <c r="AT91" s="1056"/>
      <c r="AU91" s="1056"/>
      <c r="AV91" s="1056"/>
      <c r="AW91" s="1056"/>
      <c r="AX91" s="1056"/>
      <c r="AY91" s="1056"/>
      <c r="AZ91" s="1056"/>
      <c r="BA91" s="1056"/>
      <c r="BB91" s="1056"/>
      <c r="BC91" s="1022">
        <f t="shared" si="4"/>
        <v>0</v>
      </c>
      <c r="BD91" s="1028">
        <f t="shared" si="5"/>
        <v>0</v>
      </c>
    </row>
    <row r="92" spans="2:56" s="973" customFormat="1" ht="14.4" x14ac:dyDescent="0.3">
      <c r="B92" s="1010">
        <f>USES!C107</f>
        <v>92</v>
      </c>
      <c r="C92" s="1011" t="str">
        <f>USES!D107</f>
        <v>FHA Lender Due Diligence</v>
      </c>
      <c r="D92" s="1014"/>
      <c r="E92" s="1022">
        <f>USES!J107</f>
        <v>0</v>
      </c>
      <c r="F92" s="1056"/>
      <c r="G92" s="1056"/>
      <c r="H92" s="1056"/>
      <c r="I92" s="1056"/>
      <c r="J92" s="1056"/>
      <c r="K92" s="1056"/>
      <c r="L92" s="1056"/>
      <c r="M92" s="1056"/>
      <c r="N92" s="1056"/>
      <c r="O92" s="1056"/>
      <c r="P92" s="1056"/>
      <c r="Q92" s="1056"/>
      <c r="R92" s="1056"/>
      <c r="S92" s="1056"/>
      <c r="T92" s="1056"/>
      <c r="U92" s="1056"/>
      <c r="V92" s="1056"/>
      <c r="W92" s="1056"/>
      <c r="X92" s="1056"/>
      <c r="Y92" s="1056"/>
      <c r="Z92" s="1056"/>
      <c r="AA92" s="1056"/>
      <c r="AB92" s="1056"/>
      <c r="AC92" s="1056"/>
      <c r="AD92" s="1056"/>
      <c r="AE92" s="1056"/>
      <c r="AF92" s="1056"/>
      <c r="AG92" s="1056"/>
      <c r="AH92" s="1056"/>
      <c r="AI92" s="1056"/>
      <c r="AJ92" s="1056"/>
      <c r="AK92" s="1056"/>
      <c r="AL92" s="1056"/>
      <c r="AM92" s="1056"/>
      <c r="AN92" s="1056"/>
      <c r="AO92" s="1056"/>
      <c r="AP92" s="1056"/>
      <c r="AQ92" s="1056"/>
      <c r="AR92" s="1056"/>
      <c r="AS92" s="1056"/>
      <c r="AT92" s="1056"/>
      <c r="AU92" s="1056"/>
      <c r="AV92" s="1056"/>
      <c r="AW92" s="1056"/>
      <c r="AX92" s="1056"/>
      <c r="AY92" s="1056"/>
      <c r="AZ92" s="1056"/>
      <c r="BA92" s="1056"/>
      <c r="BB92" s="1056"/>
      <c r="BC92" s="1022">
        <f t="shared" si="4"/>
        <v>0</v>
      </c>
      <c r="BD92" s="1028">
        <f t="shared" si="5"/>
        <v>0</v>
      </c>
    </row>
    <row r="93" spans="2:56" s="973" customFormat="1" ht="14.4" x14ac:dyDescent="0.3">
      <c r="B93" s="1010">
        <f>USES!C108</f>
        <v>89</v>
      </c>
      <c r="C93" s="1011" t="str">
        <f>USES!D108</f>
        <v>FHA Lender Processing Fee</v>
      </c>
      <c r="D93" s="1014"/>
      <c r="E93" s="1022">
        <f>USES!J108</f>
        <v>0</v>
      </c>
      <c r="F93" s="1056"/>
      <c r="G93" s="1056"/>
      <c r="H93" s="1056"/>
      <c r="I93" s="1056"/>
      <c r="J93" s="1056"/>
      <c r="K93" s="1056"/>
      <c r="L93" s="1056"/>
      <c r="M93" s="1056"/>
      <c r="N93" s="1056"/>
      <c r="O93" s="1056"/>
      <c r="P93" s="1056"/>
      <c r="Q93" s="1056"/>
      <c r="R93" s="1056"/>
      <c r="S93" s="1056"/>
      <c r="T93" s="1056"/>
      <c r="U93" s="1056"/>
      <c r="V93" s="1056"/>
      <c r="W93" s="1056"/>
      <c r="X93" s="1056"/>
      <c r="Y93" s="1056"/>
      <c r="Z93" s="1056"/>
      <c r="AA93" s="1056"/>
      <c r="AB93" s="1056"/>
      <c r="AC93" s="1056"/>
      <c r="AD93" s="1056"/>
      <c r="AE93" s="1056"/>
      <c r="AF93" s="1056"/>
      <c r="AG93" s="1056"/>
      <c r="AH93" s="1056"/>
      <c r="AI93" s="1056"/>
      <c r="AJ93" s="1056"/>
      <c r="AK93" s="1056"/>
      <c r="AL93" s="1056"/>
      <c r="AM93" s="1056"/>
      <c r="AN93" s="1056"/>
      <c r="AO93" s="1056"/>
      <c r="AP93" s="1056"/>
      <c r="AQ93" s="1056"/>
      <c r="AR93" s="1056"/>
      <c r="AS93" s="1056"/>
      <c r="AT93" s="1056"/>
      <c r="AU93" s="1056"/>
      <c r="AV93" s="1056"/>
      <c r="AW93" s="1056"/>
      <c r="AX93" s="1056"/>
      <c r="AY93" s="1056"/>
      <c r="AZ93" s="1056"/>
      <c r="BA93" s="1056"/>
      <c r="BB93" s="1056"/>
      <c r="BC93" s="1022">
        <f t="shared" si="4"/>
        <v>0</v>
      </c>
      <c r="BD93" s="1028">
        <f t="shared" si="5"/>
        <v>0</v>
      </c>
    </row>
    <row r="94" spans="2:56" s="973" customFormat="1" ht="14.4" x14ac:dyDescent="0.3">
      <c r="B94" s="1010">
        <f>USES!C109</f>
        <v>90</v>
      </c>
      <c r="C94" s="1011" t="str">
        <f>USES!D109</f>
        <v>Other:</v>
      </c>
      <c r="D94" s="1014"/>
      <c r="E94" s="1022">
        <f>USES!J109</f>
        <v>0</v>
      </c>
      <c r="F94" s="1056"/>
      <c r="G94" s="1056"/>
      <c r="H94" s="1056"/>
      <c r="I94" s="1056"/>
      <c r="J94" s="1056"/>
      <c r="K94" s="1056"/>
      <c r="L94" s="1056"/>
      <c r="M94" s="1056"/>
      <c r="N94" s="1056"/>
      <c r="O94" s="1056"/>
      <c r="P94" s="1056"/>
      <c r="Q94" s="1056"/>
      <c r="R94" s="1056"/>
      <c r="S94" s="1056"/>
      <c r="T94" s="1056"/>
      <c r="U94" s="1056"/>
      <c r="V94" s="1056"/>
      <c r="W94" s="1056"/>
      <c r="X94" s="1056"/>
      <c r="Y94" s="1056"/>
      <c r="Z94" s="1056"/>
      <c r="AA94" s="1056"/>
      <c r="AB94" s="1056"/>
      <c r="AC94" s="1056"/>
      <c r="AD94" s="1056"/>
      <c r="AE94" s="1056"/>
      <c r="AF94" s="1056"/>
      <c r="AG94" s="1056"/>
      <c r="AH94" s="1056"/>
      <c r="AI94" s="1056"/>
      <c r="AJ94" s="1056"/>
      <c r="AK94" s="1056"/>
      <c r="AL94" s="1056"/>
      <c r="AM94" s="1056"/>
      <c r="AN94" s="1056"/>
      <c r="AO94" s="1056"/>
      <c r="AP94" s="1056"/>
      <c r="AQ94" s="1056"/>
      <c r="AR94" s="1056"/>
      <c r="AS94" s="1056"/>
      <c r="AT94" s="1056"/>
      <c r="AU94" s="1056"/>
      <c r="AV94" s="1056"/>
      <c r="AW94" s="1056"/>
      <c r="AX94" s="1056"/>
      <c r="AY94" s="1056"/>
      <c r="AZ94" s="1056"/>
      <c r="BA94" s="1056"/>
      <c r="BB94" s="1056"/>
      <c r="BC94" s="1022">
        <f t="shared" si="4"/>
        <v>0</v>
      </c>
      <c r="BD94" s="1028">
        <f t="shared" si="5"/>
        <v>0</v>
      </c>
    </row>
    <row r="95" spans="2:56" s="973" customFormat="1" ht="14.4" x14ac:dyDescent="0.3">
      <c r="B95" s="1010">
        <f>USES!C110</f>
        <v>91</v>
      </c>
      <c r="C95" s="1011" t="str">
        <f>USES!D110</f>
        <v>Other:</v>
      </c>
      <c r="D95" s="1014"/>
      <c r="E95" s="1022">
        <f>USES!J110</f>
        <v>0</v>
      </c>
      <c r="F95" s="1017"/>
      <c r="G95" s="1017"/>
      <c r="H95" s="1017"/>
      <c r="I95" s="1017"/>
      <c r="J95" s="1017"/>
      <c r="K95" s="1017"/>
      <c r="L95" s="1017"/>
      <c r="M95" s="1017"/>
      <c r="N95" s="1017"/>
      <c r="O95" s="1017"/>
      <c r="P95" s="1017"/>
      <c r="Q95" s="1017"/>
      <c r="R95" s="1017"/>
      <c r="S95" s="1017"/>
      <c r="T95" s="1017"/>
      <c r="U95" s="1017"/>
      <c r="V95" s="1017"/>
      <c r="W95" s="1017"/>
      <c r="X95" s="1017"/>
      <c r="Y95" s="1017"/>
      <c r="Z95" s="1017"/>
      <c r="AA95" s="1017"/>
      <c r="AB95" s="1017"/>
      <c r="AC95" s="1017"/>
      <c r="AD95" s="1017"/>
      <c r="AE95" s="1017"/>
      <c r="AF95" s="1017"/>
      <c r="AG95" s="1017"/>
      <c r="AH95" s="1017"/>
      <c r="AI95" s="1017"/>
      <c r="AJ95" s="1017"/>
      <c r="AK95" s="1017"/>
      <c r="AL95" s="1017"/>
      <c r="AM95" s="1017"/>
      <c r="AN95" s="1017"/>
      <c r="AO95" s="1017"/>
      <c r="AP95" s="1017"/>
      <c r="AQ95" s="1017"/>
      <c r="AR95" s="1017"/>
      <c r="AS95" s="1017"/>
      <c r="AT95" s="1017"/>
      <c r="AU95" s="1017"/>
      <c r="AV95" s="1017"/>
      <c r="AW95" s="1017"/>
      <c r="AX95" s="1017"/>
      <c r="AY95" s="1017"/>
      <c r="AZ95" s="1017"/>
      <c r="BA95" s="1017"/>
      <c r="BB95" s="1017"/>
      <c r="BC95" s="1022">
        <f t="shared" si="4"/>
        <v>0</v>
      </c>
      <c r="BD95" s="1028">
        <f t="shared" si="5"/>
        <v>0</v>
      </c>
    </row>
    <row r="96" spans="2:56" s="973" customFormat="1" ht="14.4" x14ac:dyDescent="0.3">
      <c r="B96" s="1010">
        <f>USES!C111</f>
        <v>92</v>
      </c>
      <c r="C96" s="1011" t="str">
        <f>USES!D111</f>
        <v>Other:</v>
      </c>
      <c r="D96" s="1014"/>
      <c r="E96" s="1022">
        <f>USES!J111</f>
        <v>0</v>
      </c>
      <c r="F96" s="1265"/>
      <c r="G96" s="1265"/>
      <c r="H96" s="1265"/>
      <c r="I96" s="1265"/>
      <c r="J96" s="1265"/>
      <c r="K96" s="1265"/>
      <c r="L96" s="1265"/>
      <c r="M96" s="1265"/>
      <c r="N96" s="1265"/>
      <c r="O96" s="1265"/>
      <c r="P96" s="1265"/>
      <c r="Q96" s="1265"/>
      <c r="R96" s="1265"/>
      <c r="S96" s="1265"/>
      <c r="T96" s="1265"/>
      <c r="U96" s="1265"/>
      <c r="V96" s="1265"/>
      <c r="W96" s="1265"/>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265"/>
      <c r="AS96" s="1265"/>
      <c r="AT96" s="1265"/>
      <c r="AU96" s="1265"/>
      <c r="AV96" s="1265"/>
      <c r="AW96" s="1265"/>
      <c r="AX96" s="1265"/>
      <c r="AY96" s="1265"/>
      <c r="AZ96" s="1265"/>
      <c r="BA96" s="1265"/>
      <c r="BB96" s="1265"/>
      <c r="BC96" s="1022">
        <f t="shared" si="4"/>
        <v>0</v>
      </c>
      <c r="BD96" s="1028">
        <f t="shared" si="5"/>
        <v>0</v>
      </c>
    </row>
    <row r="97" spans="2:56" s="973" customFormat="1" ht="14.4" x14ac:dyDescent="0.3">
      <c r="B97" s="1010">
        <f>USES!C112</f>
        <v>93</v>
      </c>
      <c r="C97" s="1011" t="str">
        <f>USES!D112</f>
        <v>Other:</v>
      </c>
      <c r="D97" s="1014"/>
      <c r="E97" s="1022">
        <f>USES!J112</f>
        <v>0</v>
      </c>
      <c r="F97" s="1265"/>
      <c r="G97" s="1265"/>
      <c r="H97" s="1265"/>
      <c r="I97" s="1265"/>
      <c r="J97" s="1265"/>
      <c r="K97" s="1265"/>
      <c r="L97" s="1265"/>
      <c r="M97" s="1265"/>
      <c r="N97" s="1265"/>
      <c r="O97" s="1265"/>
      <c r="P97" s="1265"/>
      <c r="Q97" s="1265"/>
      <c r="R97" s="1265"/>
      <c r="S97" s="1265"/>
      <c r="T97" s="1265"/>
      <c r="U97" s="1265"/>
      <c r="V97" s="1265"/>
      <c r="W97" s="1265"/>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265"/>
      <c r="AS97" s="1265"/>
      <c r="AT97" s="1265"/>
      <c r="AU97" s="1265"/>
      <c r="AV97" s="1265"/>
      <c r="AW97" s="1265"/>
      <c r="AX97" s="1265"/>
      <c r="AY97" s="1265"/>
      <c r="AZ97" s="1265"/>
      <c r="BA97" s="1265"/>
      <c r="BB97" s="1265"/>
      <c r="BC97" s="1022">
        <f t="shared" si="4"/>
        <v>0</v>
      </c>
      <c r="BD97" s="1028">
        <f t="shared" si="5"/>
        <v>0</v>
      </c>
    </row>
    <row r="98" spans="2:56" s="973" customFormat="1" ht="14.4" x14ac:dyDescent="0.3">
      <c r="B98" s="1006"/>
      <c r="C98" s="1007" t="s">
        <v>780</v>
      </c>
      <c r="D98" s="1008"/>
      <c r="E98" s="1020"/>
      <c r="F98" s="1020"/>
      <c r="G98" s="1020"/>
      <c r="H98" s="1020"/>
      <c r="I98" s="1020"/>
      <c r="J98" s="1020"/>
      <c r="K98" s="1020"/>
      <c r="L98" s="1020"/>
      <c r="M98" s="1020"/>
      <c r="N98" s="1020"/>
      <c r="O98" s="1020"/>
      <c r="P98" s="1020"/>
      <c r="Q98" s="1020"/>
      <c r="R98" s="1020"/>
      <c r="S98" s="1020"/>
      <c r="T98" s="1020"/>
      <c r="U98" s="1020"/>
      <c r="V98" s="1020"/>
      <c r="W98" s="1020"/>
      <c r="X98" s="1020"/>
      <c r="Y98" s="1020"/>
      <c r="Z98" s="1020"/>
      <c r="AA98" s="1020"/>
      <c r="AB98" s="1020"/>
      <c r="AC98" s="1020"/>
      <c r="AD98" s="1020"/>
      <c r="AE98" s="1020"/>
      <c r="AF98" s="1020"/>
      <c r="AG98" s="1020"/>
      <c r="AH98" s="1020"/>
      <c r="AI98" s="1020"/>
      <c r="AJ98" s="1020"/>
      <c r="AK98" s="1020"/>
      <c r="AL98" s="1020"/>
      <c r="AM98" s="1020"/>
      <c r="AN98" s="1020"/>
      <c r="AO98" s="1020"/>
      <c r="AP98" s="1020"/>
      <c r="AQ98" s="1020"/>
      <c r="AR98" s="1020"/>
      <c r="AS98" s="1020"/>
      <c r="AT98" s="1020"/>
      <c r="AU98" s="1020"/>
      <c r="AV98" s="1020"/>
      <c r="AW98" s="1020"/>
      <c r="AX98" s="1020"/>
      <c r="AY98" s="1020"/>
      <c r="AZ98" s="1020"/>
      <c r="BA98" s="1020"/>
      <c r="BB98" s="1020"/>
      <c r="BC98" s="1022">
        <f t="shared" si="4"/>
        <v>0</v>
      </c>
      <c r="BD98" s="1028">
        <f t="shared" si="5"/>
        <v>0</v>
      </c>
    </row>
    <row r="99" spans="2:56" s="973" customFormat="1" ht="14.4" x14ac:dyDescent="0.3">
      <c r="B99" s="1010">
        <f>USES!C118</f>
        <v>95</v>
      </c>
      <c r="C99" s="1011" t="str">
        <f>USES!D118</f>
        <v>Building Acquisition</v>
      </c>
      <c r="D99" s="1014"/>
      <c r="E99" s="1022">
        <f>USES!J118</f>
        <v>0</v>
      </c>
      <c r="F99" s="1017"/>
      <c r="G99" s="1017"/>
      <c r="H99" s="1017"/>
      <c r="I99" s="1017"/>
      <c r="J99" s="1017"/>
      <c r="K99" s="1017"/>
      <c r="L99" s="1017"/>
      <c r="M99" s="1017"/>
      <c r="N99" s="1017"/>
      <c r="O99" s="1017"/>
      <c r="P99" s="1017"/>
      <c r="Q99" s="1017"/>
      <c r="R99" s="1017"/>
      <c r="S99" s="1017"/>
      <c r="T99" s="1017"/>
      <c r="U99" s="1017"/>
      <c r="V99" s="1017"/>
      <c r="W99" s="1017"/>
      <c r="X99" s="1017"/>
      <c r="Y99" s="1017"/>
      <c r="Z99" s="1017"/>
      <c r="AA99" s="1017"/>
      <c r="AB99" s="1017"/>
      <c r="AC99" s="1017"/>
      <c r="AD99" s="1017"/>
      <c r="AE99" s="1017"/>
      <c r="AF99" s="1017"/>
      <c r="AG99" s="1017"/>
      <c r="AH99" s="1017"/>
      <c r="AI99" s="1017"/>
      <c r="AJ99" s="1017"/>
      <c r="AK99" s="1017"/>
      <c r="AL99" s="1017"/>
      <c r="AM99" s="1017"/>
      <c r="AN99" s="1017"/>
      <c r="AO99" s="1017"/>
      <c r="AP99" s="1017"/>
      <c r="AQ99" s="1017"/>
      <c r="AR99" s="1017"/>
      <c r="AS99" s="1017"/>
      <c r="AT99" s="1017"/>
      <c r="AU99" s="1017"/>
      <c r="AV99" s="1017"/>
      <c r="AW99" s="1017"/>
      <c r="AX99" s="1017"/>
      <c r="AY99" s="1017"/>
      <c r="AZ99" s="1017"/>
      <c r="BA99" s="1017"/>
      <c r="BB99" s="1017"/>
      <c r="BC99" s="1022">
        <f t="shared" si="4"/>
        <v>0</v>
      </c>
      <c r="BD99" s="1028">
        <f t="shared" si="5"/>
        <v>0</v>
      </c>
    </row>
    <row r="100" spans="2:56" s="973" customFormat="1" ht="14.4" x14ac:dyDescent="0.3">
      <c r="B100" s="1010">
        <f>USES!C119</f>
        <v>96</v>
      </c>
      <c r="C100" s="1011" t="str">
        <f>USES!D119</f>
        <v>Land Acquisition</v>
      </c>
      <c r="D100" s="1014"/>
      <c r="E100" s="1022">
        <f>USES!J119</f>
        <v>0</v>
      </c>
      <c r="F100" s="1017"/>
      <c r="G100" s="1017"/>
      <c r="H100" s="1017"/>
      <c r="I100" s="1017"/>
      <c r="J100" s="1017"/>
      <c r="K100" s="1017"/>
      <c r="L100" s="1017"/>
      <c r="M100" s="1017"/>
      <c r="N100" s="1017"/>
      <c r="O100" s="1017"/>
      <c r="P100" s="1017"/>
      <c r="Q100" s="1017"/>
      <c r="R100" s="1017"/>
      <c r="S100" s="1017"/>
      <c r="T100" s="1017"/>
      <c r="U100" s="1017"/>
      <c r="V100" s="1017"/>
      <c r="W100" s="1017"/>
      <c r="X100" s="1017"/>
      <c r="Y100" s="1017"/>
      <c r="Z100" s="1017"/>
      <c r="AA100" s="1017"/>
      <c r="AB100" s="1017"/>
      <c r="AC100" s="1017"/>
      <c r="AD100" s="1017"/>
      <c r="AE100" s="1017"/>
      <c r="AF100" s="1017"/>
      <c r="AG100" s="1017"/>
      <c r="AH100" s="1017"/>
      <c r="AI100" s="1017"/>
      <c r="AJ100" s="1017"/>
      <c r="AK100" s="1017"/>
      <c r="AL100" s="1017"/>
      <c r="AM100" s="1017"/>
      <c r="AN100" s="1017"/>
      <c r="AO100" s="1017"/>
      <c r="AP100" s="1017"/>
      <c r="AQ100" s="1017"/>
      <c r="AR100" s="1017"/>
      <c r="AS100" s="1017"/>
      <c r="AT100" s="1017"/>
      <c r="AU100" s="1017"/>
      <c r="AV100" s="1017"/>
      <c r="AW100" s="1017"/>
      <c r="AX100" s="1017"/>
      <c r="AY100" s="1017"/>
      <c r="AZ100" s="1017"/>
      <c r="BA100" s="1017"/>
      <c r="BB100" s="1017"/>
      <c r="BC100" s="1022">
        <f t="shared" si="4"/>
        <v>0</v>
      </c>
      <c r="BD100" s="1028">
        <f t="shared" si="5"/>
        <v>0</v>
      </c>
    </row>
    <row r="101" spans="2:56" s="973" customFormat="1" ht="14.4" x14ac:dyDescent="0.3">
      <c r="B101" s="1010">
        <f>USES!C120</f>
        <v>97</v>
      </c>
      <c r="C101" s="1011" t="str">
        <f>USES!D120</f>
        <v>Special Assessment</v>
      </c>
      <c r="D101" s="1014"/>
      <c r="E101" s="1022">
        <f>USES!J120</f>
        <v>0</v>
      </c>
      <c r="F101" s="1017"/>
      <c r="G101" s="1017"/>
      <c r="H101" s="1017"/>
      <c r="I101" s="1017"/>
      <c r="J101" s="1017"/>
      <c r="K101" s="1017"/>
      <c r="L101" s="1017"/>
      <c r="M101" s="1017"/>
      <c r="N101" s="1017"/>
      <c r="O101" s="1017"/>
      <c r="P101" s="1017"/>
      <c r="Q101" s="1017"/>
      <c r="R101" s="1017"/>
      <c r="S101" s="1017"/>
      <c r="T101" s="1017"/>
      <c r="U101" s="1017"/>
      <c r="V101" s="1017"/>
      <c r="W101" s="1017"/>
      <c r="X101" s="1017"/>
      <c r="Y101" s="1017"/>
      <c r="Z101" s="1017"/>
      <c r="AA101" s="1017"/>
      <c r="AB101" s="1017"/>
      <c r="AC101" s="1017"/>
      <c r="AD101" s="1017"/>
      <c r="AE101" s="1017"/>
      <c r="AF101" s="1017"/>
      <c r="AG101" s="1017"/>
      <c r="AH101" s="1017"/>
      <c r="AI101" s="1017"/>
      <c r="AJ101" s="1017"/>
      <c r="AK101" s="1017"/>
      <c r="AL101" s="1017"/>
      <c r="AM101" s="1017"/>
      <c r="AN101" s="1017"/>
      <c r="AO101" s="1017"/>
      <c r="AP101" s="1017"/>
      <c r="AQ101" s="1017"/>
      <c r="AR101" s="1017"/>
      <c r="AS101" s="1017"/>
      <c r="AT101" s="1017"/>
      <c r="AU101" s="1017"/>
      <c r="AV101" s="1017"/>
      <c r="AW101" s="1017"/>
      <c r="AX101" s="1017"/>
      <c r="AY101" s="1017"/>
      <c r="AZ101" s="1017"/>
      <c r="BA101" s="1017"/>
      <c r="BB101" s="1017"/>
      <c r="BC101" s="1022">
        <f t="shared" si="4"/>
        <v>0</v>
      </c>
      <c r="BD101" s="1028">
        <f t="shared" si="5"/>
        <v>0</v>
      </c>
    </row>
    <row r="102" spans="2:56" s="973" customFormat="1" ht="14.4" x14ac:dyDescent="0.3">
      <c r="B102" s="1010">
        <f>USES!C121</f>
        <v>98</v>
      </c>
      <c r="C102" s="1011" t="str">
        <f>USES!D121</f>
        <v>Carrying Charges</v>
      </c>
      <c r="D102" s="1014"/>
      <c r="E102" s="1022">
        <f>USES!J121</f>
        <v>0</v>
      </c>
      <c r="F102" s="1017"/>
      <c r="G102" s="1017"/>
      <c r="H102" s="1017"/>
      <c r="I102" s="1017"/>
      <c r="J102" s="1017"/>
      <c r="K102" s="1017"/>
      <c r="L102" s="1017"/>
      <c r="M102" s="1017"/>
      <c r="N102" s="1017"/>
      <c r="O102" s="1017"/>
      <c r="P102" s="1017"/>
      <c r="Q102" s="1017"/>
      <c r="R102" s="1017"/>
      <c r="S102" s="1017"/>
      <c r="T102" s="1017"/>
      <c r="U102" s="1017"/>
      <c r="V102" s="1017"/>
      <c r="W102" s="1017"/>
      <c r="X102" s="1017"/>
      <c r="Y102" s="1017"/>
      <c r="Z102" s="1017"/>
      <c r="AA102" s="1017"/>
      <c r="AB102" s="1017"/>
      <c r="AC102" s="1017"/>
      <c r="AD102" s="1017"/>
      <c r="AE102" s="1017"/>
      <c r="AF102" s="1017"/>
      <c r="AG102" s="1017"/>
      <c r="AH102" s="1017"/>
      <c r="AI102" s="1017"/>
      <c r="AJ102" s="1017"/>
      <c r="AK102" s="1017"/>
      <c r="AL102" s="1017"/>
      <c r="AM102" s="1017"/>
      <c r="AN102" s="1017"/>
      <c r="AO102" s="1017"/>
      <c r="AP102" s="1017"/>
      <c r="AQ102" s="1017"/>
      <c r="AR102" s="1017"/>
      <c r="AS102" s="1017"/>
      <c r="AT102" s="1017"/>
      <c r="AU102" s="1017"/>
      <c r="AV102" s="1017"/>
      <c r="AW102" s="1017"/>
      <c r="AX102" s="1017"/>
      <c r="AY102" s="1017"/>
      <c r="AZ102" s="1017"/>
      <c r="BA102" s="1017"/>
      <c r="BB102" s="1017"/>
      <c r="BC102" s="1022">
        <f t="shared" si="4"/>
        <v>0</v>
      </c>
      <c r="BD102" s="1028">
        <f t="shared" si="5"/>
        <v>0</v>
      </c>
    </row>
    <row r="103" spans="2:56" s="973" customFormat="1" ht="14.4" x14ac:dyDescent="0.3">
      <c r="B103" s="1010">
        <f>USES!C122</f>
        <v>99</v>
      </c>
      <c r="C103" s="1011" t="str">
        <f>USES!D122</f>
        <v>Relocation Costs</v>
      </c>
      <c r="D103" s="1014"/>
      <c r="E103" s="1022">
        <f>USES!J122</f>
        <v>0</v>
      </c>
      <c r="F103" s="1017"/>
      <c r="G103" s="1017"/>
      <c r="H103" s="1017"/>
      <c r="I103" s="1017"/>
      <c r="J103" s="1017"/>
      <c r="K103" s="1017"/>
      <c r="L103" s="1017"/>
      <c r="M103" s="1017"/>
      <c r="N103" s="1017"/>
      <c r="O103" s="1017"/>
      <c r="P103" s="1017"/>
      <c r="Q103" s="1017"/>
      <c r="R103" s="1017"/>
      <c r="S103" s="1017"/>
      <c r="T103" s="1017"/>
      <c r="U103" s="1017"/>
      <c r="V103" s="1017"/>
      <c r="W103" s="1017"/>
      <c r="X103" s="1017"/>
      <c r="Y103" s="1017"/>
      <c r="Z103" s="1017"/>
      <c r="AA103" s="1017"/>
      <c r="AB103" s="1017"/>
      <c r="AC103" s="1017"/>
      <c r="AD103" s="1017"/>
      <c r="AE103" s="1017"/>
      <c r="AF103" s="1017"/>
      <c r="AG103" s="1017"/>
      <c r="AH103" s="1017"/>
      <c r="AI103" s="1017"/>
      <c r="AJ103" s="1017"/>
      <c r="AK103" s="1017"/>
      <c r="AL103" s="1017"/>
      <c r="AM103" s="1017"/>
      <c r="AN103" s="1017"/>
      <c r="AO103" s="1017"/>
      <c r="AP103" s="1017"/>
      <c r="AQ103" s="1017"/>
      <c r="AR103" s="1017"/>
      <c r="AS103" s="1017"/>
      <c r="AT103" s="1017"/>
      <c r="AU103" s="1017"/>
      <c r="AV103" s="1017"/>
      <c r="AW103" s="1017"/>
      <c r="AX103" s="1017"/>
      <c r="AY103" s="1017"/>
      <c r="AZ103" s="1017"/>
      <c r="BA103" s="1017"/>
      <c r="BB103" s="1017"/>
      <c r="BC103" s="1022">
        <f t="shared" si="4"/>
        <v>0</v>
      </c>
      <c r="BD103" s="1028">
        <f t="shared" si="5"/>
        <v>0</v>
      </c>
    </row>
    <row r="104" spans="2:56" s="973" customFormat="1" ht="14.4" x14ac:dyDescent="0.3">
      <c r="B104" s="1010">
        <f>USES!C123</f>
        <v>100</v>
      </c>
      <c r="C104" s="1011" t="str">
        <f>USES!D123</f>
        <v>Off-Site Improvements</v>
      </c>
      <c r="D104" s="1014"/>
      <c r="E104" s="1022">
        <f>USES!J123</f>
        <v>0</v>
      </c>
      <c r="F104" s="1017"/>
      <c r="G104" s="1017"/>
      <c r="H104" s="1017"/>
      <c r="I104" s="1017"/>
      <c r="J104" s="1017"/>
      <c r="K104" s="1017"/>
      <c r="L104" s="1017"/>
      <c r="M104" s="1017"/>
      <c r="N104" s="1017"/>
      <c r="O104" s="1017"/>
      <c r="P104" s="1017"/>
      <c r="Q104" s="1017"/>
      <c r="R104" s="1017"/>
      <c r="S104" s="1017"/>
      <c r="T104" s="1017"/>
      <c r="U104" s="1017"/>
      <c r="V104" s="1017"/>
      <c r="W104" s="1017"/>
      <c r="X104" s="1017"/>
      <c r="Y104" s="1017"/>
      <c r="Z104" s="1017"/>
      <c r="AA104" s="1017"/>
      <c r="AB104" s="1017"/>
      <c r="AC104" s="1017"/>
      <c r="AD104" s="1017"/>
      <c r="AE104" s="1017"/>
      <c r="AF104" s="1017"/>
      <c r="AG104" s="1017"/>
      <c r="AH104" s="1017"/>
      <c r="AI104" s="1017"/>
      <c r="AJ104" s="1017"/>
      <c r="AK104" s="1017"/>
      <c r="AL104" s="1017"/>
      <c r="AM104" s="1017"/>
      <c r="AN104" s="1017"/>
      <c r="AO104" s="1017"/>
      <c r="AP104" s="1017"/>
      <c r="AQ104" s="1017"/>
      <c r="AR104" s="1017"/>
      <c r="AS104" s="1017"/>
      <c r="AT104" s="1017"/>
      <c r="AU104" s="1017"/>
      <c r="AV104" s="1017"/>
      <c r="AW104" s="1017"/>
      <c r="AX104" s="1017"/>
      <c r="AY104" s="1017"/>
      <c r="AZ104" s="1017"/>
      <c r="BA104" s="1017"/>
      <c r="BB104" s="1017"/>
      <c r="BC104" s="1022">
        <f t="shared" si="4"/>
        <v>0</v>
      </c>
      <c r="BD104" s="1028">
        <f t="shared" si="5"/>
        <v>0</v>
      </c>
    </row>
    <row r="105" spans="2:56" s="973" customFormat="1" ht="14.4" x14ac:dyDescent="0.3">
      <c r="B105" s="1010">
        <f>USES!C124</f>
        <v>101</v>
      </c>
      <c r="C105" s="1011" t="str">
        <f>USES!D124</f>
        <v>Other:</v>
      </c>
      <c r="D105" s="1014"/>
      <c r="E105" s="1022">
        <f>USES!J124</f>
        <v>0</v>
      </c>
      <c r="F105" s="1017"/>
      <c r="G105" s="1017"/>
      <c r="H105" s="1017"/>
      <c r="I105" s="1017"/>
      <c r="J105" s="1017"/>
      <c r="K105" s="1017"/>
      <c r="L105" s="1017"/>
      <c r="M105" s="1017"/>
      <c r="N105" s="1017"/>
      <c r="O105" s="1017"/>
      <c r="P105" s="1017"/>
      <c r="Q105" s="1017"/>
      <c r="R105" s="1017"/>
      <c r="S105" s="1017"/>
      <c r="T105" s="1017"/>
      <c r="U105" s="1017"/>
      <c r="V105" s="1017"/>
      <c r="W105" s="1017"/>
      <c r="X105" s="1017"/>
      <c r="Y105" s="1017"/>
      <c r="Z105" s="1017"/>
      <c r="AA105" s="1017"/>
      <c r="AB105" s="1017"/>
      <c r="AC105" s="1017"/>
      <c r="AD105" s="1017"/>
      <c r="AE105" s="1017"/>
      <c r="AF105" s="1017"/>
      <c r="AG105" s="1017"/>
      <c r="AH105" s="1017"/>
      <c r="AI105" s="1017"/>
      <c r="AJ105" s="1017"/>
      <c r="AK105" s="1017"/>
      <c r="AL105" s="1017"/>
      <c r="AM105" s="1017"/>
      <c r="AN105" s="1017"/>
      <c r="AO105" s="1017"/>
      <c r="AP105" s="1017"/>
      <c r="AQ105" s="1017"/>
      <c r="AR105" s="1017"/>
      <c r="AS105" s="1017"/>
      <c r="AT105" s="1017"/>
      <c r="AU105" s="1017"/>
      <c r="AV105" s="1017"/>
      <c r="AW105" s="1017"/>
      <c r="AX105" s="1017"/>
      <c r="AY105" s="1017"/>
      <c r="AZ105" s="1017"/>
      <c r="BA105" s="1017"/>
      <c r="BB105" s="1017"/>
      <c r="BC105" s="1022">
        <f t="shared" si="4"/>
        <v>0</v>
      </c>
      <c r="BD105" s="1028">
        <f t="shared" si="5"/>
        <v>0</v>
      </c>
    </row>
    <row r="106" spans="2:56" s="973" customFormat="1" ht="14.4" x14ac:dyDescent="0.3">
      <c r="B106" s="1010">
        <f>USES!C125</f>
        <v>102</v>
      </c>
      <c r="C106" s="1011" t="str">
        <f>USES!D125</f>
        <v>Other:</v>
      </c>
      <c r="D106" s="1014"/>
      <c r="E106" s="1022">
        <f>USES!J125</f>
        <v>0</v>
      </c>
      <c r="F106" s="1017"/>
      <c r="G106" s="1017"/>
      <c r="H106" s="1017"/>
      <c r="I106" s="1017"/>
      <c r="J106" s="1017"/>
      <c r="K106" s="1017"/>
      <c r="L106" s="1017"/>
      <c r="M106" s="1017"/>
      <c r="N106" s="1017"/>
      <c r="O106" s="1017"/>
      <c r="P106" s="1017"/>
      <c r="Q106" s="1017"/>
      <c r="R106" s="1017"/>
      <c r="S106" s="1017"/>
      <c r="T106" s="1017"/>
      <c r="U106" s="1017"/>
      <c r="V106" s="1017"/>
      <c r="W106" s="1017"/>
      <c r="X106" s="1017"/>
      <c r="Y106" s="1017"/>
      <c r="Z106" s="1017"/>
      <c r="AA106" s="1017"/>
      <c r="AB106" s="1017"/>
      <c r="AC106" s="1017"/>
      <c r="AD106" s="1017"/>
      <c r="AE106" s="1017"/>
      <c r="AF106" s="1017"/>
      <c r="AG106" s="1017"/>
      <c r="AH106" s="1017"/>
      <c r="AI106" s="1017"/>
      <c r="AJ106" s="1017"/>
      <c r="AK106" s="1017"/>
      <c r="AL106" s="1017"/>
      <c r="AM106" s="1017"/>
      <c r="AN106" s="1017"/>
      <c r="AO106" s="1017"/>
      <c r="AP106" s="1017"/>
      <c r="AQ106" s="1017"/>
      <c r="AR106" s="1017"/>
      <c r="AS106" s="1017"/>
      <c r="AT106" s="1017"/>
      <c r="AU106" s="1017"/>
      <c r="AV106" s="1017"/>
      <c r="AW106" s="1017"/>
      <c r="AX106" s="1017"/>
      <c r="AY106" s="1017"/>
      <c r="AZ106" s="1017"/>
      <c r="BA106" s="1017"/>
      <c r="BB106" s="1017"/>
      <c r="BC106" s="1022">
        <f t="shared" si="4"/>
        <v>0</v>
      </c>
      <c r="BD106" s="1028">
        <f t="shared" si="5"/>
        <v>0</v>
      </c>
    </row>
    <row r="107" spans="2:56" s="973" customFormat="1" ht="14.4" x14ac:dyDescent="0.3">
      <c r="B107" s="1006"/>
      <c r="C107" s="1007" t="s">
        <v>2378</v>
      </c>
      <c r="D107" s="1008"/>
      <c r="E107" s="1020"/>
      <c r="F107" s="1020"/>
      <c r="G107" s="1020"/>
      <c r="H107" s="1020"/>
      <c r="I107" s="1020"/>
      <c r="J107" s="1020"/>
      <c r="K107" s="1020"/>
      <c r="L107" s="1020"/>
      <c r="M107" s="1020"/>
      <c r="N107" s="1020"/>
      <c r="O107" s="1020"/>
      <c r="P107" s="1020"/>
      <c r="Q107" s="1020"/>
      <c r="R107" s="1020"/>
      <c r="S107" s="1020"/>
      <c r="T107" s="1020"/>
      <c r="U107" s="1020"/>
      <c r="V107" s="1020"/>
      <c r="W107" s="1020"/>
      <c r="X107" s="1020"/>
      <c r="Y107" s="1020"/>
      <c r="Z107" s="1020"/>
      <c r="AA107" s="1020"/>
      <c r="AB107" s="1020"/>
      <c r="AC107" s="1020"/>
      <c r="AD107" s="1020"/>
      <c r="AE107" s="1020"/>
      <c r="AF107" s="1020"/>
      <c r="AG107" s="1020"/>
      <c r="AH107" s="1020"/>
      <c r="AI107" s="1020"/>
      <c r="AJ107" s="1020"/>
      <c r="AK107" s="1020"/>
      <c r="AL107" s="1020"/>
      <c r="AM107" s="1020"/>
      <c r="AN107" s="1020"/>
      <c r="AO107" s="1020"/>
      <c r="AP107" s="1020"/>
      <c r="AQ107" s="1020"/>
      <c r="AR107" s="1020"/>
      <c r="AS107" s="1020"/>
      <c r="AT107" s="1020"/>
      <c r="AU107" s="1020"/>
      <c r="AV107" s="1020"/>
      <c r="AW107" s="1020"/>
      <c r="AX107" s="1020"/>
      <c r="AY107" s="1020"/>
      <c r="AZ107" s="1020"/>
      <c r="BA107" s="1020"/>
      <c r="BB107" s="1020"/>
      <c r="BC107" s="1022">
        <f t="shared" si="4"/>
        <v>0</v>
      </c>
      <c r="BD107" s="1028">
        <f t="shared" si="5"/>
        <v>0</v>
      </c>
    </row>
    <row r="108" spans="2:56" s="973" customFormat="1" ht="14.4" x14ac:dyDescent="0.3">
      <c r="B108" s="1010">
        <f>USES!C133</f>
        <v>105</v>
      </c>
      <c r="C108" s="1011" t="str">
        <f>USES!D133</f>
        <v>Fee on Non-Acquisition Costs (calculated below)</v>
      </c>
      <c r="D108" s="1014"/>
      <c r="E108" s="1022">
        <f>USES!J133</f>
        <v>0</v>
      </c>
      <c r="F108" s="1017"/>
      <c r="G108" s="1017"/>
      <c r="H108" s="1017"/>
      <c r="I108" s="1017"/>
      <c r="J108" s="1017"/>
      <c r="K108" s="1017"/>
      <c r="L108" s="1017"/>
      <c r="M108" s="1017"/>
      <c r="N108" s="1017"/>
      <c r="O108" s="1017"/>
      <c r="P108" s="1017"/>
      <c r="Q108" s="1017"/>
      <c r="R108" s="1017"/>
      <c r="S108" s="1017"/>
      <c r="T108" s="1017"/>
      <c r="U108" s="1017"/>
      <c r="V108" s="1017"/>
      <c r="W108" s="1017"/>
      <c r="X108" s="1017"/>
      <c r="Y108" s="1017"/>
      <c r="Z108" s="1017"/>
      <c r="AA108" s="1017"/>
      <c r="AB108" s="1017"/>
      <c r="AC108" s="1017"/>
      <c r="AD108" s="1017"/>
      <c r="AE108" s="1017"/>
      <c r="AF108" s="1017"/>
      <c r="AG108" s="1017"/>
      <c r="AH108" s="1017"/>
      <c r="AI108" s="1017"/>
      <c r="AJ108" s="1017"/>
      <c r="AK108" s="1017"/>
      <c r="AL108" s="1017"/>
      <c r="AM108" s="1017"/>
      <c r="AN108" s="1017"/>
      <c r="AO108" s="1017"/>
      <c r="AP108" s="1017"/>
      <c r="AQ108" s="1017"/>
      <c r="AR108" s="1017"/>
      <c r="AS108" s="1017"/>
      <c r="AT108" s="1017"/>
      <c r="AU108" s="1017"/>
      <c r="AV108" s="1017"/>
      <c r="AW108" s="1017"/>
      <c r="AX108" s="1017"/>
      <c r="AY108" s="1017"/>
      <c r="AZ108" s="1017"/>
      <c r="BA108" s="1017"/>
      <c r="BB108" s="1017"/>
      <c r="BC108" s="1022">
        <f t="shared" si="4"/>
        <v>0</v>
      </c>
      <c r="BD108" s="1028">
        <f t="shared" si="5"/>
        <v>0</v>
      </c>
    </row>
    <row r="109" spans="2:56" s="973" customFormat="1" ht="14.4" x14ac:dyDescent="0.3">
      <c r="B109" s="1010">
        <f>USES!C134</f>
        <v>106</v>
      </c>
      <c r="C109" s="1011" t="str">
        <f>USES!D134</f>
        <v>Fee on Acquisition Costs (calculated below)</v>
      </c>
      <c r="D109" s="1014"/>
      <c r="E109" s="1022">
        <f>USES!J134</f>
        <v>0</v>
      </c>
      <c r="F109" s="1017"/>
      <c r="G109" s="1017"/>
      <c r="H109" s="1017"/>
      <c r="I109" s="1017"/>
      <c r="J109" s="1017"/>
      <c r="K109" s="1017"/>
      <c r="L109" s="1017"/>
      <c r="M109" s="1017"/>
      <c r="N109" s="1017"/>
      <c r="O109" s="1017"/>
      <c r="P109" s="1017"/>
      <c r="Q109" s="1017"/>
      <c r="R109" s="1017"/>
      <c r="S109" s="1017"/>
      <c r="T109" s="1017"/>
      <c r="U109" s="1017"/>
      <c r="V109" s="1017"/>
      <c r="W109" s="1017"/>
      <c r="X109" s="1017"/>
      <c r="Y109" s="1017"/>
      <c r="Z109" s="1017"/>
      <c r="AA109" s="1017"/>
      <c r="AB109" s="1017"/>
      <c r="AC109" s="1017"/>
      <c r="AD109" s="1017"/>
      <c r="AE109" s="1017"/>
      <c r="AF109" s="1017"/>
      <c r="AG109" s="1017"/>
      <c r="AH109" s="1017"/>
      <c r="AI109" s="1017"/>
      <c r="AJ109" s="1017"/>
      <c r="AK109" s="1017"/>
      <c r="AL109" s="1017"/>
      <c r="AM109" s="1017"/>
      <c r="AN109" s="1017"/>
      <c r="AO109" s="1017"/>
      <c r="AP109" s="1017"/>
      <c r="AQ109" s="1017"/>
      <c r="AR109" s="1017"/>
      <c r="AS109" s="1017"/>
      <c r="AT109" s="1017"/>
      <c r="AU109" s="1017"/>
      <c r="AV109" s="1017"/>
      <c r="AW109" s="1017"/>
      <c r="AX109" s="1017"/>
      <c r="AY109" s="1017"/>
      <c r="AZ109" s="1017"/>
      <c r="BA109" s="1017"/>
      <c r="BB109" s="1017"/>
      <c r="BC109" s="1022">
        <f t="shared" si="4"/>
        <v>0</v>
      </c>
      <c r="BD109" s="1028">
        <f t="shared" si="5"/>
        <v>0</v>
      </c>
    </row>
    <row r="110" spans="2:56" s="973" customFormat="1" ht="14.4" x14ac:dyDescent="0.3">
      <c r="B110" s="1006"/>
      <c r="C110" s="1007" t="s">
        <v>795</v>
      </c>
      <c r="D110" s="1008"/>
      <c r="E110" s="1020"/>
      <c r="F110" s="1020"/>
      <c r="G110" s="1020"/>
      <c r="H110" s="1020"/>
      <c r="I110" s="1020"/>
      <c r="J110" s="1020"/>
      <c r="K110" s="1020"/>
      <c r="L110" s="1020"/>
      <c r="M110" s="1020"/>
      <c r="N110" s="1020"/>
      <c r="O110" s="1020"/>
      <c r="P110" s="1020"/>
      <c r="Q110" s="1020"/>
      <c r="R110" s="1020"/>
      <c r="S110" s="1020"/>
      <c r="T110" s="1020"/>
      <c r="U110" s="1020"/>
      <c r="V110" s="1020"/>
      <c r="W110" s="1020"/>
      <c r="X110" s="1020"/>
      <c r="Y110" s="1020"/>
      <c r="Z110" s="1020"/>
      <c r="AA110" s="1020"/>
      <c r="AB110" s="1020"/>
      <c r="AC110" s="1020"/>
      <c r="AD110" s="1020"/>
      <c r="AE110" s="1020"/>
      <c r="AF110" s="1020"/>
      <c r="AG110" s="1020"/>
      <c r="AH110" s="1020"/>
      <c r="AI110" s="1020"/>
      <c r="AJ110" s="1020"/>
      <c r="AK110" s="1020"/>
      <c r="AL110" s="1020"/>
      <c r="AM110" s="1020"/>
      <c r="AN110" s="1020"/>
      <c r="AO110" s="1020"/>
      <c r="AP110" s="1020"/>
      <c r="AQ110" s="1020"/>
      <c r="AR110" s="1020"/>
      <c r="AS110" s="1020"/>
      <c r="AT110" s="1020"/>
      <c r="AU110" s="1020"/>
      <c r="AV110" s="1020"/>
      <c r="AW110" s="1020"/>
      <c r="AX110" s="1020"/>
      <c r="AY110" s="1020"/>
      <c r="AZ110" s="1020"/>
      <c r="BA110" s="1020"/>
      <c r="BB110" s="1020"/>
      <c r="BC110" s="1022">
        <f t="shared" si="4"/>
        <v>0</v>
      </c>
      <c r="BD110" s="1028">
        <f t="shared" si="5"/>
        <v>0</v>
      </c>
    </row>
    <row r="111" spans="2:56" s="973" customFormat="1" ht="14.4" x14ac:dyDescent="0.3">
      <c r="B111" s="1016">
        <f>USES!C139</f>
        <v>108</v>
      </c>
      <c r="C111" s="1011" t="str">
        <f>USES!D139</f>
        <v>Syndication Fee</v>
      </c>
      <c r="D111" s="1014"/>
      <c r="E111" s="1022">
        <f>USES!J139</f>
        <v>0</v>
      </c>
      <c r="F111" s="1017"/>
      <c r="G111" s="1017"/>
      <c r="H111" s="1017"/>
      <c r="I111" s="1017"/>
      <c r="J111" s="1017"/>
      <c r="K111" s="1017"/>
      <c r="L111" s="1017"/>
      <c r="M111" s="1017"/>
      <c r="N111" s="1017"/>
      <c r="O111" s="1017"/>
      <c r="P111" s="1017"/>
      <c r="Q111" s="1017"/>
      <c r="R111" s="1017"/>
      <c r="S111" s="1017"/>
      <c r="T111" s="1017"/>
      <c r="U111" s="1017"/>
      <c r="V111" s="1017"/>
      <c r="W111" s="1017"/>
      <c r="X111" s="1017"/>
      <c r="Y111" s="1017"/>
      <c r="Z111" s="1017"/>
      <c r="AA111" s="1017"/>
      <c r="AB111" s="1017"/>
      <c r="AC111" s="1017"/>
      <c r="AD111" s="1017"/>
      <c r="AE111" s="1017"/>
      <c r="AF111" s="1017"/>
      <c r="AG111" s="1017"/>
      <c r="AH111" s="1017"/>
      <c r="AI111" s="1017"/>
      <c r="AJ111" s="1017"/>
      <c r="AK111" s="1017"/>
      <c r="AL111" s="1017"/>
      <c r="AM111" s="1017"/>
      <c r="AN111" s="1017"/>
      <c r="AO111" s="1017"/>
      <c r="AP111" s="1017"/>
      <c r="AQ111" s="1017"/>
      <c r="AR111" s="1017"/>
      <c r="AS111" s="1017"/>
      <c r="AT111" s="1017"/>
      <c r="AU111" s="1017"/>
      <c r="AV111" s="1017"/>
      <c r="AW111" s="1017"/>
      <c r="AX111" s="1017"/>
      <c r="AY111" s="1017"/>
      <c r="AZ111" s="1017"/>
      <c r="BA111" s="1017"/>
      <c r="BB111" s="1017"/>
      <c r="BC111" s="1022">
        <f t="shared" si="4"/>
        <v>0</v>
      </c>
      <c r="BD111" s="1028">
        <f t="shared" si="5"/>
        <v>0</v>
      </c>
    </row>
    <row r="112" spans="2:56" s="973" customFormat="1" ht="14.4" x14ac:dyDescent="0.3">
      <c r="B112" s="1016">
        <f>USES!C140</f>
        <v>109</v>
      </c>
      <c r="C112" s="1011" t="str">
        <f>USES!D140</f>
        <v>Legal (syndication only)</v>
      </c>
      <c r="D112" s="1014"/>
      <c r="E112" s="1022">
        <f>USES!J140</f>
        <v>0</v>
      </c>
      <c r="F112" s="1017"/>
      <c r="G112" s="1017"/>
      <c r="H112" s="1017"/>
      <c r="I112" s="1017"/>
      <c r="J112" s="1017"/>
      <c r="K112" s="1017"/>
      <c r="L112" s="1017"/>
      <c r="M112" s="1017"/>
      <c r="N112" s="1017"/>
      <c r="O112" s="1017"/>
      <c r="P112" s="1017"/>
      <c r="Q112" s="1017"/>
      <c r="R112" s="1017"/>
      <c r="S112" s="1017"/>
      <c r="T112" s="1017"/>
      <c r="U112" s="1017"/>
      <c r="V112" s="1017"/>
      <c r="W112" s="1017"/>
      <c r="X112" s="1023"/>
      <c r="Y112" s="1023"/>
      <c r="Z112" s="1023"/>
      <c r="AA112" s="1023"/>
      <c r="AB112" s="1023"/>
      <c r="AC112" s="1023"/>
      <c r="AD112" s="1023"/>
      <c r="AE112" s="1023"/>
      <c r="AF112" s="1023"/>
      <c r="AG112" s="1023"/>
      <c r="AH112" s="1023"/>
      <c r="AI112" s="1023"/>
      <c r="AJ112" s="1024"/>
      <c r="AK112" s="1017"/>
      <c r="AL112" s="1017"/>
      <c r="AM112" s="1017"/>
      <c r="AN112" s="1017"/>
      <c r="AO112" s="1017"/>
      <c r="AP112" s="1017"/>
      <c r="AQ112" s="1017"/>
      <c r="AR112" s="1017"/>
      <c r="AS112" s="1017"/>
      <c r="AT112" s="1017"/>
      <c r="AU112" s="1017"/>
      <c r="AV112" s="1017"/>
      <c r="AW112" s="1017"/>
      <c r="AX112" s="1017"/>
      <c r="AY112" s="1017"/>
      <c r="AZ112" s="1017"/>
      <c r="BA112" s="1017"/>
      <c r="BB112" s="1017"/>
      <c r="BC112" s="1022">
        <f t="shared" si="4"/>
        <v>0</v>
      </c>
      <c r="BD112" s="1028">
        <f t="shared" si="5"/>
        <v>0</v>
      </c>
    </row>
    <row r="113" spans="2:56" s="973" customFormat="1" ht="14.4" x14ac:dyDescent="0.3">
      <c r="B113" s="1016">
        <f>USES!C141</f>
        <v>110</v>
      </c>
      <c r="C113" s="1011" t="str">
        <f>USES!D141</f>
        <v>Bridge Loan Fees</v>
      </c>
      <c r="D113" s="1014"/>
      <c r="E113" s="1022">
        <f>USES!J141</f>
        <v>0</v>
      </c>
      <c r="F113" s="1017"/>
      <c r="G113" s="1017"/>
      <c r="H113" s="1017"/>
      <c r="I113" s="1017"/>
      <c r="J113" s="1017"/>
      <c r="K113" s="1017"/>
      <c r="L113" s="1017"/>
      <c r="M113" s="1017"/>
      <c r="N113" s="1017"/>
      <c r="O113" s="1017"/>
      <c r="P113" s="1017"/>
      <c r="Q113" s="1017"/>
      <c r="R113" s="1017"/>
      <c r="S113" s="1017"/>
      <c r="T113" s="1017"/>
      <c r="U113" s="1017"/>
      <c r="V113" s="1017"/>
      <c r="W113" s="1017"/>
      <c r="X113" s="1017"/>
      <c r="Y113" s="1017"/>
      <c r="Z113" s="1017"/>
      <c r="AA113" s="1017"/>
      <c r="AB113" s="1017"/>
      <c r="AC113" s="1017"/>
      <c r="AD113" s="1017"/>
      <c r="AE113" s="1017"/>
      <c r="AF113" s="1017"/>
      <c r="AG113" s="1017"/>
      <c r="AH113" s="1017"/>
      <c r="AI113" s="1017"/>
      <c r="AJ113" s="1017"/>
      <c r="AK113" s="1017"/>
      <c r="AL113" s="1017"/>
      <c r="AM113" s="1017"/>
      <c r="AN113" s="1017"/>
      <c r="AO113" s="1017"/>
      <c r="AP113" s="1017"/>
      <c r="AQ113" s="1017"/>
      <c r="AR113" s="1017"/>
      <c r="AS113" s="1017"/>
      <c r="AT113" s="1017"/>
      <c r="AU113" s="1017"/>
      <c r="AV113" s="1017"/>
      <c r="AW113" s="1017"/>
      <c r="AX113" s="1017"/>
      <c r="AY113" s="1017"/>
      <c r="AZ113" s="1017"/>
      <c r="BA113" s="1017"/>
      <c r="BB113" s="1017"/>
      <c r="BC113" s="1022">
        <f t="shared" si="4"/>
        <v>0</v>
      </c>
      <c r="BD113" s="1028">
        <f t="shared" si="5"/>
        <v>0</v>
      </c>
    </row>
    <row r="114" spans="2:56" s="973" customFormat="1" ht="14.4" x14ac:dyDescent="0.3">
      <c r="B114" s="1016">
        <f>USES!C142</f>
        <v>111</v>
      </c>
      <c r="C114" s="1011" t="str">
        <f>USES!D142</f>
        <v>Bridge Loan Interest</v>
      </c>
      <c r="D114" s="1014"/>
      <c r="E114" s="1022">
        <f>USES!J142</f>
        <v>0</v>
      </c>
      <c r="F114" s="1017"/>
      <c r="G114" s="1017"/>
      <c r="H114" s="1017"/>
      <c r="I114" s="1017"/>
      <c r="J114" s="1017"/>
      <c r="K114" s="1017"/>
      <c r="L114" s="1017"/>
      <c r="M114" s="1017"/>
      <c r="N114" s="1017"/>
      <c r="O114" s="1017"/>
      <c r="P114" s="1017"/>
      <c r="Q114" s="1017"/>
      <c r="R114" s="1017"/>
      <c r="S114" s="1017"/>
      <c r="T114" s="1017"/>
      <c r="U114" s="1017"/>
      <c r="V114" s="1017"/>
      <c r="W114" s="1017"/>
      <c r="X114" s="1017"/>
      <c r="Y114" s="1017"/>
      <c r="Z114" s="1017"/>
      <c r="AA114" s="1017"/>
      <c r="AB114" s="1017"/>
      <c r="AC114" s="1017"/>
      <c r="AD114" s="1017"/>
      <c r="AE114" s="1017"/>
      <c r="AF114" s="1017"/>
      <c r="AG114" s="1017"/>
      <c r="AH114" s="1017"/>
      <c r="AI114" s="1017"/>
      <c r="AJ114" s="1017"/>
      <c r="AK114" s="1017"/>
      <c r="AL114" s="1017"/>
      <c r="AM114" s="1017"/>
      <c r="AN114" s="1017"/>
      <c r="AO114" s="1017"/>
      <c r="AP114" s="1017"/>
      <c r="AQ114" s="1017"/>
      <c r="AR114" s="1017"/>
      <c r="AS114" s="1017"/>
      <c r="AT114" s="1017"/>
      <c r="AU114" s="1017"/>
      <c r="AV114" s="1017"/>
      <c r="AW114" s="1017"/>
      <c r="AX114" s="1017"/>
      <c r="AY114" s="1017"/>
      <c r="AZ114" s="1017"/>
      <c r="BA114" s="1017"/>
      <c r="BB114" s="1017"/>
      <c r="BC114" s="1022">
        <f t="shared" si="4"/>
        <v>0</v>
      </c>
      <c r="BD114" s="1028">
        <f t="shared" si="5"/>
        <v>0</v>
      </c>
    </row>
    <row r="115" spans="2:56" s="973" customFormat="1" ht="14.4" x14ac:dyDescent="0.3">
      <c r="B115" s="1016">
        <f>USES!C143</f>
        <v>112</v>
      </c>
      <c r="C115" s="1011" t="str">
        <f>USES!D143</f>
        <v>Organizational Costs</v>
      </c>
      <c r="D115" s="1014"/>
      <c r="E115" s="1022">
        <f>USES!J143</f>
        <v>0</v>
      </c>
      <c r="F115" s="1017"/>
      <c r="G115" s="1017"/>
      <c r="H115" s="1017"/>
      <c r="I115" s="1017"/>
      <c r="J115" s="1017"/>
      <c r="K115" s="1017"/>
      <c r="L115" s="1017"/>
      <c r="M115" s="1017"/>
      <c r="N115" s="1017"/>
      <c r="O115" s="1017"/>
      <c r="P115" s="1017"/>
      <c r="Q115" s="1017"/>
      <c r="R115" s="1017"/>
      <c r="S115" s="1017"/>
      <c r="T115" s="1017"/>
      <c r="U115" s="1017"/>
      <c r="V115" s="1017"/>
      <c r="W115" s="1017"/>
      <c r="X115" s="1017"/>
      <c r="Y115" s="1017"/>
      <c r="Z115" s="1017"/>
      <c r="AA115" s="1017"/>
      <c r="AB115" s="1017"/>
      <c r="AC115" s="1017"/>
      <c r="AD115" s="1017"/>
      <c r="AE115" s="1017"/>
      <c r="AF115" s="1017"/>
      <c r="AG115" s="1017"/>
      <c r="AH115" s="1017"/>
      <c r="AI115" s="1017"/>
      <c r="AJ115" s="1017"/>
      <c r="AK115" s="1017"/>
      <c r="AL115" s="1017"/>
      <c r="AM115" s="1017"/>
      <c r="AN115" s="1017"/>
      <c r="AO115" s="1017"/>
      <c r="AP115" s="1017"/>
      <c r="AQ115" s="1017"/>
      <c r="AR115" s="1017"/>
      <c r="AS115" s="1017"/>
      <c r="AT115" s="1017"/>
      <c r="AU115" s="1017"/>
      <c r="AV115" s="1017"/>
      <c r="AW115" s="1017"/>
      <c r="AX115" s="1017"/>
      <c r="AY115" s="1017"/>
      <c r="AZ115" s="1017"/>
      <c r="BA115" s="1017"/>
      <c r="BB115" s="1017"/>
      <c r="BC115" s="1022">
        <f t="shared" si="4"/>
        <v>0</v>
      </c>
      <c r="BD115" s="1028">
        <f t="shared" si="5"/>
        <v>0</v>
      </c>
    </row>
    <row r="116" spans="2:56" s="973" customFormat="1" ht="14.4" x14ac:dyDescent="0.3">
      <c r="B116" s="1016">
        <f>USES!C144</f>
        <v>113</v>
      </c>
      <c r="C116" s="1011" t="str">
        <f>USES!D144</f>
        <v>Tax Credit Application Fee</v>
      </c>
      <c r="D116" s="1014"/>
      <c r="E116" s="1022">
        <f>USES!J144</f>
        <v>0</v>
      </c>
      <c r="F116" s="1017"/>
      <c r="G116" s="1017"/>
      <c r="H116" s="1017"/>
      <c r="I116" s="1017"/>
      <c r="J116" s="1017"/>
      <c r="K116" s="1017"/>
      <c r="L116" s="1017"/>
      <c r="M116" s="1017"/>
      <c r="N116" s="1017"/>
      <c r="O116" s="1017"/>
      <c r="P116" s="1017"/>
      <c r="Q116" s="1017"/>
      <c r="R116" s="1017"/>
      <c r="S116" s="1017"/>
      <c r="T116" s="1017"/>
      <c r="U116" s="1017"/>
      <c r="V116" s="1017"/>
      <c r="W116" s="1017"/>
      <c r="X116" s="1017"/>
      <c r="Y116" s="1017"/>
      <c r="Z116" s="1017"/>
      <c r="AA116" s="1017"/>
      <c r="AB116" s="1017"/>
      <c r="AC116" s="1017"/>
      <c r="AD116" s="1017"/>
      <c r="AE116" s="1017"/>
      <c r="AF116" s="1017"/>
      <c r="AG116" s="1017"/>
      <c r="AH116" s="1017"/>
      <c r="AI116" s="1017"/>
      <c r="AJ116" s="1017"/>
      <c r="AK116" s="1017"/>
      <c r="AL116" s="1017"/>
      <c r="AM116" s="1017"/>
      <c r="AN116" s="1017"/>
      <c r="AO116" s="1017"/>
      <c r="AP116" s="1017"/>
      <c r="AQ116" s="1017"/>
      <c r="AR116" s="1017"/>
      <c r="AS116" s="1017"/>
      <c r="AT116" s="1017"/>
      <c r="AU116" s="1017"/>
      <c r="AV116" s="1017"/>
      <c r="AW116" s="1017"/>
      <c r="AX116" s="1017"/>
      <c r="AY116" s="1017"/>
      <c r="AZ116" s="1017"/>
      <c r="BA116" s="1017"/>
      <c r="BB116" s="1017"/>
      <c r="BC116" s="1022">
        <f t="shared" si="4"/>
        <v>0</v>
      </c>
      <c r="BD116" s="1028">
        <f t="shared" si="5"/>
        <v>0</v>
      </c>
    </row>
    <row r="117" spans="2:56" s="973" customFormat="1" ht="14.4" x14ac:dyDescent="0.3">
      <c r="B117" s="1016">
        <f>USES!C145</f>
        <v>114</v>
      </c>
      <c r="C117" s="1011" t="str">
        <f>USES!D145</f>
        <v>Tax Credit Allocation Fee (9% and 4% LIHTC)</v>
      </c>
      <c r="D117" s="1014"/>
      <c r="E117" s="1022">
        <f>USES!J145</f>
        <v>0</v>
      </c>
      <c r="F117" s="1017"/>
      <c r="G117" s="1017"/>
      <c r="H117" s="1017"/>
      <c r="I117" s="1017"/>
      <c r="J117" s="1017"/>
      <c r="K117" s="1017"/>
      <c r="L117" s="1017"/>
      <c r="M117" s="1017"/>
      <c r="N117" s="1017"/>
      <c r="O117" s="1017"/>
      <c r="P117" s="1017"/>
      <c r="Q117" s="1017"/>
      <c r="R117" s="1017"/>
      <c r="S117" s="1017"/>
      <c r="T117" s="1017"/>
      <c r="U117" s="1017"/>
      <c r="V117" s="1017"/>
      <c r="W117" s="1017"/>
      <c r="X117" s="1017"/>
      <c r="Y117" s="1017"/>
      <c r="Z117" s="1017"/>
      <c r="AA117" s="1017"/>
      <c r="AB117" s="1017"/>
      <c r="AC117" s="1017"/>
      <c r="AD117" s="1017"/>
      <c r="AE117" s="1017"/>
      <c r="AF117" s="1017"/>
      <c r="AG117" s="1017"/>
      <c r="AH117" s="1017"/>
      <c r="AI117" s="1017"/>
      <c r="AJ117" s="1017"/>
      <c r="AK117" s="1017"/>
      <c r="AL117" s="1017"/>
      <c r="AM117" s="1017"/>
      <c r="AN117" s="1017"/>
      <c r="AO117" s="1017"/>
      <c r="AP117" s="1017"/>
      <c r="AQ117" s="1017"/>
      <c r="AR117" s="1017"/>
      <c r="AS117" s="1017"/>
      <c r="AT117" s="1017"/>
      <c r="AU117" s="1017"/>
      <c r="AV117" s="1017"/>
      <c r="AW117" s="1017"/>
      <c r="AX117" s="1017"/>
      <c r="AY117" s="1017"/>
      <c r="AZ117" s="1017"/>
      <c r="BA117" s="1017"/>
      <c r="BB117" s="1017"/>
      <c r="BC117" s="1022">
        <f t="shared" si="4"/>
        <v>0</v>
      </c>
      <c r="BD117" s="1028">
        <f t="shared" si="5"/>
        <v>0</v>
      </c>
    </row>
    <row r="118" spans="2:56" s="973" customFormat="1" ht="14.4" x14ac:dyDescent="0.3">
      <c r="B118" s="1016">
        <f>USES!C146</f>
        <v>115</v>
      </c>
      <c r="C118" s="1011" t="str">
        <f>USES!D146</f>
        <v>Tax Credit Reservation Fee (9% LIHTC)</v>
      </c>
      <c r="D118" s="1014"/>
      <c r="E118" s="1022">
        <f>USES!J146</f>
        <v>0</v>
      </c>
      <c r="F118" s="1017"/>
      <c r="G118" s="1017"/>
      <c r="H118" s="1017"/>
      <c r="I118" s="1017"/>
      <c r="J118" s="1017"/>
      <c r="K118" s="1017"/>
      <c r="L118" s="1017"/>
      <c r="M118" s="1017"/>
      <c r="N118" s="1017"/>
      <c r="O118" s="1017"/>
      <c r="P118" s="1017"/>
      <c r="Q118" s="1017"/>
      <c r="R118" s="1017"/>
      <c r="S118" s="1017"/>
      <c r="T118" s="1017"/>
      <c r="U118" s="1017"/>
      <c r="V118" s="1017"/>
      <c r="W118" s="1017"/>
      <c r="X118" s="1017"/>
      <c r="Y118" s="1017"/>
      <c r="Z118" s="1017"/>
      <c r="AA118" s="1017"/>
      <c r="AB118" s="1017"/>
      <c r="AC118" s="1017"/>
      <c r="AD118" s="1017"/>
      <c r="AE118" s="1017"/>
      <c r="AF118" s="1017"/>
      <c r="AG118" s="1017"/>
      <c r="AH118" s="1017"/>
      <c r="AI118" s="1017"/>
      <c r="AJ118" s="1017"/>
      <c r="AK118" s="1017"/>
      <c r="AL118" s="1017"/>
      <c r="AM118" s="1017"/>
      <c r="AN118" s="1017"/>
      <c r="AO118" s="1017"/>
      <c r="AP118" s="1017"/>
      <c r="AQ118" s="1017"/>
      <c r="AR118" s="1017"/>
      <c r="AS118" s="1017"/>
      <c r="AT118" s="1017"/>
      <c r="AU118" s="1017"/>
      <c r="AV118" s="1017"/>
      <c r="AW118" s="1017"/>
      <c r="AX118" s="1017"/>
      <c r="AY118" s="1017"/>
      <c r="AZ118" s="1017"/>
      <c r="BA118" s="1017"/>
      <c r="BB118" s="1017"/>
      <c r="BC118" s="1022">
        <f t="shared" si="4"/>
        <v>0</v>
      </c>
      <c r="BD118" s="1028">
        <f t="shared" si="5"/>
        <v>0</v>
      </c>
    </row>
    <row r="119" spans="2:56" s="973" customFormat="1" ht="14.4" x14ac:dyDescent="0.3">
      <c r="B119" s="1016">
        <f>USES!C147</f>
        <v>116</v>
      </c>
      <c r="C119" s="1011" t="str">
        <f>USES!D147</f>
        <v>Accounting and Auditing Fee</v>
      </c>
      <c r="D119" s="1014"/>
      <c r="E119" s="1022">
        <f>USES!J147</f>
        <v>0</v>
      </c>
      <c r="F119" s="1017"/>
      <c r="G119" s="1017"/>
      <c r="H119" s="1017"/>
      <c r="I119" s="1017"/>
      <c r="J119" s="1017"/>
      <c r="K119" s="1017"/>
      <c r="L119" s="1017"/>
      <c r="M119" s="1017"/>
      <c r="N119" s="1017"/>
      <c r="O119" s="1017"/>
      <c r="P119" s="1017"/>
      <c r="Q119" s="1017"/>
      <c r="R119" s="1017"/>
      <c r="S119" s="1017"/>
      <c r="T119" s="1017"/>
      <c r="U119" s="1017"/>
      <c r="V119" s="1017"/>
      <c r="W119" s="1017"/>
      <c r="X119" s="1017"/>
      <c r="Y119" s="1017"/>
      <c r="Z119" s="1017"/>
      <c r="AA119" s="1017"/>
      <c r="AB119" s="1017"/>
      <c r="AC119" s="1017"/>
      <c r="AD119" s="1017"/>
      <c r="AE119" s="1017"/>
      <c r="AF119" s="1017"/>
      <c r="AG119" s="1017"/>
      <c r="AH119" s="1017"/>
      <c r="AI119" s="1017"/>
      <c r="AJ119" s="1017"/>
      <c r="AK119" s="1017"/>
      <c r="AL119" s="1017"/>
      <c r="AM119" s="1017"/>
      <c r="AN119" s="1017"/>
      <c r="AO119" s="1017"/>
      <c r="AP119" s="1017"/>
      <c r="AQ119" s="1017"/>
      <c r="AR119" s="1017"/>
      <c r="AS119" s="1017"/>
      <c r="AT119" s="1017"/>
      <c r="AU119" s="1017"/>
      <c r="AV119" s="1017"/>
      <c r="AW119" s="1017"/>
      <c r="AX119" s="1017"/>
      <c r="AY119" s="1017"/>
      <c r="AZ119" s="1017"/>
      <c r="BA119" s="1017"/>
      <c r="BB119" s="1017"/>
      <c r="BC119" s="1022">
        <f t="shared" si="4"/>
        <v>0</v>
      </c>
      <c r="BD119" s="1028">
        <f t="shared" si="5"/>
        <v>0</v>
      </c>
    </row>
    <row r="120" spans="2:56" s="973" customFormat="1" ht="14.4" x14ac:dyDescent="0.3">
      <c r="B120" s="1016">
        <f>USES!C148</f>
        <v>117</v>
      </c>
      <c r="C120" s="1011" t="str">
        <f>USES!D148</f>
        <v>Other:</v>
      </c>
      <c r="D120" s="1014"/>
      <c r="E120" s="1022">
        <f>USES!J148</f>
        <v>0</v>
      </c>
      <c r="F120" s="1017"/>
      <c r="G120" s="1017"/>
      <c r="H120" s="1017"/>
      <c r="I120" s="1017"/>
      <c r="J120" s="1017"/>
      <c r="K120" s="1017"/>
      <c r="L120" s="1017"/>
      <c r="M120" s="1017"/>
      <c r="N120" s="1017"/>
      <c r="O120" s="1017"/>
      <c r="P120" s="1017"/>
      <c r="Q120" s="1017"/>
      <c r="R120" s="1017"/>
      <c r="S120" s="1017"/>
      <c r="T120" s="1017"/>
      <c r="U120" s="1017"/>
      <c r="V120" s="1017"/>
      <c r="W120" s="1017"/>
      <c r="X120" s="1017"/>
      <c r="Y120" s="1017"/>
      <c r="Z120" s="1017"/>
      <c r="AA120" s="1017"/>
      <c r="AB120" s="1017"/>
      <c r="AC120" s="1017"/>
      <c r="AD120" s="1017"/>
      <c r="AE120" s="1017"/>
      <c r="AF120" s="1017"/>
      <c r="AG120" s="1017"/>
      <c r="AH120" s="1017"/>
      <c r="AI120" s="1017"/>
      <c r="AJ120" s="1017"/>
      <c r="AK120" s="1017"/>
      <c r="AL120" s="1017"/>
      <c r="AM120" s="1017"/>
      <c r="AN120" s="1017"/>
      <c r="AO120" s="1017"/>
      <c r="AP120" s="1017"/>
      <c r="AQ120" s="1017"/>
      <c r="AR120" s="1017"/>
      <c r="AS120" s="1017"/>
      <c r="AT120" s="1017"/>
      <c r="AU120" s="1017"/>
      <c r="AV120" s="1017"/>
      <c r="AW120" s="1017"/>
      <c r="AX120" s="1017"/>
      <c r="AY120" s="1017"/>
      <c r="AZ120" s="1017"/>
      <c r="BA120" s="1017"/>
      <c r="BB120" s="1017"/>
      <c r="BC120" s="1022">
        <f t="shared" si="4"/>
        <v>0</v>
      </c>
      <c r="BD120" s="1028">
        <f t="shared" si="5"/>
        <v>0</v>
      </c>
    </row>
    <row r="121" spans="2:56" s="973" customFormat="1" ht="14.4" x14ac:dyDescent="0.3">
      <c r="B121" s="1016">
        <f>USES!C149</f>
        <v>118</v>
      </c>
      <c r="C121" s="1011" t="str">
        <f>USES!D149</f>
        <v>Other:</v>
      </c>
      <c r="D121" s="1014"/>
      <c r="E121" s="1022">
        <f>USES!J149</f>
        <v>0</v>
      </c>
      <c r="F121" s="1017"/>
      <c r="G121" s="1017"/>
      <c r="H121" s="1017"/>
      <c r="I121" s="1017"/>
      <c r="J121" s="1017"/>
      <c r="K121" s="1017"/>
      <c r="L121" s="1017"/>
      <c r="M121" s="1017"/>
      <c r="N121" s="1017"/>
      <c r="O121" s="1017"/>
      <c r="P121" s="1017"/>
      <c r="Q121" s="1017"/>
      <c r="R121" s="1017"/>
      <c r="S121" s="1017"/>
      <c r="T121" s="1017"/>
      <c r="U121" s="1017"/>
      <c r="V121" s="1017"/>
      <c r="W121" s="1017"/>
      <c r="X121" s="1017"/>
      <c r="Y121" s="1017"/>
      <c r="Z121" s="1017"/>
      <c r="AA121" s="1017"/>
      <c r="AB121" s="1017"/>
      <c r="AC121" s="1017"/>
      <c r="AD121" s="1017"/>
      <c r="AE121" s="1017"/>
      <c r="AF121" s="1017"/>
      <c r="AG121" s="1017"/>
      <c r="AH121" s="1017"/>
      <c r="AI121" s="1017"/>
      <c r="AJ121" s="1017"/>
      <c r="AK121" s="1017"/>
      <c r="AL121" s="1017"/>
      <c r="AM121" s="1017"/>
      <c r="AN121" s="1017"/>
      <c r="AO121" s="1017"/>
      <c r="AP121" s="1017"/>
      <c r="AQ121" s="1017"/>
      <c r="AR121" s="1017"/>
      <c r="AS121" s="1017"/>
      <c r="AT121" s="1017"/>
      <c r="AU121" s="1017"/>
      <c r="AV121" s="1017"/>
      <c r="AW121" s="1017"/>
      <c r="AX121" s="1017"/>
      <c r="AY121" s="1017"/>
      <c r="AZ121" s="1017"/>
      <c r="BA121" s="1017"/>
      <c r="BB121" s="1017"/>
      <c r="BC121" s="1022">
        <f t="shared" si="4"/>
        <v>0</v>
      </c>
      <c r="BD121" s="1028">
        <f t="shared" si="5"/>
        <v>0</v>
      </c>
    </row>
    <row r="122" spans="2:56" s="973" customFormat="1" ht="14.4" x14ac:dyDescent="0.3">
      <c r="B122" s="1016"/>
      <c r="C122" s="1007" t="s">
        <v>2394</v>
      </c>
      <c r="D122" s="1008"/>
      <c r="E122" s="1020"/>
      <c r="F122" s="1020"/>
      <c r="G122" s="1020"/>
      <c r="H122" s="1020"/>
      <c r="I122" s="1020"/>
      <c r="J122" s="1020"/>
      <c r="K122" s="1020"/>
      <c r="L122" s="1020"/>
      <c r="M122" s="1020"/>
      <c r="N122" s="1020"/>
      <c r="O122" s="1020"/>
      <c r="P122" s="1020"/>
      <c r="Q122" s="1020"/>
      <c r="R122" s="1020"/>
      <c r="S122" s="1020"/>
      <c r="T122" s="1020"/>
      <c r="U122" s="1020"/>
      <c r="V122" s="1020"/>
      <c r="W122" s="1020"/>
      <c r="X122" s="1020"/>
      <c r="Y122" s="1020"/>
      <c r="Z122" s="1020"/>
      <c r="AA122" s="1020"/>
      <c r="AB122" s="1020"/>
      <c r="AC122" s="1020"/>
      <c r="AD122" s="1020"/>
      <c r="AE122" s="1020"/>
      <c r="AF122" s="1020"/>
      <c r="AG122" s="1020"/>
      <c r="AH122" s="1020"/>
      <c r="AI122" s="1020"/>
      <c r="AJ122" s="1020"/>
      <c r="AK122" s="1020"/>
      <c r="AL122" s="1020"/>
      <c r="AM122" s="1020"/>
      <c r="AN122" s="1020"/>
      <c r="AO122" s="1020"/>
      <c r="AP122" s="1020"/>
      <c r="AQ122" s="1020"/>
      <c r="AR122" s="1020"/>
      <c r="AS122" s="1020"/>
      <c r="AT122" s="1020"/>
      <c r="AU122" s="1020"/>
      <c r="AV122" s="1020"/>
      <c r="AW122" s="1020"/>
      <c r="AX122" s="1020"/>
      <c r="AY122" s="1020"/>
      <c r="AZ122" s="1020"/>
      <c r="BA122" s="1020"/>
      <c r="BB122" s="1020"/>
      <c r="BC122" s="1022">
        <f t="shared" si="4"/>
        <v>0</v>
      </c>
      <c r="BD122" s="1028">
        <f t="shared" si="5"/>
        <v>0</v>
      </c>
    </row>
    <row r="123" spans="2:56" s="973" customFormat="1" ht="14.4" x14ac:dyDescent="0.3">
      <c r="B123" s="1016">
        <f>USES!C154</f>
        <v>120</v>
      </c>
      <c r="C123" s="1011" t="str">
        <f>USES!D154</f>
        <v>Construction Guarantee</v>
      </c>
      <c r="D123" s="1014"/>
      <c r="E123" s="1022">
        <f>USES!J154</f>
        <v>0</v>
      </c>
      <c r="F123" s="1017"/>
      <c r="G123" s="1017"/>
      <c r="H123" s="1017"/>
      <c r="I123" s="1017"/>
      <c r="J123" s="1017"/>
      <c r="K123" s="1017"/>
      <c r="L123" s="1017"/>
      <c r="M123" s="1017"/>
      <c r="N123" s="1017"/>
      <c r="O123" s="1017"/>
      <c r="P123" s="1017"/>
      <c r="Q123" s="1017"/>
      <c r="R123" s="1017"/>
      <c r="S123" s="1017"/>
      <c r="T123" s="1017"/>
      <c r="U123" s="1017"/>
      <c r="V123" s="1017"/>
      <c r="W123" s="1017"/>
      <c r="X123" s="1017"/>
      <c r="Y123" s="1017"/>
      <c r="Z123" s="1017"/>
      <c r="AA123" s="1017"/>
      <c r="AB123" s="1017"/>
      <c r="AC123" s="1017"/>
      <c r="AD123" s="1017"/>
      <c r="AE123" s="1017"/>
      <c r="AF123" s="1017"/>
      <c r="AG123" s="1017"/>
      <c r="AH123" s="1017"/>
      <c r="AI123" s="1017"/>
      <c r="AJ123" s="1017"/>
      <c r="AK123" s="1017"/>
      <c r="AL123" s="1017"/>
      <c r="AM123" s="1017"/>
      <c r="AN123" s="1017"/>
      <c r="AO123" s="1017"/>
      <c r="AP123" s="1017"/>
      <c r="AQ123" s="1017"/>
      <c r="AR123" s="1017"/>
      <c r="AS123" s="1017"/>
      <c r="AT123" s="1017"/>
      <c r="AU123" s="1017"/>
      <c r="AV123" s="1017"/>
      <c r="AW123" s="1017"/>
      <c r="AX123" s="1017"/>
      <c r="AY123" s="1017"/>
      <c r="AZ123" s="1017"/>
      <c r="BA123" s="1017"/>
      <c r="BB123" s="1017"/>
      <c r="BC123" s="1022">
        <f t="shared" si="4"/>
        <v>0</v>
      </c>
      <c r="BD123" s="1028">
        <f t="shared" si="5"/>
        <v>0</v>
      </c>
    </row>
    <row r="124" spans="2:56" s="973" customFormat="1" ht="14.4" x14ac:dyDescent="0.3">
      <c r="B124" s="1016">
        <f>USES!C155</f>
        <v>121</v>
      </c>
      <c r="C124" s="1011" t="str">
        <f>USES!D155</f>
        <v>Operating Reserve</v>
      </c>
      <c r="D124" s="1014"/>
      <c r="E124" s="1022">
        <f>USES!J155</f>
        <v>0</v>
      </c>
      <c r="F124" s="1017"/>
      <c r="G124" s="1017"/>
      <c r="H124" s="1017"/>
      <c r="I124" s="1017"/>
      <c r="J124" s="1017"/>
      <c r="K124" s="1017"/>
      <c r="L124" s="1017"/>
      <c r="M124" s="1017"/>
      <c r="N124" s="1017"/>
      <c r="O124" s="1017"/>
      <c r="P124" s="1017"/>
      <c r="Q124" s="1017"/>
      <c r="R124" s="1017"/>
      <c r="S124" s="1017"/>
      <c r="T124" s="1017"/>
      <c r="U124" s="1017"/>
      <c r="V124" s="1017"/>
      <c r="W124" s="1017"/>
      <c r="X124" s="1017"/>
      <c r="Y124" s="1017"/>
      <c r="Z124" s="1017"/>
      <c r="AA124" s="1017"/>
      <c r="AB124" s="1017"/>
      <c r="AC124" s="1017"/>
      <c r="AD124" s="1017"/>
      <c r="AE124" s="1017"/>
      <c r="AF124" s="1017"/>
      <c r="AG124" s="1017"/>
      <c r="AH124" s="1017"/>
      <c r="AI124" s="1017"/>
      <c r="AJ124" s="1017"/>
      <c r="AK124" s="1017"/>
      <c r="AL124" s="1017"/>
      <c r="AM124" s="1017"/>
      <c r="AN124" s="1017"/>
      <c r="AO124" s="1017"/>
      <c r="AP124" s="1017"/>
      <c r="AQ124" s="1017"/>
      <c r="AR124" s="1017"/>
      <c r="AS124" s="1017"/>
      <c r="AT124" s="1017"/>
      <c r="AU124" s="1017"/>
      <c r="AV124" s="1017"/>
      <c r="AW124" s="1017"/>
      <c r="AX124" s="1017"/>
      <c r="AY124" s="1017"/>
      <c r="AZ124" s="1017"/>
      <c r="BA124" s="1017"/>
      <c r="BB124" s="1017"/>
      <c r="BC124" s="1022">
        <f t="shared" si="4"/>
        <v>0</v>
      </c>
      <c r="BD124" s="1028">
        <f t="shared" si="5"/>
        <v>0</v>
      </c>
    </row>
    <row r="125" spans="2:56" s="973" customFormat="1" ht="14.4" x14ac:dyDescent="0.3">
      <c r="B125" s="1016">
        <f>USES!C156</f>
        <v>122</v>
      </c>
      <c r="C125" s="1011" t="str">
        <f>USES!D156</f>
        <v>Debt Service Reserve</v>
      </c>
      <c r="D125" s="1014"/>
      <c r="E125" s="1022">
        <f>USES!J156</f>
        <v>0</v>
      </c>
      <c r="F125" s="1017"/>
      <c r="G125" s="1017"/>
      <c r="H125" s="1017"/>
      <c r="I125" s="1017"/>
      <c r="J125" s="1017"/>
      <c r="K125" s="1017"/>
      <c r="L125" s="1017"/>
      <c r="M125" s="1017"/>
      <c r="N125" s="1017"/>
      <c r="O125" s="1017"/>
      <c r="P125" s="1017"/>
      <c r="Q125" s="1017"/>
      <c r="R125" s="1017"/>
      <c r="S125" s="1017"/>
      <c r="T125" s="1017"/>
      <c r="U125" s="1017"/>
      <c r="V125" s="1017"/>
      <c r="W125" s="1017"/>
      <c r="X125" s="1017"/>
      <c r="Y125" s="1017"/>
      <c r="Z125" s="1017"/>
      <c r="AA125" s="1017"/>
      <c r="AB125" s="1017"/>
      <c r="AC125" s="1017"/>
      <c r="AD125" s="1017"/>
      <c r="AE125" s="1017"/>
      <c r="AF125" s="1017"/>
      <c r="AG125" s="1017"/>
      <c r="AH125" s="1017"/>
      <c r="AI125" s="1017"/>
      <c r="AJ125" s="1017"/>
      <c r="AK125" s="1017"/>
      <c r="AL125" s="1017"/>
      <c r="AM125" s="1017"/>
      <c r="AN125" s="1017"/>
      <c r="AO125" s="1017"/>
      <c r="AP125" s="1017"/>
      <c r="AQ125" s="1017"/>
      <c r="AR125" s="1017"/>
      <c r="AS125" s="1017"/>
      <c r="AT125" s="1017"/>
      <c r="AU125" s="1017"/>
      <c r="AV125" s="1017"/>
      <c r="AW125" s="1017"/>
      <c r="AX125" s="1017"/>
      <c r="AY125" s="1017"/>
      <c r="AZ125" s="1017"/>
      <c r="BA125" s="1017"/>
      <c r="BB125" s="1017"/>
      <c r="BC125" s="1022">
        <f t="shared" si="4"/>
        <v>0</v>
      </c>
      <c r="BD125" s="1028">
        <f t="shared" si="5"/>
        <v>0</v>
      </c>
    </row>
    <row r="126" spans="2:56" s="973" customFormat="1" ht="14.4" x14ac:dyDescent="0.3">
      <c r="B126" s="1016">
        <f>USES!C157</f>
        <v>123</v>
      </c>
      <c r="C126" s="1011" t="str">
        <f>USES!D157</f>
        <v>Rent-up Reserve</v>
      </c>
      <c r="D126" s="1014"/>
      <c r="E126" s="1022">
        <f>USES!J157</f>
        <v>0</v>
      </c>
      <c r="F126" s="1017"/>
      <c r="G126" s="1017"/>
      <c r="H126" s="1017"/>
      <c r="I126" s="1017"/>
      <c r="J126" s="1017"/>
      <c r="K126" s="1017"/>
      <c r="L126" s="1017"/>
      <c r="M126" s="1017"/>
      <c r="N126" s="1017"/>
      <c r="O126" s="1017"/>
      <c r="P126" s="1017"/>
      <c r="Q126" s="1017"/>
      <c r="R126" s="1017"/>
      <c r="S126" s="1017"/>
      <c r="T126" s="1017"/>
      <c r="U126" s="1017"/>
      <c r="V126" s="1017"/>
      <c r="W126" s="1017"/>
      <c r="X126" s="1017"/>
      <c r="Y126" s="1017"/>
      <c r="Z126" s="1017"/>
      <c r="AA126" s="1017"/>
      <c r="AB126" s="1017"/>
      <c r="AC126" s="1017"/>
      <c r="AD126" s="1017"/>
      <c r="AE126" s="1017"/>
      <c r="AF126" s="1017"/>
      <c r="AG126" s="1017"/>
      <c r="AH126" s="1017"/>
      <c r="AI126" s="1017"/>
      <c r="AJ126" s="1017"/>
      <c r="AK126" s="1017"/>
      <c r="AL126" s="1017"/>
      <c r="AM126" s="1017"/>
      <c r="AN126" s="1017"/>
      <c r="AO126" s="1017"/>
      <c r="AP126" s="1017"/>
      <c r="AQ126" s="1017"/>
      <c r="AR126" s="1017"/>
      <c r="AS126" s="1017"/>
      <c r="AT126" s="1017"/>
      <c r="AU126" s="1017"/>
      <c r="AV126" s="1017"/>
      <c r="AW126" s="1017"/>
      <c r="AX126" s="1017"/>
      <c r="AY126" s="1017"/>
      <c r="AZ126" s="1017"/>
      <c r="BA126" s="1017"/>
      <c r="BB126" s="1017"/>
      <c r="BC126" s="1022">
        <f t="shared" si="4"/>
        <v>0</v>
      </c>
      <c r="BD126" s="1028">
        <f t="shared" si="5"/>
        <v>0</v>
      </c>
    </row>
    <row r="127" spans="2:56" s="973" customFormat="1" ht="14.4" x14ac:dyDescent="0.3">
      <c r="B127" s="1016">
        <f>USES!C158</f>
        <v>124</v>
      </c>
      <c r="C127" s="1011" t="str">
        <f>USES!D158</f>
        <v>Supportive Services Reserve</v>
      </c>
      <c r="D127" s="1014"/>
      <c r="E127" s="1022">
        <f>USES!J158</f>
        <v>0</v>
      </c>
      <c r="F127" s="1017"/>
      <c r="G127" s="1017"/>
      <c r="H127" s="1017"/>
      <c r="I127" s="1017"/>
      <c r="J127" s="1017"/>
      <c r="K127" s="1017"/>
      <c r="L127" s="1017"/>
      <c r="M127" s="1017"/>
      <c r="N127" s="1017"/>
      <c r="O127" s="1017"/>
      <c r="P127" s="1017"/>
      <c r="Q127" s="1017"/>
      <c r="R127" s="1017"/>
      <c r="S127" s="1017"/>
      <c r="T127" s="1017"/>
      <c r="U127" s="1017"/>
      <c r="V127" s="1017"/>
      <c r="W127" s="1017"/>
      <c r="X127" s="1017"/>
      <c r="Y127" s="1017"/>
      <c r="Z127" s="1017"/>
      <c r="AA127" s="1017"/>
      <c r="AB127" s="1017"/>
      <c r="AC127" s="1017"/>
      <c r="AD127" s="1017"/>
      <c r="AE127" s="1017"/>
      <c r="AF127" s="1017"/>
      <c r="AG127" s="1017"/>
      <c r="AH127" s="1017"/>
      <c r="AI127" s="1017"/>
      <c r="AJ127" s="1017"/>
      <c r="AK127" s="1017"/>
      <c r="AL127" s="1017"/>
      <c r="AM127" s="1017"/>
      <c r="AN127" s="1017"/>
      <c r="AO127" s="1017"/>
      <c r="AP127" s="1017"/>
      <c r="AQ127" s="1017"/>
      <c r="AR127" s="1017"/>
      <c r="AS127" s="1017"/>
      <c r="AT127" s="1017"/>
      <c r="AU127" s="1017"/>
      <c r="AV127" s="1017"/>
      <c r="AW127" s="1017"/>
      <c r="AX127" s="1017"/>
      <c r="AY127" s="1017"/>
      <c r="AZ127" s="1017"/>
      <c r="BA127" s="1017"/>
      <c r="BB127" s="1017"/>
      <c r="BC127" s="1022">
        <f t="shared" si="4"/>
        <v>0</v>
      </c>
      <c r="BD127" s="1028">
        <f t="shared" si="5"/>
        <v>0</v>
      </c>
    </row>
    <row r="128" spans="2:56" s="973" customFormat="1" ht="14.4" x14ac:dyDescent="0.3">
      <c r="B128" s="1016">
        <f>USES!C159</f>
        <v>125</v>
      </c>
      <c r="C128" s="1011" t="str">
        <f>USES!D159</f>
        <v xml:space="preserve">Developer Fee Funded Supportive Services / Rent Subsidy / Sponsor Note Reserve </v>
      </c>
      <c r="D128" s="1014"/>
      <c r="E128" s="1022">
        <f>USES!J159</f>
        <v>0</v>
      </c>
      <c r="F128" s="1017"/>
      <c r="G128" s="1017"/>
      <c r="H128" s="1017"/>
      <c r="I128" s="1017"/>
      <c r="J128" s="1017"/>
      <c r="K128" s="1017"/>
      <c r="L128" s="1017"/>
      <c r="M128" s="1017"/>
      <c r="N128" s="1017"/>
      <c r="O128" s="1017"/>
      <c r="P128" s="1017"/>
      <c r="Q128" s="1017"/>
      <c r="R128" s="1017"/>
      <c r="S128" s="1017"/>
      <c r="T128" s="1017"/>
      <c r="U128" s="1017"/>
      <c r="V128" s="1017"/>
      <c r="W128" s="1017"/>
      <c r="X128" s="1017"/>
      <c r="Y128" s="1017"/>
      <c r="Z128" s="1017"/>
      <c r="AA128" s="1017"/>
      <c r="AB128" s="1017"/>
      <c r="AC128" s="1017"/>
      <c r="AD128" s="1017"/>
      <c r="AE128" s="1017"/>
      <c r="AF128" s="1017"/>
      <c r="AG128" s="1017"/>
      <c r="AH128" s="1017"/>
      <c r="AI128" s="1017"/>
      <c r="AJ128" s="1017"/>
      <c r="AK128" s="1017"/>
      <c r="AL128" s="1017"/>
      <c r="AM128" s="1017"/>
      <c r="AN128" s="1017"/>
      <c r="AO128" s="1017"/>
      <c r="AP128" s="1017"/>
      <c r="AQ128" s="1017"/>
      <c r="AR128" s="1017"/>
      <c r="AS128" s="1017"/>
      <c r="AT128" s="1017"/>
      <c r="AU128" s="1017"/>
      <c r="AV128" s="1017"/>
      <c r="AW128" s="1017"/>
      <c r="AX128" s="1017"/>
      <c r="AY128" s="1017"/>
      <c r="AZ128" s="1017"/>
      <c r="BA128" s="1017"/>
      <c r="BB128" s="1017"/>
      <c r="BC128" s="1022">
        <f t="shared" si="4"/>
        <v>0</v>
      </c>
      <c r="BD128" s="1028">
        <f t="shared" si="5"/>
        <v>0</v>
      </c>
    </row>
    <row r="129" spans="2:65" s="973" customFormat="1" ht="14.4" x14ac:dyDescent="0.3">
      <c r="B129" s="1016">
        <f>USES!C160</f>
        <v>126</v>
      </c>
      <c r="C129" s="1011" t="str">
        <f>USES!D160</f>
        <v>Transition Reserve / Operating Deficit Reserve</v>
      </c>
      <c r="D129" s="1014"/>
      <c r="E129" s="1022">
        <f>USES!J160</f>
        <v>0</v>
      </c>
      <c r="F129" s="1017"/>
      <c r="G129" s="1017"/>
      <c r="H129" s="1017"/>
      <c r="I129" s="1017"/>
      <c r="J129" s="1017"/>
      <c r="K129" s="1017"/>
      <c r="L129" s="1017"/>
      <c r="M129" s="1017"/>
      <c r="N129" s="1017"/>
      <c r="O129" s="1017"/>
      <c r="P129" s="1017"/>
      <c r="Q129" s="1017"/>
      <c r="R129" s="1017"/>
      <c r="S129" s="1017"/>
      <c r="T129" s="1017"/>
      <c r="U129" s="1017"/>
      <c r="V129" s="1017"/>
      <c r="W129" s="1017"/>
      <c r="X129" s="1017"/>
      <c r="Y129" s="1017"/>
      <c r="Z129" s="1017"/>
      <c r="AA129" s="1017"/>
      <c r="AB129" s="1017"/>
      <c r="AC129" s="1017"/>
      <c r="AD129" s="1017"/>
      <c r="AE129" s="1017"/>
      <c r="AF129" s="1017"/>
      <c r="AG129" s="1017"/>
      <c r="AH129" s="1017"/>
      <c r="AI129" s="1017"/>
      <c r="AJ129" s="1017"/>
      <c r="AK129" s="1017"/>
      <c r="AL129" s="1017"/>
      <c r="AM129" s="1017"/>
      <c r="AN129" s="1017"/>
      <c r="AO129" s="1017"/>
      <c r="AP129" s="1017"/>
      <c r="AQ129" s="1017"/>
      <c r="AR129" s="1017"/>
      <c r="AS129" s="1017"/>
      <c r="AT129" s="1017"/>
      <c r="AU129" s="1017"/>
      <c r="AV129" s="1017"/>
      <c r="AW129" s="1017"/>
      <c r="AX129" s="1017"/>
      <c r="AY129" s="1017"/>
      <c r="AZ129" s="1017"/>
      <c r="BA129" s="1017"/>
      <c r="BB129" s="1017"/>
      <c r="BC129" s="1022">
        <f t="shared" si="4"/>
        <v>0</v>
      </c>
      <c r="BD129" s="1028">
        <f t="shared" si="5"/>
        <v>0</v>
      </c>
    </row>
    <row r="130" spans="2:65" s="973" customFormat="1" ht="14.4" x14ac:dyDescent="0.3">
      <c r="B130" s="1016">
        <f>USES!C161</f>
        <v>127</v>
      </c>
      <c r="C130" s="1011" t="str">
        <f>USES!D161</f>
        <v>Other Reserve:</v>
      </c>
      <c r="D130" s="1014"/>
      <c r="E130" s="1022">
        <f>USES!J161</f>
        <v>0</v>
      </c>
      <c r="F130" s="1017"/>
      <c r="G130" s="1017"/>
      <c r="H130" s="1017"/>
      <c r="I130" s="1017"/>
      <c r="J130" s="1017"/>
      <c r="K130" s="1017"/>
      <c r="L130" s="1017"/>
      <c r="M130" s="1017"/>
      <c r="N130" s="1017"/>
      <c r="O130" s="1017"/>
      <c r="P130" s="1017"/>
      <c r="Q130" s="1017"/>
      <c r="R130" s="1017"/>
      <c r="S130" s="1017"/>
      <c r="T130" s="1017"/>
      <c r="U130" s="1017"/>
      <c r="V130" s="1017"/>
      <c r="W130" s="1017"/>
      <c r="X130" s="1017"/>
      <c r="Y130" s="1017"/>
      <c r="Z130" s="1017"/>
      <c r="AA130" s="1017"/>
      <c r="AB130" s="1017"/>
      <c r="AC130" s="1017"/>
      <c r="AD130" s="1017"/>
      <c r="AE130" s="1017"/>
      <c r="AF130" s="1017"/>
      <c r="AG130" s="1017"/>
      <c r="AH130" s="1017"/>
      <c r="AI130" s="1017"/>
      <c r="AJ130" s="1017"/>
      <c r="AK130" s="1017"/>
      <c r="AL130" s="1017"/>
      <c r="AM130" s="1017"/>
      <c r="AN130" s="1017"/>
      <c r="AO130" s="1017"/>
      <c r="AP130" s="1017"/>
      <c r="AQ130" s="1017"/>
      <c r="AR130" s="1017"/>
      <c r="AS130" s="1017"/>
      <c r="AT130" s="1017"/>
      <c r="AU130" s="1017"/>
      <c r="AV130" s="1017"/>
      <c r="AW130" s="1017"/>
      <c r="AX130" s="1017"/>
      <c r="AY130" s="1017"/>
      <c r="AZ130" s="1017"/>
      <c r="BA130" s="1017"/>
      <c r="BB130" s="1017"/>
      <c r="BC130" s="1022">
        <f t="shared" si="4"/>
        <v>0</v>
      </c>
      <c r="BD130" s="1028">
        <f t="shared" si="5"/>
        <v>0</v>
      </c>
    </row>
    <row r="131" spans="2:65" s="973" customFormat="1" ht="15" thickBot="1" x14ac:dyDescent="0.35">
      <c r="B131" s="1016">
        <f>USES!C162</f>
        <v>128</v>
      </c>
      <c r="C131" s="1011" t="str">
        <f>USES!D162</f>
        <v>Other Reserve:</v>
      </c>
      <c r="D131" s="1014"/>
      <c r="E131" s="1022">
        <f>USES!J162</f>
        <v>0</v>
      </c>
      <c r="F131" s="1017"/>
      <c r="G131" s="1017"/>
      <c r="H131" s="1017"/>
      <c r="I131" s="1017"/>
      <c r="J131" s="1017"/>
      <c r="K131" s="1017"/>
      <c r="L131" s="1017"/>
      <c r="M131" s="1017"/>
      <c r="N131" s="1017"/>
      <c r="O131" s="1017"/>
      <c r="P131" s="1017"/>
      <c r="Q131" s="1017"/>
      <c r="R131" s="1017"/>
      <c r="S131" s="1017"/>
      <c r="T131" s="1017"/>
      <c r="U131" s="1017"/>
      <c r="V131" s="1017"/>
      <c r="W131" s="1017"/>
      <c r="X131" s="1017"/>
      <c r="Y131" s="1017"/>
      <c r="Z131" s="1017"/>
      <c r="AA131" s="1017"/>
      <c r="AB131" s="1017"/>
      <c r="AC131" s="1017"/>
      <c r="AD131" s="1017"/>
      <c r="AE131" s="1017"/>
      <c r="AF131" s="1017"/>
      <c r="AG131" s="1017"/>
      <c r="AH131" s="1017"/>
      <c r="AI131" s="1017"/>
      <c r="AJ131" s="1017"/>
      <c r="AK131" s="1017"/>
      <c r="AL131" s="1017"/>
      <c r="AM131" s="1017"/>
      <c r="AN131" s="1017"/>
      <c r="AO131" s="1017"/>
      <c r="AP131" s="1017"/>
      <c r="AQ131" s="1017"/>
      <c r="AR131" s="1017"/>
      <c r="AS131" s="1017"/>
      <c r="AT131" s="1017"/>
      <c r="AU131" s="1017"/>
      <c r="AV131" s="1017"/>
      <c r="AW131" s="1017"/>
      <c r="AX131" s="1017"/>
      <c r="AY131" s="1017"/>
      <c r="AZ131" s="1017"/>
      <c r="BA131" s="1017"/>
      <c r="BB131" s="1017"/>
      <c r="BC131" s="1022">
        <f t="shared" si="4"/>
        <v>0</v>
      </c>
      <c r="BD131" s="1028">
        <f t="shared" si="5"/>
        <v>0</v>
      </c>
    </row>
    <row r="132" spans="2:65" s="975" customFormat="1" ht="16.2" thickBot="1" x14ac:dyDescent="0.35">
      <c r="B132" s="1025"/>
      <c r="C132" s="1044" t="s">
        <v>2400</v>
      </c>
      <c r="D132" s="1043"/>
      <c r="E132" s="1026">
        <f t="shared" ref="E132:AJ132" si="6">SUM(E12:E131)</f>
        <v>0</v>
      </c>
      <c r="F132" s="1027">
        <f t="shared" si="6"/>
        <v>0</v>
      </c>
      <c r="G132" s="1027">
        <f t="shared" si="6"/>
        <v>0</v>
      </c>
      <c r="H132" s="1027">
        <f t="shared" si="6"/>
        <v>0</v>
      </c>
      <c r="I132" s="1027">
        <f t="shared" si="6"/>
        <v>0</v>
      </c>
      <c r="J132" s="1027">
        <f t="shared" si="6"/>
        <v>0</v>
      </c>
      <c r="K132" s="1027">
        <f t="shared" si="6"/>
        <v>0</v>
      </c>
      <c r="L132" s="1027">
        <f t="shared" si="6"/>
        <v>0</v>
      </c>
      <c r="M132" s="1027">
        <f t="shared" si="6"/>
        <v>0</v>
      </c>
      <c r="N132" s="1027">
        <f t="shared" si="6"/>
        <v>0</v>
      </c>
      <c r="O132" s="1027">
        <f t="shared" si="6"/>
        <v>0</v>
      </c>
      <c r="P132" s="1027">
        <f t="shared" si="6"/>
        <v>0</v>
      </c>
      <c r="Q132" s="1027">
        <f t="shared" si="6"/>
        <v>0</v>
      </c>
      <c r="R132" s="1027">
        <f t="shared" si="6"/>
        <v>0</v>
      </c>
      <c r="S132" s="1027">
        <f t="shared" si="6"/>
        <v>0</v>
      </c>
      <c r="T132" s="1027">
        <f t="shared" si="6"/>
        <v>0</v>
      </c>
      <c r="U132" s="1027">
        <f t="shared" si="6"/>
        <v>0</v>
      </c>
      <c r="V132" s="1027">
        <f t="shared" si="6"/>
        <v>0</v>
      </c>
      <c r="W132" s="1027">
        <f t="shared" si="6"/>
        <v>0</v>
      </c>
      <c r="X132" s="1027">
        <f t="shared" si="6"/>
        <v>0</v>
      </c>
      <c r="Y132" s="1027">
        <f t="shared" si="6"/>
        <v>0</v>
      </c>
      <c r="Z132" s="1027">
        <f t="shared" si="6"/>
        <v>0</v>
      </c>
      <c r="AA132" s="1027">
        <f t="shared" si="6"/>
        <v>0</v>
      </c>
      <c r="AB132" s="1027">
        <f t="shared" si="6"/>
        <v>0</v>
      </c>
      <c r="AC132" s="1027">
        <f t="shared" si="6"/>
        <v>0</v>
      </c>
      <c r="AD132" s="1027">
        <f t="shared" si="6"/>
        <v>0</v>
      </c>
      <c r="AE132" s="1027">
        <f t="shared" si="6"/>
        <v>0</v>
      </c>
      <c r="AF132" s="1027">
        <f t="shared" si="6"/>
        <v>0</v>
      </c>
      <c r="AG132" s="1027">
        <f t="shared" si="6"/>
        <v>0</v>
      </c>
      <c r="AH132" s="1027">
        <f t="shared" si="6"/>
        <v>0</v>
      </c>
      <c r="AI132" s="1027">
        <f t="shared" si="6"/>
        <v>0</v>
      </c>
      <c r="AJ132" s="1027">
        <f t="shared" si="6"/>
        <v>0</v>
      </c>
      <c r="AK132" s="1027">
        <f t="shared" ref="AK132:BD132" si="7">SUM(AK12:AK131)</f>
        <v>0</v>
      </c>
      <c r="AL132" s="1027">
        <f t="shared" si="7"/>
        <v>0</v>
      </c>
      <c r="AM132" s="1027">
        <f t="shared" si="7"/>
        <v>0</v>
      </c>
      <c r="AN132" s="1027">
        <f t="shared" si="7"/>
        <v>0</v>
      </c>
      <c r="AO132" s="1027">
        <f t="shared" si="7"/>
        <v>0</v>
      </c>
      <c r="AP132" s="1027">
        <f t="shared" si="7"/>
        <v>0</v>
      </c>
      <c r="AQ132" s="1027">
        <f t="shared" si="7"/>
        <v>0</v>
      </c>
      <c r="AR132" s="1027">
        <f t="shared" si="7"/>
        <v>0</v>
      </c>
      <c r="AS132" s="1027">
        <f t="shared" si="7"/>
        <v>0</v>
      </c>
      <c r="AT132" s="1027">
        <f t="shared" si="7"/>
        <v>0</v>
      </c>
      <c r="AU132" s="1027">
        <f t="shared" si="7"/>
        <v>0</v>
      </c>
      <c r="AV132" s="1027">
        <f t="shared" si="7"/>
        <v>0</v>
      </c>
      <c r="AW132" s="1027">
        <f t="shared" si="7"/>
        <v>0</v>
      </c>
      <c r="AX132" s="1027">
        <f t="shared" si="7"/>
        <v>0</v>
      </c>
      <c r="AY132" s="1027">
        <f t="shared" si="7"/>
        <v>0</v>
      </c>
      <c r="AZ132" s="1027">
        <f t="shared" si="7"/>
        <v>0</v>
      </c>
      <c r="BA132" s="1027">
        <f t="shared" si="7"/>
        <v>0</v>
      </c>
      <c r="BB132" s="1027">
        <f t="shared" si="7"/>
        <v>0</v>
      </c>
      <c r="BC132" s="1027">
        <f t="shared" si="7"/>
        <v>0</v>
      </c>
      <c r="BD132" s="1027">
        <f t="shared" si="7"/>
        <v>0</v>
      </c>
    </row>
    <row r="133" spans="2:65" s="973" customFormat="1" ht="18.45" customHeight="1" thickBot="1" x14ac:dyDescent="0.35">
      <c r="B133" s="976"/>
      <c r="C133" s="977"/>
      <c r="D133" s="978"/>
      <c r="E133" s="979"/>
      <c r="F133" s="980"/>
      <c r="G133" s="980"/>
      <c r="H133" s="981"/>
      <c r="I133" s="982"/>
      <c r="J133" s="983"/>
      <c r="K133" s="983"/>
      <c r="L133" s="981"/>
      <c r="M133" s="981"/>
      <c r="N133" s="981"/>
      <c r="O133" s="981"/>
      <c r="P133" s="981"/>
      <c r="Q133" s="981"/>
      <c r="R133" s="981"/>
      <c r="S133" s="981"/>
      <c r="T133" s="981"/>
      <c r="U133" s="981"/>
      <c r="V133" s="981"/>
      <c r="W133" s="981"/>
      <c r="X133" s="981"/>
      <c r="Y133" s="981"/>
      <c r="Z133" s="981"/>
      <c r="AA133" s="981"/>
      <c r="AB133" s="981"/>
      <c r="AC133" s="981"/>
      <c r="AD133" s="981"/>
      <c r="AE133" s="981"/>
      <c r="AF133" s="981"/>
      <c r="AG133" s="981"/>
      <c r="AH133" s="981"/>
      <c r="AI133" s="981"/>
      <c r="AJ133" s="981"/>
      <c r="AK133" s="981"/>
      <c r="AL133" s="981"/>
      <c r="AM133" s="981"/>
      <c r="AN133" s="981"/>
      <c r="AO133" s="981"/>
      <c r="AP133" s="981"/>
      <c r="AQ133" s="981"/>
      <c r="AR133" s="981"/>
      <c r="AS133" s="981"/>
      <c r="AT133" s="981"/>
      <c r="AU133" s="981"/>
      <c r="AV133" s="981"/>
      <c r="AW133" s="981"/>
      <c r="AX133" s="981"/>
      <c r="AY133" s="981"/>
      <c r="AZ133" s="981"/>
      <c r="BA133" s="981"/>
      <c r="BB133" s="981"/>
      <c r="BC133" s="981"/>
      <c r="BD133" s="981"/>
      <c r="BE133" s="981"/>
      <c r="BF133" s="981"/>
      <c r="BG133" s="981"/>
      <c r="BH133" s="981"/>
      <c r="BI133" s="981"/>
      <c r="BJ133" s="984">
        <f>BI133-G133</f>
        <v>0</v>
      </c>
    </row>
    <row r="134" spans="2:65" s="973" customFormat="1" ht="18.45" customHeight="1" x14ac:dyDescent="0.3">
      <c r="B134" s="1057"/>
      <c r="C134" s="1058" t="s">
        <v>2415</v>
      </c>
      <c r="D134" s="1059"/>
      <c r="E134" s="1060"/>
      <c r="F134" s="1061"/>
      <c r="G134" s="1061"/>
      <c r="H134" s="1062"/>
      <c r="I134" s="1063"/>
      <c r="J134" s="1064"/>
      <c r="K134" s="1064"/>
      <c r="L134" s="1062"/>
      <c r="M134" s="1062"/>
      <c r="N134" s="1062"/>
      <c r="O134" s="1062"/>
      <c r="P134" s="1062"/>
      <c r="Q134" s="1062"/>
      <c r="R134" s="1062"/>
      <c r="S134" s="1062"/>
      <c r="T134" s="1062"/>
      <c r="U134" s="1062"/>
      <c r="V134" s="1062"/>
      <c r="W134" s="1062"/>
      <c r="X134" s="1062"/>
      <c r="Y134" s="1062"/>
      <c r="Z134" s="1062"/>
      <c r="AA134" s="1062"/>
      <c r="AB134" s="1062"/>
      <c r="AC134" s="1062"/>
      <c r="AD134" s="1062"/>
      <c r="AE134" s="1062"/>
      <c r="AF134" s="1062"/>
      <c r="AG134" s="1062"/>
      <c r="AH134" s="1062"/>
      <c r="AI134" s="1062"/>
      <c r="AJ134" s="1062"/>
      <c r="AK134" s="1062"/>
      <c r="AL134" s="1062"/>
      <c r="AM134" s="1062"/>
      <c r="AN134" s="1062"/>
      <c r="AO134" s="1062"/>
      <c r="AP134" s="1062"/>
      <c r="AQ134" s="1062"/>
      <c r="AR134" s="1062"/>
      <c r="AS134" s="1062"/>
      <c r="AT134" s="1062"/>
      <c r="AU134" s="1062"/>
      <c r="AV134" s="1062"/>
      <c r="AW134" s="1062"/>
      <c r="AX134" s="1062"/>
      <c r="AY134" s="1062"/>
      <c r="AZ134" s="1062"/>
      <c r="BA134" s="1062"/>
      <c r="BB134" s="1062"/>
      <c r="BC134" s="1062"/>
      <c r="BD134" s="1065"/>
      <c r="BE134" s="981"/>
      <c r="BF134" s="981"/>
      <c r="BG134" s="981"/>
      <c r="BH134" s="981"/>
      <c r="BI134" s="981"/>
      <c r="BJ134" s="984"/>
    </row>
    <row r="135" spans="2:65" s="973" customFormat="1" ht="18.45" customHeight="1" x14ac:dyDescent="0.3">
      <c r="B135" s="1030"/>
      <c r="C135" s="1050" t="s">
        <v>2403</v>
      </c>
      <c r="D135" s="1051"/>
      <c r="E135" s="1049">
        <v>0</v>
      </c>
      <c r="F135" s="1066" t="s">
        <v>2422</v>
      </c>
      <c r="G135" s="980"/>
      <c r="H135" s="981"/>
      <c r="I135" s="982"/>
      <c r="J135" s="983"/>
      <c r="K135" s="983"/>
      <c r="L135" s="981"/>
      <c r="M135" s="981"/>
      <c r="N135" s="981"/>
      <c r="O135" s="981"/>
      <c r="P135" s="981"/>
      <c r="Q135" s="981"/>
      <c r="R135" s="981"/>
      <c r="S135" s="981"/>
      <c r="T135" s="981"/>
      <c r="U135" s="981"/>
      <c r="V135" s="981"/>
      <c r="W135" s="981"/>
      <c r="X135" s="981"/>
      <c r="Y135" s="981"/>
      <c r="Z135" s="981"/>
      <c r="AA135" s="981"/>
      <c r="AB135" s="981"/>
      <c r="AC135" s="981"/>
      <c r="AD135" s="981"/>
      <c r="AE135" s="981"/>
      <c r="AF135" s="981"/>
      <c r="AG135" s="981"/>
      <c r="AH135" s="981"/>
      <c r="AI135" s="981"/>
      <c r="AJ135" s="981"/>
      <c r="AK135" s="981"/>
      <c r="AL135" s="981"/>
      <c r="AM135" s="981"/>
      <c r="AN135" s="981"/>
      <c r="AO135" s="981"/>
      <c r="AP135" s="981"/>
      <c r="AQ135" s="981"/>
      <c r="AR135" s="981"/>
      <c r="AS135" s="981"/>
      <c r="AT135" s="981"/>
      <c r="AU135" s="981"/>
      <c r="AV135" s="981"/>
      <c r="AW135" s="981"/>
      <c r="AX135" s="981"/>
      <c r="AY135" s="981"/>
      <c r="AZ135" s="981"/>
      <c r="BA135" s="981"/>
      <c r="BB135" s="981"/>
      <c r="BC135" s="981"/>
      <c r="BD135" s="1067"/>
      <c r="BE135" s="981"/>
      <c r="BF135" s="981"/>
      <c r="BG135" s="981"/>
      <c r="BH135" s="981"/>
      <c r="BI135" s="981"/>
      <c r="BJ135" s="984"/>
    </row>
    <row r="136" spans="2:65" s="973" customFormat="1" ht="18.45" customHeight="1" x14ac:dyDescent="0.3">
      <c r="B136" s="1030"/>
      <c r="C136" s="1050" t="s">
        <v>2407</v>
      </c>
      <c r="D136" s="1051"/>
      <c r="E136" s="1049">
        <v>0</v>
      </c>
      <c r="F136" s="1066" t="s">
        <v>2422</v>
      </c>
      <c r="G136" s="980"/>
      <c r="H136" s="981"/>
      <c r="I136" s="982"/>
      <c r="J136" s="983"/>
      <c r="K136" s="983"/>
      <c r="L136" s="981"/>
      <c r="M136" s="981"/>
      <c r="N136" s="981"/>
      <c r="O136" s="981"/>
      <c r="P136" s="981"/>
      <c r="Q136" s="981"/>
      <c r="R136" s="981"/>
      <c r="S136" s="981"/>
      <c r="T136" s="981"/>
      <c r="U136" s="981"/>
      <c r="V136" s="981"/>
      <c r="W136" s="981"/>
      <c r="X136" s="981"/>
      <c r="Y136" s="981"/>
      <c r="Z136" s="981"/>
      <c r="AA136" s="981"/>
      <c r="AB136" s="981"/>
      <c r="AC136" s="981"/>
      <c r="AD136" s="981"/>
      <c r="AE136" s="981"/>
      <c r="AF136" s="981"/>
      <c r="AG136" s="981"/>
      <c r="AH136" s="981"/>
      <c r="AI136" s="981"/>
      <c r="AJ136" s="981"/>
      <c r="AK136" s="981"/>
      <c r="AL136" s="981"/>
      <c r="AM136" s="981"/>
      <c r="AN136" s="981"/>
      <c r="AO136" s="981"/>
      <c r="AP136" s="981"/>
      <c r="AQ136" s="981"/>
      <c r="AR136" s="981"/>
      <c r="AS136" s="981"/>
      <c r="AT136" s="981"/>
      <c r="AU136" s="981"/>
      <c r="AV136" s="981"/>
      <c r="AW136" s="981"/>
      <c r="AX136" s="981"/>
      <c r="AY136" s="981"/>
      <c r="AZ136" s="981"/>
      <c r="BA136" s="981"/>
      <c r="BB136" s="981"/>
      <c r="BC136" s="981"/>
      <c r="BD136" s="1067"/>
      <c r="BE136" s="981"/>
      <c r="BF136" s="981"/>
      <c r="BG136" s="981"/>
      <c r="BH136" s="981"/>
      <c r="BI136" s="981"/>
      <c r="BJ136" s="984"/>
    </row>
    <row r="137" spans="2:65" s="973" customFormat="1" ht="18.45" customHeight="1" x14ac:dyDescent="0.3">
      <c r="B137" s="1030"/>
      <c r="C137" s="1050" t="s">
        <v>2631</v>
      </c>
      <c r="D137" s="1051"/>
      <c r="E137" s="1049">
        <v>0</v>
      </c>
      <c r="F137" s="1066" t="s">
        <v>2560</v>
      </c>
      <c r="G137" s="980"/>
      <c r="H137" s="981"/>
      <c r="I137" s="982"/>
      <c r="J137" s="983"/>
      <c r="K137" s="983"/>
      <c r="L137" s="981"/>
      <c r="M137" s="981"/>
      <c r="N137" s="981"/>
      <c r="O137" s="981"/>
      <c r="P137" s="981"/>
      <c r="Q137" s="981"/>
      <c r="R137" s="981"/>
      <c r="S137" s="981"/>
      <c r="T137" s="981"/>
      <c r="U137" s="981"/>
      <c r="V137" s="981"/>
      <c r="W137" s="981"/>
      <c r="X137" s="981"/>
      <c r="Y137" s="981"/>
      <c r="Z137" s="981"/>
      <c r="AA137" s="981"/>
      <c r="AB137" s="981"/>
      <c r="AC137" s="981"/>
      <c r="AD137" s="981"/>
      <c r="AE137" s="981"/>
      <c r="AF137" s="981"/>
      <c r="AG137" s="981"/>
      <c r="AH137" s="981"/>
      <c r="AI137" s="981"/>
      <c r="AJ137" s="981"/>
      <c r="AK137" s="981"/>
      <c r="AL137" s="981"/>
      <c r="AM137" s="981"/>
      <c r="AN137" s="981"/>
      <c r="AO137" s="981"/>
      <c r="AP137" s="981"/>
      <c r="AQ137" s="981"/>
      <c r="AR137" s="981"/>
      <c r="AS137" s="981"/>
      <c r="AT137" s="981"/>
      <c r="AU137" s="981"/>
      <c r="AV137" s="981"/>
      <c r="AW137" s="981"/>
      <c r="AX137" s="981"/>
      <c r="AY137" s="981"/>
      <c r="AZ137" s="981"/>
      <c r="BA137" s="981"/>
      <c r="BB137" s="981"/>
      <c r="BC137" s="981"/>
      <c r="BD137" s="1067"/>
      <c r="BE137" s="981"/>
      <c r="BF137" s="981"/>
      <c r="BG137" s="981"/>
      <c r="BH137" s="981"/>
      <c r="BI137" s="981"/>
      <c r="BJ137" s="984"/>
    </row>
    <row r="138" spans="2:65" s="973" customFormat="1" ht="16.2" customHeight="1" x14ac:dyDescent="0.3">
      <c r="B138" s="1030"/>
      <c r="C138" s="1050" t="s">
        <v>2401</v>
      </c>
      <c r="D138" s="1051"/>
      <c r="E138" s="1049">
        <v>0</v>
      </c>
      <c r="F138" s="1066" t="s">
        <v>2560</v>
      </c>
      <c r="G138" s="979"/>
      <c r="H138" s="979"/>
      <c r="I138" s="979"/>
      <c r="J138" s="979"/>
      <c r="K138" s="979"/>
      <c r="L138" s="979"/>
      <c r="M138" s="979"/>
      <c r="N138" s="980"/>
      <c r="O138" s="980"/>
      <c r="P138" s="980"/>
      <c r="Q138" s="980"/>
      <c r="R138" s="980"/>
      <c r="S138" s="980"/>
      <c r="T138" s="980"/>
      <c r="U138" s="980"/>
      <c r="V138" s="980"/>
      <c r="W138" s="980"/>
      <c r="X138" s="980"/>
      <c r="Y138" s="980"/>
      <c r="Z138" s="980"/>
      <c r="AA138" s="980"/>
      <c r="AB138" s="980"/>
      <c r="AC138" s="980"/>
      <c r="AD138" s="980"/>
      <c r="AE138" s="980"/>
      <c r="AF138" s="980"/>
      <c r="AG138" s="980"/>
      <c r="AH138" s="980"/>
      <c r="AI138" s="980"/>
      <c r="AJ138" s="980"/>
      <c r="AK138" s="980"/>
      <c r="AL138" s="980"/>
      <c r="AM138" s="980"/>
      <c r="AN138" s="980"/>
      <c r="AO138" s="980"/>
      <c r="AP138" s="980"/>
      <c r="AQ138" s="980"/>
      <c r="AR138" s="980"/>
      <c r="AS138" s="980"/>
      <c r="AT138" s="980"/>
      <c r="AU138" s="980"/>
      <c r="AV138" s="980"/>
      <c r="AW138" s="980"/>
      <c r="AX138" s="980"/>
      <c r="AY138" s="980"/>
      <c r="AZ138" s="980"/>
      <c r="BA138" s="980"/>
      <c r="BB138" s="980"/>
      <c r="BC138" s="980"/>
      <c r="BD138" s="1068"/>
      <c r="BE138" s="980"/>
      <c r="BF138" s="980"/>
      <c r="BG138" s="980"/>
      <c r="BH138" s="980"/>
      <c r="BI138" s="980"/>
      <c r="BJ138" s="984"/>
    </row>
    <row r="139" spans="2:65" s="973" customFormat="1" ht="16.2" customHeight="1" x14ac:dyDescent="0.3">
      <c r="B139" s="1030"/>
      <c r="C139" s="1050" t="s">
        <v>2628</v>
      </c>
      <c r="D139" s="1051"/>
      <c r="E139" s="1049">
        <v>0</v>
      </c>
      <c r="F139" s="1066" t="s">
        <v>2560</v>
      </c>
      <c r="G139" s="979"/>
      <c r="H139" s="979"/>
      <c r="I139" s="979"/>
      <c r="J139" s="979"/>
      <c r="K139" s="979"/>
      <c r="L139" s="979"/>
      <c r="M139" s="979"/>
      <c r="N139" s="980"/>
      <c r="O139" s="980"/>
      <c r="P139" s="980"/>
      <c r="Q139" s="980"/>
      <c r="R139" s="980"/>
      <c r="S139" s="980"/>
      <c r="T139" s="980"/>
      <c r="U139" s="980"/>
      <c r="V139" s="980"/>
      <c r="W139" s="980"/>
      <c r="X139" s="980"/>
      <c r="Y139" s="980"/>
      <c r="Z139" s="980"/>
      <c r="AA139" s="980"/>
      <c r="AB139" s="980"/>
      <c r="AC139" s="980"/>
      <c r="AD139" s="980"/>
      <c r="AE139" s="980"/>
      <c r="AF139" s="980"/>
      <c r="AG139" s="980"/>
      <c r="AH139" s="980"/>
      <c r="AI139" s="980"/>
      <c r="AJ139" s="980"/>
      <c r="AK139" s="980"/>
      <c r="AL139" s="980"/>
      <c r="AM139" s="980"/>
      <c r="AN139" s="980"/>
      <c r="AO139" s="980"/>
      <c r="AP139" s="980"/>
      <c r="AQ139" s="980"/>
      <c r="AR139" s="980"/>
      <c r="AS139" s="980"/>
      <c r="AT139" s="980"/>
      <c r="AU139" s="980"/>
      <c r="AV139" s="980"/>
      <c r="AW139" s="980"/>
      <c r="AX139" s="980"/>
      <c r="AY139" s="980"/>
      <c r="AZ139" s="980"/>
      <c r="BA139" s="980"/>
      <c r="BB139" s="980"/>
      <c r="BC139" s="980"/>
      <c r="BD139" s="1068"/>
      <c r="BE139" s="980"/>
      <c r="BF139" s="980"/>
      <c r="BG139" s="980"/>
      <c r="BH139" s="980"/>
      <c r="BI139" s="980"/>
      <c r="BJ139" s="984"/>
    </row>
    <row r="140" spans="2:65" s="973" customFormat="1" ht="14.4" x14ac:dyDescent="0.3">
      <c r="B140" s="1030"/>
      <c r="C140" s="1050" t="s">
        <v>2629</v>
      </c>
      <c r="D140" s="1051"/>
      <c r="E140" s="1049">
        <v>0</v>
      </c>
      <c r="F140" s="1066" t="s">
        <v>2560</v>
      </c>
      <c r="G140" s="980"/>
      <c r="H140" s="980"/>
      <c r="I140" s="979"/>
      <c r="J140" s="979"/>
      <c r="K140" s="979"/>
      <c r="L140" s="1047"/>
      <c r="M140" s="1047"/>
      <c r="N140" s="1047"/>
      <c r="O140" s="1047"/>
      <c r="P140" s="1047"/>
      <c r="Q140" s="1047"/>
      <c r="R140" s="1047"/>
      <c r="S140" s="1047"/>
      <c r="T140" s="1047"/>
      <c r="U140" s="1047"/>
      <c r="V140" s="1047"/>
      <c r="W140" s="1047"/>
      <c r="X140" s="1047"/>
      <c r="Y140" s="1047"/>
      <c r="Z140" s="1047"/>
      <c r="AA140" s="1047"/>
      <c r="AB140" s="1047"/>
      <c r="AC140" s="1047"/>
      <c r="AD140" s="1047"/>
      <c r="AE140" s="1047"/>
      <c r="AF140" s="1047"/>
      <c r="AG140" s="1047"/>
      <c r="AH140" s="1047"/>
      <c r="AI140" s="1047"/>
      <c r="AJ140" s="1047"/>
      <c r="AK140" s="1047"/>
      <c r="AL140" s="1047"/>
      <c r="AM140" s="1047"/>
      <c r="AN140" s="1047"/>
      <c r="AO140" s="1047"/>
      <c r="AP140" s="1047"/>
      <c r="AQ140" s="1047"/>
      <c r="AR140" s="1047"/>
      <c r="AS140" s="1047"/>
      <c r="AT140" s="1047"/>
      <c r="AU140" s="1047"/>
      <c r="AV140" s="1047"/>
      <c r="AW140" s="1047"/>
      <c r="AX140" s="1047"/>
      <c r="AY140" s="1047"/>
      <c r="AZ140" s="1047"/>
      <c r="BA140" s="1047"/>
      <c r="BB140" s="1047"/>
      <c r="BC140" s="1047"/>
      <c r="BD140" s="1069"/>
      <c r="BE140" s="1047"/>
      <c r="BF140" s="1047"/>
      <c r="BG140" s="1047"/>
      <c r="BH140" s="1047"/>
      <c r="BI140" s="1047"/>
      <c r="BJ140" s="984"/>
      <c r="BM140" s="979"/>
    </row>
    <row r="141" spans="2:65" s="973" customFormat="1" ht="14.4" x14ac:dyDescent="0.3">
      <c r="B141" s="1030"/>
      <c r="C141" s="1050" t="s">
        <v>2402</v>
      </c>
      <c r="D141" s="1051"/>
      <c r="E141" s="1049">
        <v>0</v>
      </c>
      <c r="F141" s="1066" t="s">
        <v>2422</v>
      </c>
      <c r="G141" s="980"/>
      <c r="H141" s="980"/>
      <c r="I141" s="979"/>
      <c r="J141" s="979"/>
      <c r="K141" s="979"/>
      <c r="L141" s="980"/>
      <c r="M141" s="980"/>
      <c r="N141" s="980"/>
      <c r="O141" s="980"/>
      <c r="P141" s="980"/>
      <c r="Q141" s="980"/>
      <c r="R141" s="980"/>
      <c r="S141" s="980"/>
      <c r="T141" s="980"/>
      <c r="U141" s="980"/>
      <c r="V141" s="980"/>
      <c r="W141" s="980"/>
      <c r="X141" s="980"/>
      <c r="Y141" s="980"/>
      <c r="Z141" s="980"/>
      <c r="AA141" s="980"/>
      <c r="AB141" s="980"/>
      <c r="AC141" s="980"/>
      <c r="AD141" s="980"/>
      <c r="AE141" s="980"/>
      <c r="AF141" s="980"/>
      <c r="AG141" s="980"/>
      <c r="AH141" s="980"/>
      <c r="AI141" s="980"/>
      <c r="AJ141" s="980"/>
      <c r="AK141" s="980"/>
      <c r="AL141" s="980"/>
      <c r="AM141" s="980"/>
      <c r="AN141" s="980"/>
      <c r="AO141" s="980"/>
      <c r="AP141" s="980"/>
      <c r="AQ141" s="980"/>
      <c r="AR141" s="980"/>
      <c r="AS141" s="980"/>
      <c r="AT141" s="980"/>
      <c r="AU141" s="980"/>
      <c r="AV141" s="980"/>
      <c r="AW141" s="980"/>
      <c r="AX141" s="980"/>
      <c r="AY141" s="980"/>
      <c r="AZ141" s="980"/>
      <c r="BA141" s="980"/>
      <c r="BB141" s="980"/>
      <c r="BC141" s="980"/>
      <c r="BD141" s="1068"/>
      <c r="BE141" s="980"/>
      <c r="BF141" s="980"/>
      <c r="BG141" s="980"/>
      <c r="BH141" s="980"/>
      <c r="BI141" s="980"/>
      <c r="BJ141" s="984">
        <f>BI141-G141</f>
        <v>0</v>
      </c>
    </row>
    <row r="142" spans="2:65" s="1074" customFormat="1" ht="14.4" x14ac:dyDescent="0.3">
      <c r="B142" s="1075"/>
      <c r="D142" s="1076"/>
      <c r="E142" s="1077"/>
      <c r="F142" s="1078"/>
      <c r="G142" s="1078"/>
      <c r="H142" s="1078"/>
      <c r="I142" s="1079"/>
      <c r="J142" s="1079"/>
      <c r="K142" s="1079"/>
      <c r="L142" s="1078"/>
      <c r="M142" s="1078"/>
      <c r="N142" s="1078"/>
      <c r="O142" s="1078"/>
      <c r="P142" s="1078"/>
      <c r="Q142" s="1078"/>
      <c r="R142" s="1078"/>
      <c r="S142" s="1078"/>
      <c r="T142" s="1078"/>
      <c r="U142" s="1078"/>
      <c r="V142" s="1078"/>
      <c r="W142" s="1078"/>
      <c r="X142" s="1078"/>
      <c r="Y142" s="1078"/>
      <c r="Z142" s="1078"/>
      <c r="AA142" s="1078"/>
      <c r="AB142" s="1078"/>
      <c r="AC142" s="1078"/>
      <c r="AD142" s="1078"/>
      <c r="AE142" s="1078"/>
      <c r="AF142" s="1078"/>
      <c r="AG142" s="1078"/>
      <c r="AH142" s="1078"/>
      <c r="AI142" s="1078"/>
      <c r="AJ142" s="1078"/>
      <c r="AK142" s="1078"/>
      <c r="AL142" s="1078"/>
      <c r="AM142" s="1078"/>
      <c r="AN142" s="1078"/>
      <c r="AO142" s="1078"/>
      <c r="AP142" s="1078"/>
      <c r="AQ142" s="1078"/>
      <c r="AR142" s="1078"/>
      <c r="AS142" s="1078"/>
      <c r="AT142" s="1078"/>
      <c r="AU142" s="1078"/>
      <c r="AV142" s="1078"/>
      <c r="AW142" s="1078"/>
      <c r="AX142" s="1078"/>
      <c r="AY142" s="1078"/>
      <c r="AZ142" s="1078"/>
      <c r="BA142" s="1078"/>
      <c r="BB142" s="1078"/>
      <c r="BC142" s="1078"/>
      <c r="BD142" s="1080"/>
      <c r="BE142" s="1078"/>
      <c r="BF142" s="1078"/>
      <c r="BG142" s="1078"/>
      <c r="BH142" s="1078"/>
      <c r="BI142" s="1078"/>
      <c r="BJ142" s="1081"/>
    </row>
    <row r="143" spans="2:65" s="973" customFormat="1" ht="14.4" x14ac:dyDescent="0.3">
      <c r="B143" s="1030"/>
      <c r="C143" s="1050" t="s">
        <v>2426</v>
      </c>
      <c r="D143" s="1051"/>
      <c r="E143" s="1084"/>
      <c r="F143" s="1066"/>
      <c r="G143" s="980"/>
      <c r="H143" s="980"/>
      <c r="I143" s="979"/>
      <c r="J143" s="979"/>
      <c r="K143" s="979"/>
      <c r="L143" s="980"/>
      <c r="M143" s="980"/>
      <c r="N143" s="980"/>
      <c r="O143" s="980"/>
      <c r="P143" s="980"/>
      <c r="Q143" s="980"/>
      <c r="R143" s="980"/>
      <c r="S143" s="980"/>
      <c r="T143" s="980"/>
      <c r="U143" s="980"/>
      <c r="V143" s="980"/>
      <c r="W143" s="980"/>
      <c r="X143" s="980"/>
      <c r="Y143" s="980"/>
      <c r="Z143" s="980"/>
      <c r="AA143" s="980"/>
      <c r="AB143" s="980"/>
      <c r="AC143" s="980"/>
      <c r="AD143" s="980"/>
      <c r="AE143" s="980"/>
      <c r="AF143" s="980"/>
      <c r="AG143" s="980"/>
      <c r="AH143" s="980"/>
      <c r="AI143" s="980"/>
      <c r="AJ143" s="980"/>
      <c r="AK143" s="980"/>
      <c r="AL143" s="980"/>
      <c r="AM143" s="980"/>
      <c r="AN143" s="980"/>
      <c r="AO143" s="980"/>
      <c r="AP143" s="980"/>
      <c r="AQ143" s="980"/>
      <c r="AR143" s="980"/>
      <c r="AS143" s="980"/>
      <c r="AT143" s="980"/>
      <c r="AU143" s="980"/>
      <c r="AV143" s="980"/>
      <c r="AW143" s="980"/>
      <c r="AX143" s="980"/>
      <c r="AY143" s="980"/>
      <c r="AZ143" s="980"/>
      <c r="BA143" s="980"/>
      <c r="BB143" s="980"/>
      <c r="BC143" s="980"/>
      <c r="BD143" s="1068"/>
      <c r="BE143" s="980"/>
      <c r="BF143" s="980"/>
      <c r="BG143" s="980"/>
      <c r="BH143" s="980"/>
      <c r="BI143" s="980"/>
      <c r="BJ143" s="984"/>
    </row>
    <row r="144" spans="2:65" s="973" customFormat="1" ht="14.4" x14ac:dyDescent="0.3">
      <c r="B144" s="1030"/>
      <c r="C144" s="1050" t="s">
        <v>2427</v>
      </c>
      <c r="D144" s="1051"/>
      <c r="E144" s="1084"/>
      <c r="F144" s="1066"/>
      <c r="G144" s="980"/>
      <c r="H144" s="980"/>
      <c r="I144" s="979"/>
      <c r="J144" s="979"/>
      <c r="K144" s="979"/>
      <c r="L144" s="980"/>
      <c r="M144" s="980"/>
      <c r="N144" s="980"/>
      <c r="O144" s="980"/>
      <c r="P144" s="980"/>
      <c r="Q144" s="980"/>
      <c r="R144" s="980"/>
      <c r="S144" s="980"/>
      <c r="T144" s="980"/>
      <c r="U144" s="980"/>
      <c r="V144" s="980"/>
      <c r="W144" s="980"/>
      <c r="X144" s="980"/>
      <c r="Y144" s="980"/>
      <c r="Z144" s="980"/>
      <c r="AA144" s="980"/>
      <c r="AB144" s="980"/>
      <c r="AC144" s="980"/>
      <c r="AD144" s="980"/>
      <c r="AE144" s="980"/>
      <c r="AF144" s="980"/>
      <c r="AG144" s="980"/>
      <c r="AH144" s="980"/>
      <c r="AI144" s="980"/>
      <c r="AJ144" s="980"/>
      <c r="AK144" s="980"/>
      <c r="AL144" s="980"/>
      <c r="AM144" s="980"/>
      <c r="AN144" s="980"/>
      <c r="AO144" s="980"/>
      <c r="AP144" s="980"/>
      <c r="AQ144" s="980"/>
      <c r="AR144" s="980"/>
      <c r="AS144" s="980"/>
      <c r="AT144" s="980"/>
      <c r="AU144" s="980"/>
      <c r="AV144" s="980"/>
      <c r="AW144" s="980"/>
      <c r="AX144" s="980"/>
      <c r="AY144" s="980"/>
      <c r="AZ144" s="980"/>
      <c r="BA144" s="980"/>
      <c r="BB144" s="980"/>
      <c r="BC144" s="980"/>
      <c r="BD144" s="1068"/>
      <c r="BE144" s="980"/>
      <c r="BF144" s="980"/>
      <c r="BG144" s="980"/>
      <c r="BH144" s="980"/>
      <c r="BI144" s="980"/>
      <c r="BJ144" s="984"/>
    </row>
    <row r="145" spans="2:62" s="973" customFormat="1" ht="14.4" x14ac:dyDescent="0.3">
      <c r="B145" s="1030"/>
      <c r="C145" s="1050" t="s">
        <v>2423</v>
      </c>
      <c r="D145" s="1051"/>
      <c r="E145" s="1084"/>
      <c r="F145" s="980"/>
      <c r="G145" s="980"/>
      <c r="H145" s="980"/>
      <c r="I145" s="979"/>
      <c r="J145" s="979"/>
      <c r="K145" s="979"/>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c r="AL145" s="980"/>
      <c r="AM145" s="980"/>
      <c r="AN145" s="980"/>
      <c r="AO145" s="980"/>
      <c r="AP145" s="980"/>
      <c r="AQ145" s="980"/>
      <c r="AR145" s="980"/>
      <c r="AS145" s="980"/>
      <c r="AT145" s="980"/>
      <c r="AU145" s="980"/>
      <c r="AV145" s="980"/>
      <c r="AW145" s="980"/>
      <c r="AX145" s="980"/>
      <c r="AY145" s="980"/>
      <c r="AZ145" s="980"/>
      <c r="BA145" s="980"/>
      <c r="BB145" s="980"/>
      <c r="BC145" s="980"/>
      <c r="BD145" s="1068"/>
      <c r="BE145" s="980"/>
      <c r="BF145" s="980"/>
      <c r="BG145" s="980"/>
      <c r="BH145" s="980"/>
      <c r="BI145" s="980"/>
      <c r="BJ145" s="984"/>
    </row>
    <row r="146" spans="2:62" s="973" customFormat="1" ht="14.4" x14ac:dyDescent="0.3">
      <c r="B146" s="1030"/>
      <c r="C146" s="1050" t="s">
        <v>2404</v>
      </c>
      <c r="D146" s="1051"/>
      <c r="E146" s="1084"/>
      <c r="F146" s="980"/>
      <c r="G146" s="980"/>
      <c r="H146" s="980"/>
      <c r="I146" s="979"/>
      <c r="J146" s="979"/>
      <c r="K146" s="979"/>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c r="AL146" s="980"/>
      <c r="AM146" s="980"/>
      <c r="AN146" s="980"/>
      <c r="AO146" s="980"/>
      <c r="AP146" s="980"/>
      <c r="AQ146" s="980"/>
      <c r="AR146" s="980"/>
      <c r="AS146" s="980"/>
      <c r="AT146" s="980"/>
      <c r="AU146" s="980"/>
      <c r="AV146" s="980"/>
      <c r="AW146" s="980"/>
      <c r="AX146" s="980"/>
      <c r="AY146" s="980"/>
      <c r="AZ146" s="980"/>
      <c r="BA146" s="980"/>
      <c r="BB146" s="980"/>
      <c r="BC146" s="980"/>
      <c r="BD146" s="1068"/>
      <c r="BE146" s="980"/>
      <c r="BF146" s="980"/>
      <c r="BG146" s="980"/>
      <c r="BH146" s="980"/>
      <c r="BI146" s="980"/>
      <c r="BJ146" s="984"/>
    </row>
    <row r="147" spans="2:62" s="973" customFormat="1" ht="14.4" x14ac:dyDescent="0.3">
      <c r="B147" s="1030"/>
      <c r="C147" s="1050" t="s">
        <v>2424</v>
      </c>
      <c r="D147" s="1051"/>
      <c r="E147" s="1084"/>
      <c r="F147" s="980"/>
      <c r="G147" s="980"/>
      <c r="H147" s="980"/>
      <c r="I147" s="979"/>
      <c r="J147" s="979"/>
      <c r="K147" s="979"/>
      <c r="L147" s="980"/>
      <c r="M147" s="980"/>
      <c r="N147" s="980"/>
      <c r="O147" s="980"/>
      <c r="P147" s="980"/>
      <c r="Q147" s="980"/>
      <c r="R147" s="980"/>
      <c r="S147" s="980"/>
      <c r="T147" s="980"/>
      <c r="U147" s="980"/>
      <c r="V147" s="980"/>
      <c r="W147" s="980"/>
      <c r="X147" s="980"/>
      <c r="Y147" s="980"/>
      <c r="Z147" s="980"/>
      <c r="AA147" s="980"/>
      <c r="AB147" s="980"/>
      <c r="AC147" s="980"/>
      <c r="AD147" s="980"/>
      <c r="AE147" s="980"/>
      <c r="AF147" s="980"/>
      <c r="AG147" s="980"/>
      <c r="AH147" s="980"/>
      <c r="AI147" s="980"/>
      <c r="AJ147" s="980"/>
      <c r="AK147" s="980"/>
      <c r="AL147" s="980"/>
      <c r="AM147" s="980"/>
      <c r="AN147" s="980"/>
      <c r="AO147" s="980"/>
      <c r="AP147" s="980"/>
      <c r="AQ147" s="980"/>
      <c r="AR147" s="980"/>
      <c r="AS147" s="980"/>
      <c r="AT147" s="980"/>
      <c r="AU147" s="980"/>
      <c r="AV147" s="980"/>
      <c r="AW147" s="980"/>
      <c r="AX147" s="980"/>
      <c r="AY147" s="980"/>
      <c r="AZ147" s="980"/>
      <c r="BA147" s="980"/>
      <c r="BB147" s="980"/>
      <c r="BC147" s="980"/>
      <c r="BD147" s="1068"/>
      <c r="BE147" s="980"/>
      <c r="BF147" s="980"/>
      <c r="BG147" s="980"/>
      <c r="BH147" s="980"/>
      <c r="BI147" s="980"/>
      <c r="BJ147" s="984"/>
    </row>
    <row r="148" spans="2:62" s="973" customFormat="1" ht="14.4" x14ac:dyDescent="0.3">
      <c r="B148" s="1030"/>
      <c r="C148" s="1050" t="s">
        <v>2405</v>
      </c>
      <c r="D148" s="1051"/>
      <c r="E148" s="1084"/>
      <c r="F148" s="980"/>
      <c r="G148" s="980"/>
      <c r="H148" s="980"/>
      <c r="I148" s="979"/>
      <c r="J148" s="979"/>
      <c r="K148" s="979"/>
      <c r="L148" s="980"/>
      <c r="M148" s="980"/>
      <c r="N148" s="980"/>
      <c r="O148" s="980"/>
      <c r="P148" s="980"/>
      <c r="Q148" s="980"/>
      <c r="R148" s="980"/>
      <c r="S148" s="980"/>
      <c r="T148" s="980"/>
      <c r="U148" s="980"/>
      <c r="V148" s="980"/>
      <c r="W148" s="980"/>
      <c r="X148" s="980"/>
      <c r="Y148" s="980"/>
      <c r="Z148" s="980"/>
      <c r="AA148" s="980"/>
      <c r="AB148" s="980"/>
      <c r="AC148" s="980"/>
      <c r="AD148" s="980"/>
      <c r="AE148" s="980"/>
      <c r="AF148" s="980"/>
      <c r="AG148" s="980"/>
      <c r="AH148" s="980"/>
      <c r="AI148" s="980"/>
      <c r="AJ148" s="980"/>
      <c r="AK148" s="980"/>
      <c r="AL148" s="980"/>
      <c r="AM148" s="980"/>
      <c r="AN148" s="980"/>
      <c r="AO148" s="980"/>
      <c r="AP148" s="980"/>
      <c r="AQ148" s="980"/>
      <c r="AR148" s="980"/>
      <c r="AS148" s="980"/>
      <c r="AT148" s="980"/>
      <c r="AU148" s="980"/>
      <c r="AV148" s="980"/>
      <c r="AW148" s="980"/>
      <c r="AX148" s="980"/>
      <c r="AY148" s="980"/>
      <c r="AZ148" s="980"/>
      <c r="BA148" s="980"/>
      <c r="BB148" s="980"/>
      <c r="BC148" s="980"/>
      <c r="BD148" s="1068"/>
      <c r="BE148" s="980"/>
      <c r="BF148" s="980"/>
      <c r="BG148" s="980"/>
      <c r="BH148" s="980"/>
      <c r="BI148" s="980"/>
      <c r="BJ148" s="984"/>
    </row>
    <row r="149" spans="2:62" s="973" customFormat="1" ht="14.4" x14ac:dyDescent="0.3">
      <c r="B149" s="1030"/>
      <c r="C149" s="1050" t="s">
        <v>2425</v>
      </c>
      <c r="D149" s="1051"/>
      <c r="E149" s="1084"/>
      <c r="F149" s="980"/>
      <c r="G149" s="980"/>
      <c r="H149" s="980"/>
      <c r="I149" s="979"/>
      <c r="J149" s="979"/>
      <c r="K149" s="979"/>
      <c r="L149" s="980"/>
      <c r="M149" s="980"/>
      <c r="N149" s="980"/>
      <c r="O149" s="980"/>
      <c r="P149" s="980"/>
      <c r="Q149" s="980"/>
      <c r="R149" s="980"/>
      <c r="S149" s="980"/>
      <c r="T149" s="980"/>
      <c r="U149" s="980"/>
      <c r="V149" s="980"/>
      <c r="W149" s="980"/>
      <c r="X149" s="980"/>
      <c r="Y149" s="980"/>
      <c r="Z149" s="980"/>
      <c r="AA149" s="980"/>
      <c r="AB149" s="980"/>
      <c r="AC149" s="980"/>
      <c r="AD149" s="980"/>
      <c r="AE149" s="980"/>
      <c r="AF149" s="980"/>
      <c r="AG149" s="980"/>
      <c r="AH149" s="980"/>
      <c r="AI149" s="980"/>
      <c r="AJ149" s="980"/>
      <c r="AK149" s="980"/>
      <c r="AL149" s="980"/>
      <c r="AM149" s="980"/>
      <c r="AN149" s="980"/>
      <c r="AO149" s="980"/>
      <c r="AP149" s="980"/>
      <c r="AQ149" s="980"/>
      <c r="AR149" s="980"/>
      <c r="AS149" s="980"/>
      <c r="AT149" s="980"/>
      <c r="AU149" s="980"/>
      <c r="AV149" s="980"/>
      <c r="AW149" s="980"/>
      <c r="AX149" s="980"/>
      <c r="AY149" s="980"/>
      <c r="AZ149" s="980"/>
      <c r="BA149" s="980"/>
      <c r="BB149" s="980"/>
      <c r="BC149" s="980"/>
      <c r="BD149" s="1068"/>
      <c r="BE149" s="980"/>
      <c r="BF149" s="980"/>
      <c r="BG149" s="980"/>
      <c r="BH149" s="980"/>
      <c r="BI149" s="980"/>
      <c r="BJ149" s="984"/>
    </row>
    <row r="150" spans="2:62" s="973" customFormat="1" ht="14.4" x14ac:dyDescent="0.3">
      <c r="B150" s="1030"/>
      <c r="C150" s="1050" t="s">
        <v>2406</v>
      </c>
      <c r="D150" s="1051"/>
      <c r="E150" s="1084"/>
      <c r="F150" s="980"/>
      <c r="G150" s="980"/>
      <c r="H150" s="980"/>
      <c r="I150" s="979"/>
      <c r="J150" s="979"/>
      <c r="K150" s="979"/>
      <c r="L150" s="980"/>
      <c r="M150" s="980"/>
      <c r="N150" s="980"/>
      <c r="O150" s="980"/>
      <c r="P150" s="980"/>
      <c r="Q150" s="980"/>
      <c r="R150" s="980"/>
      <c r="S150" s="980"/>
      <c r="T150" s="980"/>
      <c r="U150" s="980"/>
      <c r="V150" s="980"/>
      <c r="W150" s="980"/>
      <c r="X150" s="980"/>
      <c r="Y150" s="980"/>
      <c r="Z150" s="980"/>
      <c r="AA150" s="980"/>
      <c r="AB150" s="980"/>
      <c r="AC150" s="980"/>
      <c r="AD150" s="980"/>
      <c r="AE150" s="980"/>
      <c r="AF150" s="980"/>
      <c r="AG150" s="980"/>
      <c r="AH150" s="980"/>
      <c r="AI150" s="980"/>
      <c r="AJ150" s="980"/>
      <c r="AK150" s="980"/>
      <c r="AL150" s="980"/>
      <c r="AM150" s="980"/>
      <c r="AN150" s="980"/>
      <c r="AO150" s="980"/>
      <c r="AP150" s="980"/>
      <c r="AQ150" s="980"/>
      <c r="AR150" s="980"/>
      <c r="AS150" s="980"/>
      <c r="AT150" s="980"/>
      <c r="AU150" s="980"/>
      <c r="AV150" s="980"/>
      <c r="AW150" s="980"/>
      <c r="AX150" s="980"/>
      <c r="AY150" s="980"/>
      <c r="AZ150" s="980"/>
      <c r="BA150" s="980"/>
      <c r="BB150" s="980"/>
      <c r="BC150" s="980"/>
      <c r="BD150" s="1068"/>
      <c r="BE150" s="980"/>
      <c r="BF150" s="980"/>
      <c r="BG150" s="980"/>
      <c r="BH150" s="980"/>
      <c r="BI150" s="980"/>
      <c r="BJ150" s="984"/>
    </row>
    <row r="151" spans="2:62" s="1074" customFormat="1" ht="14.4" x14ac:dyDescent="0.3">
      <c r="B151" s="1075"/>
      <c r="D151" s="1076"/>
      <c r="E151" s="1077"/>
      <c r="F151" s="1078"/>
      <c r="G151" s="1078"/>
      <c r="H151" s="1078"/>
      <c r="I151" s="1079"/>
      <c r="J151" s="1079"/>
      <c r="K151" s="1079"/>
      <c r="L151" s="1078"/>
      <c r="M151" s="1078"/>
      <c r="N151" s="1078"/>
      <c r="O151" s="1078"/>
      <c r="P151" s="1078"/>
      <c r="Q151" s="1078"/>
      <c r="R151" s="1078"/>
      <c r="S151" s="1078"/>
      <c r="T151" s="1078"/>
      <c r="U151" s="1078"/>
      <c r="V151" s="1078"/>
      <c r="W151" s="1078"/>
      <c r="X151" s="1078"/>
      <c r="Y151" s="1078"/>
      <c r="Z151" s="1078"/>
      <c r="AA151" s="1078"/>
      <c r="AB151" s="1078"/>
      <c r="AC151" s="1078"/>
      <c r="AD151" s="1078"/>
      <c r="AE151" s="1078"/>
      <c r="AF151" s="1078"/>
      <c r="AG151" s="1078"/>
      <c r="AH151" s="1078"/>
      <c r="AI151" s="1078"/>
      <c r="AJ151" s="1078"/>
      <c r="AK151" s="1078"/>
      <c r="AL151" s="1078"/>
      <c r="AM151" s="1078"/>
      <c r="AN151" s="1078"/>
      <c r="AO151" s="1078"/>
      <c r="AP151" s="1078"/>
      <c r="AQ151" s="1078"/>
      <c r="AR151" s="1078"/>
      <c r="AS151" s="1078"/>
      <c r="AT151" s="1078"/>
      <c r="AU151" s="1078"/>
      <c r="AV151" s="1078"/>
      <c r="AW151" s="1078"/>
      <c r="AX151" s="1078"/>
      <c r="AY151" s="1078"/>
      <c r="AZ151" s="1078"/>
      <c r="BA151" s="1078"/>
      <c r="BB151" s="1078"/>
      <c r="BC151" s="1078"/>
      <c r="BD151" s="1080"/>
      <c r="BE151" s="1078"/>
      <c r="BF151" s="1078"/>
      <c r="BG151" s="1078"/>
      <c r="BH151" s="1078"/>
      <c r="BI151" s="1078"/>
      <c r="BJ151" s="1081"/>
    </row>
    <row r="152" spans="2:62" s="973" customFormat="1" ht="14.4" x14ac:dyDescent="0.3">
      <c r="B152" s="1010"/>
      <c r="C152" s="1052" t="s">
        <v>2421</v>
      </c>
      <c r="D152" s="1012"/>
      <c r="E152" s="1055"/>
      <c r="F152" s="1053"/>
      <c r="G152" s="1053"/>
      <c r="H152" s="1053"/>
      <c r="I152" s="1053"/>
      <c r="J152" s="1053"/>
      <c r="K152" s="1053"/>
      <c r="L152" s="1053"/>
      <c r="M152" s="1053"/>
      <c r="N152" s="1053"/>
      <c r="O152" s="1053"/>
      <c r="P152" s="1053"/>
      <c r="Q152" s="1053"/>
      <c r="R152" s="1053"/>
      <c r="S152" s="1053"/>
      <c r="T152" s="1053"/>
      <c r="U152" s="1053"/>
      <c r="V152" s="1053"/>
      <c r="W152" s="1053"/>
      <c r="X152" s="1053"/>
      <c r="Y152" s="1053"/>
      <c r="Z152" s="1053"/>
      <c r="AA152" s="1053"/>
      <c r="AB152" s="1053"/>
      <c r="AC152" s="1053"/>
      <c r="AD152" s="1053"/>
      <c r="AE152" s="1053"/>
      <c r="AF152" s="1053"/>
      <c r="AG152" s="1053"/>
      <c r="AH152" s="1053"/>
      <c r="AI152" s="1053"/>
      <c r="AJ152" s="1053"/>
      <c r="AK152" s="1053"/>
      <c r="AL152" s="1053"/>
      <c r="AM152" s="1053"/>
      <c r="AN152" s="1053"/>
      <c r="AO152" s="1053"/>
      <c r="AP152" s="1053"/>
      <c r="AQ152" s="1053"/>
      <c r="AR152" s="1053"/>
      <c r="AS152" s="1053"/>
      <c r="AT152" s="1053"/>
      <c r="AU152" s="1053"/>
      <c r="AV152" s="1053"/>
      <c r="AW152" s="1053"/>
      <c r="AX152" s="1053"/>
      <c r="AY152" s="1053"/>
      <c r="AZ152" s="1053"/>
      <c r="BA152" s="1053"/>
      <c r="BB152" s="1053"/>
      <c r="BC152" s="1053"/>
      <c r="BD152" s="1072"/>
    </row>
    <row r="153" spans="2:62" s="973" customFormat="1" ht="14.4" x14ac:dyDescent="0.3">
      <c r="B153" s="1010"/>
      <c r="C153" s="1054" t="s">
        <v>2429</v>
      </c>
      <c r="D153" s="1082"/>
      <c r="E153" s="1009"/>
      <c r="F153" s="1083"/>
      <c r="G153" s="1056"/>
      <c r="H153" s="1056"/>
      <c r="I153" s="1056"/>
      <c r="J153" s="1056"/>
      <c r="K153" s="1056"/>
      <c r="L153" s="1056"/>
      <c r="M153" s="1056"/>
      <c r="N153" s="1056"/>
      <c r="O153" s="1056"/>
      <c r="P153" s="1056"/>
      <c r="Q153" s="1056"/>
      <c r="R153" s="1056"/>
      <c r="S153" s="1056"/>
      <c r="T153" s="1056"/>
      <c r="U153" s="1056"/>
      <c r="V153" s="1056"/>
      <c r="W153" s="1056"/>
      <c r="X153" s="1056"/>
      <c r="Y153" s="1056"/>
      <c r="Z153" s="1056"/>
      <c r="AA153" s="1056"/>
      <c r="AB153" s="1056"/>
      <c r="AC153" s="1056"/>
      <c r="AD153" s="1056"/>
      <c r="AE153" s="1056"/>
      <c r="AF153" s="1056"/>
      <c r="AG153" s="1056"/>
      <c r="AH153" s="1056"/>
      <c r="AI153" s="1056"/>
      <c r="AJ153" s="1056"/>
      <c r="AK153" s="1056"/>
      <c r="AL153" s="1056"/>
      <c r="AM153" s="1056"/>
      <c r="AN153" s="1056"/>
      <c r="AO153" s="1056"/>
      <c r="AP153" s="1056"/>
      <c r="AQ153" s="1056"/>
      <c r="AR153" s="1056"/>
      <c r="AS153" s="1056"/>
      <c r="AT153" s="1056"/>
      <c r="AU153" s="1056"/>
      <c r="AV153" s="1056"/>
      <c r="AW153" s="1056"/>
      <c r="AX153" s="1056"/>
      <c r="AY153" s="1056"/>
      <c r="AZ153" s="1056"/>
      <c r="BA153" s="1056"/>
      <c r="BB153" s="1056"/>
      <c r="BC153" s="1020">
        <f>SUM(F153:BB153)</f>
        <v>0</v>
      </c>
      <c r="BD153" s="1072"/>
    </row>
    <row r="154" spans="2:62" s="973" customFormat="1" ht="14.4" x14ac:dyDescent="0.3">
      <c r="B154" s="1010"/>
      <c r="C154" s="1054" t="s">
        <v>2408</v>
      </c>
      <c r="D154" s="1082"/>
      <c r="E154" s="1009"/>
      <c r="F154" s="1083"/>
      <c r="G154" s="1056"/>
      <c r="H154" s="1056"/>
      <c r="I154" s="1056"/>
      <c r="J154" s="1056"/>
      <c r="K154" s="1056"/>
      <c r="L154" s="1056"/>
      <c r="M154" s="1056"/>
      <c r="N154" s="1056"/>
      <c r="O154" s="1056"/>
      <c r="P154" s="1056"/>
      <c r="Q154" s="1056"/>
      <c r="R154" s="1056"/>
      <c r="S154" s="1056"/>
      <c r="T154" s="1056"/>
      <c r="U154" s="1056"/>
      <c r="V154" s="1056"/>
      <c r="W154" s="1056"/>
      <c r="X154" s="1056"/>
      <c r="Y154" s="1056"/>
      <c r="Z154" s="1056"/>
      <c r="AA154" s="1056"/>
      <c r="AB154" s="1056"/>
      <c r="AC154" s="1056"/>
      <c r="AD154" s="1056"/>
      <c r="AE154" s="1056"/>
      <c r="AF154" s="1056"/>
      <c r="AG154" s="1056"/>
      <c r="AH154" s="1056"/>
      <c r="AI154" s="1056"/>
      <c r="AJ154" s="1056"/>
      <c r="AK154" s="1056"/>
      <c r="AL154" s="1056"/>
      <c r="AM154" s="1056"/>
      <c r="AN154" s="1056"/>
      <c r="AO154" s="1056"/>
      <c r="AP154" s="1056"/>
      <c r="AQ154" s="1056"/>
      <c r="AR154" s="1056"/>
      <c r="AS154" s="1056"/>
      <c r="AT154" s="1056"/>
      <c r="AU154" s="1056"/>
      <c r="AV154" s="1056"/>
      <c r="AW154" s="1056"/>
      <c r="AX154" s="1056"/>
      <c r="AY154" s="1056"/>
      <c r="AZ154" s="1056"/>
      <c r="BA154" s="1056"/>
      <c r="BB154" s="1056"/>
      <c r="BC154" s="1020">
        <f>SUM(F154:BB154)</f>
        <v>0</v>
      </c>
      <c r="BD154" s="1072"/>
    </row>
    <row r="155" spans="2:62" s="973" customFormat="1" ht="14.4" x14ac:dyDescent="0.3">
      <c r="B155" s="1010"/>
      <c r="C155" s="1054" t="s">
        <v>2409</v>
      </c>
      <c r="D155" s="1014"/>
      <c r="E155" s="1009"/>
      <c r="F155" s="1056"/>
      <c r="G155" s="1056"/>
      <c r="H155" s="1056"/>
      <c r="I155" s="1056"/>
      <c r="J155" s="1056"/>
      <c r="K155" s="1056"/>
      <c r="L155" s="1056"/>
      <c r="M155" s="1056"/>
      <c r="N155" s="1056"/>
      <c r="O155" s="1056"/>
      <c r="P155" s="1056"/>
      <c r="Q155" s="1056"/>
      <c r="R155" s="1056"/>
      <c r="S155" s="1056"/>
      <c r="T155" s="1056"/>
      <c r="U155" s="1056"/>
      <c r="V155" s="1056"/>
      <c r="W155" s="1056"/>
      <c r="X155" s="1056"/>
      <c r="Y155" s="1056"/>
      <c r="Z155" s="1056"/>
      <c r="AA155" s="1056"/>
      <c r="AB155" s="1056"/>
      <c r="AC155" s="1056"/>
      <c r="AD155" s="1056"/>
      <c r="AE155" s="1056"/>
      <c r="AF155" s="1056"/>
      <c r="AG155" s="1056"/>
      <c r="AH155" s="1056"/>
      <c r="AI155" s="1056"/>
      <c r="AJ155" s="1056"/>
      <c r="AK155" s="1056"/>
      <c r="AL155" s="1056"/>
      <c r="AM155" s="1056"/>
      <c r="AN155" s="1056"/>
      <c r="AO155" s="1056"/>
      <c r="AP155" s="1056"/>
      <c r="AQ155" s="1056"/>
      <c r="AR155" s="1056"/>
      <c r="AS155" s="1056"/>
      <c r="AT155" s="1056"/>
      <c r="AU155" s="1056"/>
      <c r="AV155" s="1056"/>
      <c r="AW155" s="1056"/>
      <c r="AX155" s="1056"/>
      <c r="AY155" s="1056"/>
      <c r="AZ155" s="1056"/>
      <c r="BA155" s="1056"/>
      <c r="BB155" s="1056"/>
      <c r="BC155" s="1020">
        <f>SUM(F155:BB155)</f>
        <v>0</v>
      </c>
      <c r="BD155" s="1072"/>
    </row>
    <row r="156" spans="2:62" s="973" customFormat="1" ht="14.4" x14ac:dyDescent="0.3">
      <c r="B156" s="1010"/>
      <c r="C156" s="1054" t="s">
        <v>2410</v>
      </c>
      <c r="D156" s="1014"/>
      <c r="E156" s="1055"/>
      <c r="F156" s="1056"/>
      <c r="G156" s="1056"/>
      <c r="H156" s="1056"/>
      <c r="I156" s="1056"/>
      <c r="J156" s="1056"/>
      <c r="K156" s="1056"/>
      <c r="L156" s="1056"/>
      <c r="M156" s="1056"/>
      <c r="N156" s="1056"/>
      <c r="O156" s="1056"/>
      <c r="P156" s="1056"/>
      <c r="Q156" s="1056"/>
      <c r="R156" s="1056"/>
      <c r="S156" s="1056"/>
      <c r="T156" s="1056"/>
      <c r="U156" s="1056"/>
      <c r="V156" s="1056"/>
      <c r="W156" s="1056"/>
      <c r="X156" s="1056"/>
      <c r="Y156" s="1056"/>
      <c r="Z156" s="1056"/>
      <c r="AA156" s="1056"/>
      <c r="AB156" s="1056"/>
      <c r="AC156" s="1056"/>
      <c r="AD156" s="1056"/>
      <c r="AE156" s="1056"/>
      <c r="AF156" s="1056"/>
      <c r="AG156" s="1056"/>
      <c r="AH156" s="1056"/>
      <c r="AI156" s="1056"/>
      <c r="AJ156" s="1056"/>
      <c r="AK156" s="1056"/>
      <c r="AL156" s="1056"/>
      <c r="AM156" s="1056"/>
      <c r="AN156" s="1056"/>
      <c r="AO156" s="1056"/>
      <c r="AP156" s="1056"/>
      <c r="AQ156" s="1056"/>
      <c r="AR156" s="1056"/>
      <c r="AS156" s="1056"/>
      <c r="AT156" s="1056"/>
      <c r="AU156" s="1056"/>
      <c r="AV156" s="1056"/>
      <c r="AW156" s="1056"/>
      <c r="AX156" s="1056"/>
      <c r="AY156" s="1056"/>
      <c r="AZ156" s="1056"/>
      <c r="BA156" s="1056"/>
      <c r="BB156" s="1056"/>
      <c r="BC156" s="1020">
        <f>SUM(F156:BB156)</f>
        <v>0</v>
      </c>
      <c r="BD156" s="1072"/>
    </row>
    <row r="157" spans="2:62" s="973" customFormat="1" ht="14.4" x14ac:dyDescent="0.3">
      <c r="B157" s="1070"/>
      <c r="D157" s="985"/>
      <c r="E157" s="1071"/>
      <c r="F157" s="1085"/>
      <c r="G157" s="1085"/>
      <c r="H157" s="1085"/>
      <c r="I157" s="1085"/>
      <c r="J157" s="1085"/>
      <c r="K157" s="1085"/>
      <c r="L157" s="1085"/>
      <c r="M157" s="1085"/>
      <c r="N157" s="1085"/>
      <c r="O157" s="1085"/>
      <c r="P157" s="1085"/>
      <c r="Q157" s="1085"/>
      <c r="R157" s="1085"/>
      <c r="S157" s="1085"/>
      <c r="T157" s="1085"/>
      <c r="U157" s="1085"/>
      <c r="V157" s="1085"/>
      <c r="W157" s="1085"/>
      <c r="X157" s="1085"/>
      <c r="Y157" s="1085"/>
      <c r="Z157" s="1085"/>
      <c r="AA157" s="1085"/>
      <c r="AB157" s="1085"/>
      <c r="AC157" s="1085"/>
      <c r="AD157" s="1085"/>
      <c r="AE157" s="1085"/>
      <c r="AF157" s="1085"/>
      <c r="AG157" s="1085"/>
      <c r="AH157" s="1085"/>
      <c r="AI157" s="1085"/>
      <c r="AJ157" s="1085"/>
      <c r="AK157" s="1085"/>
      <c r="AL157" s="1085"/>
      <c r="AM157" s="1085"/>
      <c r="AN157" s="1085"/>
      <c r="AO157" s="1085"/>
      <c r="AP157" s="1085"/>
      <c r="AQ157" s="1085"/>
      <c r="AR157" s="1085"/>
      <c r="AS157" s="1085"/>
      <c r="AT157" s="1085"/>
      <c r="AU157" s="1085"/>
      <c r="AV157" s="1085"/>
      <c r="AW157" s="1085"/>
      <c r="AX157" s="1085"/>
      <c r="AY157" s="1085"/>
      <c r="AZ157" s="1085"/>
      <c r="BA157" s="1085"/>
      <c r="BB157" s="1085"/>
      <c r="BC157" s="1085"/>
      <c r="BD157" s="1086"/>
      <c r="BE157" s="980"/>
      <c r="BF157" s="980"/>
      <c r="BG157" s="980"/>
      <c r="BH157" s="980"/>
      <c r="BI157" s="980"/>
      <c r="BJ157" s="984"/>
    </row>
    <row r="158" spans="2:62" s="973" customFormat="1" ht="14.4" x14ac:dyDescent="0.3">
      <c r="B158" s="1010"/>
      <c r="C158" s="1052" t="s">
        <v>2418</v>
      </c>
      <c r="D158" s="1012"/>
      <c r="E158" s="1053"/>
      <c r="F158" s="1053"/>
      <c r="G158" s="1053"/>
      <c r="H158" s="1053"/>
      <c r="I158" s="1053"/>
      <c r="J158" s="1053"/>
      <c r="K158" s="1053"/>
      <c r="L158" s="1053"/>
      <c r="M158" s="1053"/>
      <c r="N158" s="1053"/>
      <c r="O158" s="1053"/>
      <c r="P158" s="1053"/>
      <c r="Q158" s="1053"/>
      <c r="R158" s="1053"/>
      <c r="S158" s="1053"/>
      <c r="T158" s="1053"/>
      <c r="U158" s="1053"/>
      <c r="V158" s="1053"/>
      <c r="W158" s="1053"/>
      <c r="X158" s="1053"/>
      <c r="Y158" s="1053"/>
      <c r="Z158" s="1053"/>
      <c r="AA158" s="1053"/>
      <c r="AB158" s="1053"/>
      <c r="AC158" s="1053"/>
      <c r="AD158" s="1053"/>
      <c r="AE158" s="1053"/>
      <c r="AF158" s="1053"/>
      <c r="AG158" s="1053"/>
      <c r="AH158" s="1053"/>
      <c r="AI158" s="1053"/>
      <c r="AJ158" s="1053"/>
      <c r="AK158" s="1053"/>
      <c r="AL158" s="1053"/>
      <c r="AM158" s="1053"/>
      <c r="AN158" s="1053"/>
      <c r="AO158" s="1053"/>
      <c r="AP158" s="1053"/>
      <c r="AQ158" s="1053"/>
      <c r="AR158" s="1053"/>
      <c r="AS158" s="1053"/>
      <c r="AT158" s="1053"/>
      <c r="AU158" s="1053"/>
      <c r="AV158" s="1053"/>
      <c r="AW158" s="1053"/>
      <c r="AX158" s="1053"/>
      <c r="AY158" s="1053"/>
      <c r="AZ158" s="1053"/>
      <c r="BA158" s="1053"/>
      <c r="BB158" s="1053"/>
      <c r="BC158" s="1053"/>
      <c r="BD158" s="1072"/>
    </row>
    <row r="159" spans="2:62" s="973" customFormat="1" ht="14.4" x14ac:dyDescent="0.3">
      <c r="B159" s="1010"/>
      <c r="C159" s="1054" t="s">
        <v>2412</v>
      </c>
      <c r="D159" s="1014"/>
      <c r="E159" s="1055"/>
      <c r="F159" s="1056"/>
      <c r="G159" s="1056"/>
      <c r="H159" s="1056"/>
      <c r="I159" s="1056"/>
      <c r="J159" s="1056"/>
      <c r="K159" s="1056"/>
      <c r="L159" s="1056"/>
      <c r="M159" s="1056"/>
      <c r="N159" s="1056"/>
      <c r="O159" s="1056"/>
      <c r="P159" s="1056"/>
      <c r="Q159" s="1056"/>
      <c r="R159" s="1056"/>
      <c r="S159" s="1056"/>
      <c r="T159" s="1056"/>
      <c r="U159" s="1056"/>
      <c r="V159" s="1056"/>
      <c r="W159" s="1056"/>
      <c r="X159" s="1056"/>
      <c r="Y159" s="1056"/>
      <c r="Z159" s="1056"/>
      <c r="AA159" s="1056"/>
      <c r="AB159" s="1056"/>
      <c r="AC159" s="1056"/>
      <c r="AD159" s="1056"/>
      <c r="AE159" s="1056"/>
      <c r="AF159" s="1056"/>
      <c r="AG159" s="1056"/>
      <c r="AH159" s="1056"/>
      <c r="AI159" s="1056"/>
      <c r="AJ159" s="1056"/>
      <c r="AK159" s="1056"/>
      <c r="AL159" s="1056"/>
      <c r="AM159" s="1056"/>
      <c r="AN159" s="1056"/>
      <c r="AO159" s="1056"/>
      <c r="AP159" s="1056"/>
      <c r="AQ159" s="1056"/>
      <c r="AR159" s="1056"/>
      <c r="AS159" s="1056"/>
      <c r="AT159" s="1056"/>
      <c r="AU159" s="1056"/>
      <c r="AV159" s="1056"/>
      <c r="AW159" s="1056"/>
      <c r="AX159" s="1056"/>
      <c r="AY159" s="1056"/>
      <c r="AZ159" s="1056"/>
      <c r="BA159" s="1056"/>
      <c r="BB159" s="1056"/>
      <c r="BC159" s="1020">
        <f>SUM(F159:BB159)</f>
        <v>0</v>
      </c>
      <c r="BD159" s="1072"/>
    </row>
    <row r="160" spans="2:62" s="973" customFormat="1" ht="14.4" x14ac:dyDescent="0.3">
      <c r="B160" s="1010"/>
      <c r="C160" s="1054" t="s">
        <v>2413</v>
      </c>
      <c r="D160" s="1014"/>
      <c r="E160" s="1055"/>
      <c r="F160" s="1056"/>
      <c r="G160" s="1056"/>
      <c r="H160" s="1056"/>
      <c r="I160" s="1056"/>
      <c r="J160" s="1056"/>
      <c r="K160" s="1056"/>
      <c r="L160" s="1056"/>
      <c r="M160" s="1056"/>
      <c r="N160" s="1056"/>
      <c r="O160" s="1056"/>
      <c r="P160" s="1056"/>
      <c r="Q160" s="1056"/>
      <c r="R160" s="1056"/>
      <c r="S160" s="1056"/>
      <c r="T160" s="1056"/>
      <c r="U160" s="1056"/>
      <c r="V160" s="1056"/>
      <c r="W160" s="1056"/>
      <c r="X160" s="1056"/>
      <c r="Y160" s="1056"/>
      <c r="Z160" s="1056"/>
      <c r="AA160" s="1056"/>
      <c r="AB160" s="1056"/>
      <c r="AC160" s="1056"/>
      <c r="AD160" s="1056"/>
      <c r="AE160" s="1056"/>
      <c r="AF160" s="1056"/>
      <c r="AG160" s="1056"/>
      <c r="AH160" s="1056"/>
      <c r="AI160" s="1056"/>
      <c r="AJ160" s="1056"/>
      <c r="AK160" s="1056"/>
      <c r="AL160" s="1056"/>
      <c r="AM160" s="1056"/>
      <c r="AN160" s="1056"/>
      <c r="AO160" s="1056"/>
      <c r="AP160" s="1056"/>
      <c r="AQ160" s="1056"/>
      <c r="AR160" s="1056"/>
      <c r="AS160" s="1056"/>
      <c r="AT160" s="1056"/>
      <c r="AU160" s="1056"/>
      <c r="AV160" s="1056"/>
      <c r="AW160" s="1056"/>
      <c r="AX160" s="1056"/>
      <c r="AY160" s="1056"/>
      <c r="AZ160" s="1056"/>
      <c r="BA160" s="1056"/>
      <c r="BB160" s="1056"/>
      <c r="BC160" s="1020">
        <f t="shared" ref="BC160:BC168" si="8">SUM(F160:BB160)</f>
        <v>0</v>
      </c>
      <c r="BD160" s="1072"/>
    </row>
    <row r="161" spans="2:62" s="973" customFormat="1" ht="15" thickBot="1" x14ac:dyDescent="0.35">
      <c r="B161" s="1010"/>
      <c r="C161" s="1054" t="s">
        <v>2428</v>
      </c>
      <c r="D161" s="1014"/>
      <c r="E161" s="1055"/>
      <c r="F161" s="1056"/>
      <c r="G161" s="1056"/>
      <c r="H161" s="1056"/>
      <c r="I161" s="1056"/>
      <c r="J161" s="1056"/>
      <c r="K161" s="1056"/>
      <c r="L161" s="1056"/>
      <c r="M161" s="1056"/>
      <c r="N161" s="1056"/>
      <c r="O161" s="1056"/>
      <c r="P161" s="1056"/>
      <c r="Q161" s="1056"/>
      <c r="R161" s="1056"/>
      <c r="S161" s="1056"/>
      <c r="T161" s="1056"/>
      <c r="U161" s="1056"/>
      <c r="V161" s="1056"/>
      <c r="W161" s="1056"/>
      <c r="X161" s="1056"/>
      <c r="Y161" s="1056"/>
      <c r="Z161" s="1056"/>
      <c r="AA161" s="1056"/>
      <c r="AB161" s="1056"/>
      <c r="AC161" s="1056"/>
      <c r="AD161" s="1056"/>
      <c r="AE161" s="1056"/>
      <c r="AF161" s="1056"/>
      <c r="AG161" s="1056"/>
      <c r="AH161" s="1056"/>
      <c r="AI161" s="1056"/>
      <c r="AJ161" s="1056"/>
      <c r="AK161" s="1056"/>
      <c r="AL161" s="1056"/>
      <c r="AM161" s="1056"/>
      <c r="AN161" s="1056"/>
      <c r="AO161" s="1056"/>
      <c r="AP161" s="1056"/>
      <c r="AQ161" s="1056"/>
      <c r="AR161" s="1056"/>
      <c r="AS161" s="1056"/>
      <c r="AT161" s="1056"/>
      <c r="AU161" s="1056"/>
      <c r="AV161" s="1056"/>
      <c r="AW161" s="1056"/>
      <c r="AX161" s="1056"/>
      <c r="AY161" s="1056"/>
      <c r="AZ161" s="1056"/>
      <c r="BA161" s="1056"/>
      <c r="BB161" s="1056"/>
      <c r="BC161" s="1020">
        <f t="shared" si="8"/>
        <v>0</v>
      </c>
      <c r="BD161" s="1072"/>
    </row>
    <row r="162" spans="2:62" s="975" customFormat="1" ht="16.2" thickBot="1" x14ac:dyDescent="0.35">
      <c r="B162" s="1025"/>
      <c r="C162" s="1044" t="s">
        <v>2431</v>
      </c>
      <c r="D162" s="1043"/>
      <c r="E162" s="1026"/>
      <c r="F162" s="1027">
        <f>SUM(F159:F161)</f>
        <v>0</v>
      </c>
      <c r="G162" s="1027">
        <f t="shared" ref="G162:BB162" si="9">SUM(G159:G161)</f>
        <v>0</v>
      </c>
      <c r="H162" s="1027">
        <f t="shared" si="9"/>
        <v>0</v>
      </c>
      <c r="I162" s="1027">
        <f t="shared" si="9"/>
        <v>0</v>
      </c>
      <c r="J162" s="1027">
        <f t="shared" si="9"/>
        <v>0</v>
      </c>
      <c r="K162" s="1027">
        <f t="shared" si="9"/>
        <v>0</v>
      </c>
      <c r="L162" s="1027">
        <f t="shared" si="9"/>
        <v>0</v>
      </c>
      <c r="M162" s="1027">
        <f t="shared" si="9"/>
        <v>0</v>
      </c>
      <c r="N162" s="1027">
        <f t="shared" si="9"/>
        <v>0</v>
      </c>
      <c r="O162" s="1027">
        <f t="shared" si="9"/>
        <v>0</v>
      </c>
      <c r="P162" s="1027">
        <f t="shared" si="9"/>
        <v>0</v>
      </c>
      <c r="Q162" s="1027">
        <f t="shared" si="9"/>
        <v>0</v>
      </c>
      <c r="R162" s="1027">
        <f t="shared" si="9"/>
        <v>0</v>
      </c>
      <c r="S162" s="1027">
        <f t="shared" si="9"/>
        <v>0</v>
      </c>
      <c r="T162" s="1027">
        <f t="shared" si="9"/>
        <v>0</v>
      </c>
      <c r="U162" s="1027">
        <f t="shared" si="9"/>
        <v>0</v>
      </c>
      <c r="V162" s="1027">
        <f t="shared" si="9"/>
        <v>0</v>
      </c>
      <c r="W162" s="1027">
        <f t="shared" si="9"/>
        <v>0</v>
      </c>
      <c r="X162" s="1027">
        <f t="shared" si="9"/>
        <v>0</v>
      </c>
      <c r="Y162" s="1027">
        <f t="shared" si="9"/>
        <v>0</v>
      </c>
      <c r="Z162" s="1027">
        <f t="shared" si="9"/>
        <v>0</v>
      </c>
      <c r="AA162" s="1027">
        <f t="shared" si="9"/>
        <v>0</v>
      </c>
      <c r="AB162" s="1027">
        <f t="shared" si="9"/>
        <v>0</v>
      </c>
      <c r="AC162" s="1027">
        <f t="shared" si="9"/>
        <v>0</v>
      </c>
      <c r="AD162" s="1027">
        <f t="shared" si="9"/>
        <v>0</v>
      </c>
      <c r="AE162" s="1027">
        <f t="shared" si="9"/>
        <v>0</v>
      </c>
      <c r="AF162" s="1027">
        <f t="shared" si="9"/>
        <v>0</v>
      </c>
      <c r="AG162" s="1027">
        <f t="shared" si="9"/>
        <v>0</v>
      </c>
      <c r="AH162" s="1027">
        <f t="shared" si="9"/>
        <v>0</v>
      </c>
      <c r="AI162" s="1027">
        <f t="shared" si="9"/>
        <v>0</v>
      </c>
      <c r="AJ162" s="1027">
        <f t="shared" si="9"/>
        <v>0</v>
      </c>
      <c r="AK162" s="1027">
        <f t="shared" si="9"/>
        <v>0</v>
      </c>
      <c r="AL162" s="1027">
        <f t="shared" si="9"/>
        <v>0</v>
      </c>
      <c r="AM162" s="1027">
        <f t="shared" si="9"/>
        <v>0</v>
      </c>
      <c r="AN162" s="1027">
        <f t="shared" si="9"/>
        <v>0</v>
      </c>
      <c r="AO162" s="1027">
        <f t="shared" si="9"/>
        <v>0</v>
      </c>
      <c r="AP162" s="1027">
        <f t="shared" si="9"/>
        <v>0</v>
      </c>
      <c r="AQ162" s="1027">
        <f t="shared" si="9"/>
        <v>0</v>
      </c>
      <c r="AR162" s="1027">
        <f t="shared" si="9"/>
        <v>0</v>
      </c>
      <c r="AS162" s="1027">
        <f t="shared" si="9"/>
        <v>0</v>
      </c>
      <c r="AT162" s="1027">
        <f t="shared" si="9"/>
        <v>0</v>
      </c>
      <c r="AU162" s="1027">
        <f t="shared" si="9"/>
        <v>0</v>
      </c>
      <c r="AV162" s="1027">
        <f t="shared" si="9"/>
        <v>0</v>
      </c>
      <c r="AW162" s="1027">
        <f t="shared" si="9"/>
        <v>0</v>
      </c>
      <c r="AX162" s="1027">
        <f t="shared" si="9"/>
        <v>0</v>
      </c>
      <c r="AY162" s="1027">
        <f t="shared" si="9"/>
        <v>0</v>
      </c>
      <c r="AZ162" s="1027">
        <f t="shared" si="9"/>
        <v>0</v>
      </c>
      <c r="BA162" s="1027">
        <f t="shared" si="9"/>
        <v>0</v>
      </c>
      <c r="BB162" s="1027">
        <f t="shared" si="9"/>
        <v>0</v>
      </c>
      <c r="BC162" s="1027">
        <f t="shared" si="8"/>
        <v>0</v>
      </c>
      <c r="BD162" s="1073"/>
    </row>
    <row r="163" spans="2:62" s="973" customFormat="1" ht="14.4" x14ac:dyDescent="0.3">
      <c r="B163" s="1010"/>
      <c r="C163" s="1054" t="s">
        <v>2411</v>
      </c>
      <c r="D163" s="1014"/>
      <c r="E163" s="1055"/>
      <c r="F163" s="1056"/>
      <c r="G163" s="1056"/>
      <c r="H163" s="1056"/>
      <c r="I163" s="1056"/>
      <c r="J163" s="1056"/>
      <c r="K163" s="1056"/>
      <c r="L163" s="1056"/>
      <c r="M163" s="1056"/>
      <c r="N163" s="1056"/>
      <c r="O163" s="1056"/>
      <c r="P163" s="1056"/>
      <c r="Q163" s="1056"/>
      <c r="R163" s="1056"/>
      <c r="S163" s="1056"/>
      <c r="T163" s="1056"/>
      <c r="U163" s="1056"/>
      <c r="V163" s="1056"/>
      <c r="W163" s="1056"/>
      <c r="X163" s="1056"/>
      <c r="Y163" s="1056"/>
      <c r="Z163" s="1056"/>
      <c r="AA163" s="1056"/>
      <c r="AB163" s="1056"/>
      <c r="AC163" s="1056"/>
      <c r="AD163" s="1056"/>
      <c r="AE163" s="1056"/>
      <c r="AF163" s="1056"/>
      <c r="AG163" s="1056"/>
      <c r="AH163" s="1056"/>
      <c r="AI163" s="1056"/>
      <c r="AJ163" s="1056"/>
      <c r="AK163" s="1056"/>
      <c r="AL163" s="1056"/>
      <c r="AM163" s="1056"/>
      <c r="AN163" s="1056"/>
      <c r="AO163" s="1056"/>
      <c r="AP163" s="1056"/>
      <c r="AQ163" s="1056"/>
      <c r="AR163" s="1056"/>
      <c r="AS163" s="1056"/>
      <c r="AT163" s="1056"/>
      <c r="AU163" s="1056"/>
      <c r="AV163" s="1056"/>
      <c r="AW163" s="1056"/>
      <c r="AX163" s="1056"/>
      <c r="AY163" s="1056"/>
      <c r="AZ163" s="1056"/>
      <c r="BA163" s="1056"/>
      <c r="BB163" s="1056"/>
      <c r="BC163" s="1020">
        <f t="shared" si="8"/>
        <v>0</v>
      </c>
      <c r="BD163" s="1072"/>
    </row>
    <row r="164" spans="2:62" s="973" customFormat="1" ht="14.4" x14ac:dyDescent="0.3">
      <c r="B164" s="1010"/>
      <c r="C164" s="1011" t="s">
        <v>2414</v>
      </c>
      <c r="D164" s="1014"/>
      <c r="E164" s="1055"/>
      <c r="F164" s="1056"/>
      <c r="G164" s="1056"/>
      <c r="H164" s="1056"/>
      <c r="I164" s="1056"/>
      <c r="J164" s="1056"/>
      <c r="K164" s="1056"/>
      <c r="L164" s="1056"/>
      <c r="M164" s="1056"/>
      <c r="N164" s="1056"/>
      <c r="O164" s="1056"/>
      <c r="P164" s="1056"/>
      <c r="Q164" s="1056"/>
      <c r="R164" s="1056"/>
      <c r="S164" s="1056"/>
      <c r="T164" s="1056"/>
      <c r="U164" s="1056"/>
      <c r="V164" s="1056"/>
      <c r="W164" s="1056"/>
      <c r="X164" s="1056"/>
      <c r="Y164" s="1056"/>
      <c r="Z164" s="1056"/>
      <c r="AA164" s="1056"/>
      <c r="AB164" s="1056"/>
      <c r="AC164" s="1056"/>
      <c r="AD164" s="1056"/>
      <c r="AE164" s="1056"/>
      <c r="AF164" s="1056"/>
      <c r="AG164" s="1056"/>
      <c r="AH164" s="1056"/>
      <c r="AI164" s="1056"/>
      <c r="AJ164" s="1056"/>
      <c r="AK164" s="1056"/>
      <c r="AL164" s="1056"/>
      <c r="AM164" s="1056"/>
      <c r="AN164" s="1056"/>
      <c r="AO164" s="1056"/>
      <c r="AP164" s="1056"/>
      <c r="AQ164" s="1056"/>
      <c r="AR164" s="1056"/>
      <c r="AS164" s="1056"/>
      <c r="AT164" s="1056"/>
      <c r="AU164" s="1056"/>
      <c r="AV164" s="1056"/>
      <c r="AW164" s="1056"/>
      <c r="AX164" s="1056"/>
      <c r="AY164" s="1056"/>
      <c r="AZ164" s="1056"/>
      <c r="BA164" s="1056"/>
      <c r="BB164" s="1056"/>
      <c r="BC164" s="1020"/>
      <c r="BD164" s="1072"/>
    </row>
    <row r="165" spans="2:62" s="973" customFormat="1" ht="15" thickBot="1" x14ac:dyDescent="0.35">
      <c r="B165" s="1010"/>
      <c r="C165" s="1054" t="s">
        <v>2630</v>
      </c>
      <c r="D165" s="1014"/>
      <c r="E165" s="1055"/>
      <c r="F165" s="1056"/>
      <c r="G165" s="1056"/>
      <c r="H165" s="1056"/>
      <c r="I165" s="1056"/>
      <c r="J165" s="1056"/>
      <c r="K165" s="1056"/>
      <c r="L165" s="1056"/>
      <c r="M165" s="1056"/>
      <c r="N165" s="1056"/>
      <c r="O165" s="1056"/>
      <c r="P165" s="1056"/>
      <c r="Q165" s="1056"/>
      <c r="R165" s="1056"/>
      <c r="S165" s="1056"/>
      <c r="T165" s="1056"/>
      <c r="U165" s="1056"/>
      <c r="V165" s="1056"/>
      <c r="W165" s="1056"/>
      <c r="X165" s="1056"/>
      <c r="Y165" s="1056"/>
      <c r="Z165" s="1056"/>
      <c r="AA165" s="1056"/>
      <c r="AB165" s="1056"/>
      <c r="AC165" s="1056"/>
      <c r="AD165" s="1056"/>
      <c r="AE165" s="1056"/>
      <c r="AF165" s="1056"/>
      <c r="AG165" s="1056"/>
      <c r="AH165" s="1056"/>
      <c r="AI165" s="1056"/>
      <c r="AJ165" s="1056"/>
      <c r="AK165" s="1056"/>
      <c r="AL165" s="1056"/>
      <c r="AM165" s="1056"/>
      <c r="AN165" s="1056"/>
      <c r="AO165" s="1056"/>
      <c r="AP165" s="1056"/>
      <c r="AQ165" s="1056"/>
      <c r="AR165" s="1056"/>
      <c r="AS165" s="1056"/>
      <c r="AT165" s="1056"/>
      <c r="AU165" s="1056"/>
      <c r="AV165" s="1056"/>
      <c r="AW165" s="1056"/>
      <c r="AX165" s="1056"/>
      <c r="AY165" s="1056"/>
      <c r="AZ165" s="1056"/>
      <c r="BA165" s="1056"/>
      <c r="BB165" s="1056"/>
      <c r="BC165" s="1020">
        <f t="shared" si="8"/>
        <v>0</v>
      </c>
      <c r="BD165" s="1072"/>
    </row>
    <row r="166" spans="2:62" s="975" customFormat="1" ht="16.2" thickBot="1" x14ac:dyDescent="0.35">
      <c r="B166" s="1025"/>
      <c r="C166" s="1044" t="s">
        <v>2417</v>
      </c>
      <c r="D166" s="1043"/>
      <c r="E166" s="1026"/>
      <c r="F166" s="1027">
        <f>SUM(F163:F165)</f>
        <v>0</v>
      </c>
      <c r="G166" s="1027">
        <f t="shared" ref="G166:BB166" si="10">SUM(G163:G165)</f>
        <v>0</v>
      </c>
      <c r="H166" s="1027">
        <f t="shared" si="10"/>
        <v>0</v>
      </c>
      <c r="I166" s="1027">
        <f t="shared" si="10"/>
        <v>0</v>
      </c>
      <c r="J166" s="1027">
        <f t="shared" si="10"/>
        <v>0</v>
      </c>
      <c r="K166" s="1027">
        <f t="shared" si="10"/>
        <v>0</v>
      </c>
      <c r="L166" s="1027">
        <f t="shared" si="10"/>
        <v>0</v>
      </c>
      <c r="M166" s="1027">
        <f t="shared" si="10"/>
        <v>0</v>
      </c>
      <c r="N166" s="1027">
        <f t="shared" si="10"/>
        <v>0</v>
      </c>
      <c r="O166" s="1027">
        <f t="shared" si="10"/>
        <v>0</v>
      </c>
      <c r="P166" s="1027">
        <f t="shared" si="10"/>
        <v>0</v>
      </c>
      <c r="Q166" s="1027">
        <f t="shared" si="10"/>
        <v>0</v>
      </c>
      <c r="R166" s="1027">
        <f t="shared" si="10"/>
        <v>0</v>
      </c>
      <c r="S166" s="1027">
        <f t="shared" si="10"/>
        <v>0</v>
      </c>
      <c r="T166" s="1027">
        <f t="shared" si="10"/>
        <v>0</v>
      </c>
      <c r="U166" s="1027">
        <f t="shared" si="10"/>
        <v>0</v>
      </c>
      <c r="V166" s="1027">
        <f t="shared" si="10"/>
        <v>0</v>
      </c>
      <c r="W166" s="1027">
        <f t="shared" si="10"/>
        <v>0</v>
      </c>
      <c r="X166" s="1027">
        <f t="shared" si="10"/>
        <v>0</v>
      </c>
      <c r="Y166" s="1027">
        <f t="shared" si="10"/>
        <v>0</v>
      </c>
      <c r="Z166" s="1027">
        <f t="shared" si="10"/>
        <v>0</v>
      </c>
      <c r="AA166" s="1027">
        <f t="shared" si="10"/>
        <v>0</v>
      </c>
      <c r="AB166" s="1027">
        <f t="shared" si="10"/>
        <v>0</v>
      </c>
      <c r="AC166" s="1027">
        <f t="shared" si="10"/>
        <v>0</v>
      </c>
      <c r="AD166" s="1027">
        <f t="shared" si="10"/>
        <v>0</v>
      </c>
      <c r="AE166" s="1027">
        <f t="shared" si="10"/>
        <v>0</v>
      </c>
      <c r="AF166" s="1027">
        <f t="shared" si="10"/>
        <v>0</v>
      </c>
      <c r="AG166" s="1027">
        <f t="shared" si="10"/>
        <v>0</v>
      </c>
      <c r="AH166" s="1027">
        <f t="shared" si="10"/>
        <v>0</v>
      </c>
      <c r="AI166" s="1027">
        <f t="shared" si="10"/>
        <v>0</v>
      </c>
      <c r="AJ166" s="1027">
        <f t="shared" si="10"/>
        <v>0</v>
      </c>
      <c r="AK166" s="1027">
        <f t="shared" si="10"/>
        <v>0</v>
      </c>
      <c r="AL166" s="1027">
        <f t="shared" si="10"/>
        <v>0</v>
      </c>
      <c r="AM166" s="1027">
        <f t="shared" si="10"/>
        <v>0</v>
      </c>
      <c r="AN166" s="1027">
        <f t="shared" si="10"/>
        <v>0</v>
      </c>
      <c r="AO166" s="1027">
        <f t="shared" si="10"/>
        <v>0</v>
      </c>
      <c r="AP166" s="1027">
        <f t="shared" si="10"/>
        <v>0</v>
      </c>
      <c r="AQ166" s="1027">
        <f t="shared" si="10"/>
        <v>0</v>
      </c>
      <c r="AR166" s="1027">
        <f t="shared" si="10"/>
        <v>0</v>
      </c>
      <c r="AS166" s="1027">
        <f t="shared" si="10"/>
        <v>0</v>
      </c>
      <c r="AT166" s="1027">
        <f t="shared" si="10"/>
        <v>0</v>
      </c>
      <c r="AU166" s="1027">
        <f t="shared" si="10"/>
        <v>0</v>
      </c>
      <c r="AV166" s="1027">
        <f t="shared" si="10"/>
        <v>0</v>
      </c>
      <c r="AW166" s="1027">
        <f t="shared" si="10"/>
        <v>0</v>
      </c>
      <c r="AX166" s="1027">
        <f t="shared" si="10"/>
        <v>0</v>
      </c>
      <c r="AY166" s="1027">
        <f t="shared" si="10"/>
        <v>0</v>
      </c>
      <c r="AZ166" s="1027">
        <f t="shared" si="10"/>
        <v>0</v>
      </c>
      <c r="BA166" s="1027">
        <f t="shared" si="10"/>
        <v>0</v>
      </c>
      <c r="BB166" s="1027">
        <f t="shared" si="10"/>
        <v>0</v>
      </c>
      <c r="BC166" s="1027">
        <f t="shared" si="8"/>
        <v>0</v>
      </c>
      <c r="BD166" s="1073"/>
    </row>
    <row r="167" spans="2:62" s="973" customFormat="1" ht="15" thickBot="1" x14ac:dyDescent="0.35">
      <c r="B167" s="1010"/>
      <c r="C167" s="1054" t="s">
        <v>2379</v>
      </c>
      <c r="D167" s="1014"/>
      <c r="E167" s="1055"/>
      <c r="F167" s="1056"/>
      <c r="G167" s="1056"/>
      <c r="H167" s="1056"/>
      <c r="I167" s="1056"/>
      <c r="J167" s="1056"/>
      <c r="K167" s="1056"/>
      <c r="L167" s="1056"/>
      <c r="M167" s="1056"/>
      <c r="N167" s="1056"/>
      <c r="O167" s="1056"/>
      <c r="P167" s="1056"/>
      <c r="Q167" s="1056"/>
      <c r="R167" s="1056"/>
      <c r="S167" s="1056"/>
      <c r="T167" s="1056"/>
      <c r="U167" s="1056"/>
      <c r="V167" s="1056"/>
      <c r="W167" s="1056"/>
      <c r="X167" s="1056"/>
      <c r="Y167" s="1056"/>
      <c r="Z167" s="1056"/>
      <c r="AA167" s="1056"/>
      <c r="AB167" s="1056"/>
      <c r="AC167" s="1056"/>
      <c r="AD167" s="1056"/>
      <c r="AE167" s="1056"/>
      <c r="AF167" s="1056"/>
      <c r="AG167" s="1056"/>
      <c r="AH167" s="1056"/>
      <c r="AI167" s="1056"/>
      <c r="AJ167" s="1056"/>
      <c r="AK167" s="1056"/>
      <c r="AL167" s="1056"/>
      <c r="AM167" s="1056"/>
      <c r="AN167" s="1056"/>
      <c r="AO167" s="1056"/>
      <c r="AP167" s="1056"/>
      <c r="AQ167" s="1056"/>
      <c r="AR167" s="1056"/>
      <c r="AS167" s="1056"/>
      <c r="AT167" s="1056"/>
      <c r="AU167" s="1056"/>
      <c r="AV167" s="1056"/>
      <c r="AW167" s="1056"/>
      <c r="AX167" s="1056"/>
      <c r="AY167" s="1056"/>
      <c r="AZ167" s="1056"/>
      <c r="BA167" s="1056"/>
      <c r="BB167" s="1056"/>
      <c r="BC167" s="1020">
        <f>SUM(F167:BB167)</f>
        <v>0</v>
      </c>
      <c r="BD167" s="1072"/>
    </row>
    <row r="168" spans="2:62" s="975" customFormat="1" ht="16.2" thickBot="1" x14ac:dyDescent="0.35">
      <c r="B168" s="1025"/>
      <c r="C168" s="1044" t="s">
        <v>2416</v>
      </c>
      <c r="D168" s="1043"/>
      <c r="E168" s="1026"/>
      <c r="F168" s="1027">
        <f>F166-F167</f>
        <v>0</v>
      </c>
      <c r="G168" s="1027">
        <f t="shared" ref="G168:BA168" si="11">G166-G167</f>
        <v>0</v>
      </c>
      <c r="H168" s="1027">
        <f t="shared" si="11"/>
        <v>0</v>
      </c>
      <c r="I168" s="1027">
        <f t="shared" si="11"/>
        <v>0</v>
      </c>
      <c r="J168" s="1027">
        <f t="shared" si="11"/>
        <v>0</v>
      </c>
      <c r="K168" s="1027">
        <f t="shared" si="11"/>
        <v>0</v>
      </c>
      <c r="L168" s="1027">
        <f t="shared" si="11"/>
        <v>0</v>
      </c>
      <c r="M168" s="1027">
        <f t="shared" si="11"/>
        <v>0</v>
      </c>
      <c r="N168" s="1027">
        <f t="shared" si="11"/>
        <v>0</v>
      </c>
      <c r="O168" s="1027">
        <f t="shared" si="11"/>
        <v>0</v>
      </c>
      <c r="P168" s="1027">
        <f t="shared" si="11"/>
        <v>0</v>
      </c>
      <c r="Q168" s="1027">
        <f t="shared" si="11"/>
        <v>0</v>
      </c>
      <c r="R168" s="1027">
        <f t="shared" si="11"/>
        <v>0</v>
      </c>
      <c r="S168" s="1027">
        <f t="shared" si="11"/>
        <v>0</v>
      </c>
      <c r="T168" s="1027">
        <f t="shared" si="11"/>
        <v>0</v>
      </c>
      <c r="U168" s="1027">
        <f t="shared" si="11"/>
        <v>0</v>
      </c>
      <c r="V168" s="1027">
        <f t="shared" si="11"/>
        <v>0</v>
      </c>
      <c r="W168" s="1027">
        <f t="shared" si="11"/>
        <v>0</v>
      </c>
      <c r="X168" s="1027">
        <f t="shared" si="11"/>
        <v>0</v>
      </c>
      <c r="Y168" s="1027">
        <f t="shared" si="11"/>
        <v>0</v>
      </c>
      <c r="Z168" s="1027">
        <f t="shared" si="11"/>
        <v>0</v>
      </c>
      <c r="AA168" s="1027">
        <f t="shared" si="11"/>
        <v>0</v>
      </c>
      <c r="AB168" s="1027">
        <f t="shared" si="11"/>
        <v>0</v>
      </c>
      <c r="AC168" s="1027">
        <f t="shared" si="11"/>
        <v>0</v>
      </c>
      <c r="AD168" s="1027">
        <f t="shared" si="11"/>
        <v>0</v>
      </c>
      <c r="AE168" s="1027">
        <f t="shared" si="11"/>
        <v>0</v>
      </c>
      <c r="AF168" s="1027">
        <f t="shared" si="11"/>
        <v>0</v>
      </c>
      <c r="AG168" s="1027">
        <f t="shared" si="11"/>
        <v>0</v>
      </c>
      <c r="AH168" s="1027">
        <f t="shared" si="11"/>
        <v>0</v>
      </c>
      <c r="AI168" s="1027">
        <f t="shared" si="11"/>
        <v>0</v>
      </c>
      <c r="AJ168" s="1027">
        <f t="shared" si="11"/>
        <v>0</v>
      </c>
      <c r="AK168" s="1027">
        <f t="shared" si="11"/>
        <v>0</v>
      </c>
      <c r="AL168" s="1027">
        <f t="shared" si="11"/>
        <v>0</v>
      </c>
      <c r="AM168" s="1027">
        <f t="shared" si="11"/>
        <v>0</v>
      </c>
      <c r="AN168" s="1027">
        <f t="shared" si="11"/>
        <v>0</v>
      </c>
      <c r="AO168" s="1027">
        <f t="shared" si="11"/>
        <v>0</v>
      </c>
      <c r="AP168" s="1027">
        <f t="shared" si="11"/>
        <v>0</v>
      </c>
      <c r="AQ168" s="1027">
        <f t="shared" si="11"/>
        <v>0</v>
      </c>
      <c r="AR168" s="1027">
        <f t="shared" si="11"/>
        <v>0</v>
      </c>
      <c r="AS168" s="1027">
        <f t="shared" si="11"/>
        <v>0</v>
      </c>
      <c r="AT168" s="1027">
        <f t="shared" si="11"/>
        <v>0</v>
      </c>
      <c r="AU168" s="1027">
        <f t="shared" si="11"/>
        <v>0</v>
      </c>
      <c r="AV168" s="1027">
        <f t="shared" si="11"/>
        <v>0</v>
      </c>
      <c r="AW168" s="1027">
        <f t="shared" si="11"/>
        <v>0</v>
      </c>
      <c r="AX168" s="1027">
        <f t="shared" si="11"/>
        <v>0</v>
      </c>
      <c r="AY168" s="1027">
        <f t="shared" si="11"/>
        <v>0</v>
      </c>
      <c r="AZ168" s="1027">
        <f t="shared" si="11"/>
        <v>0</v>
      </c>
      <c r="BA168" s="1027">
        <f t="shared" si="11"/>
        <v>0</v>
      </c>
      <c r="BB168" s="1027">
        <f>BB166-BB167</f>
        <v>0</v>
      </c>
      <c r="BC168" s="1027">
        <f t="shared" si="8"/>
        <v>0</v>
      </c>
      <c r="BD168" s="1073"/>
    </row>
    <row r="169" spans="2:62" s="973" customFormat="1" ht="14.4" x14ac:dyDescent="0.3">
      <c r="B169" s="976"/>
      <c r="D169" s="985"/>
      <c r="E169" s="986"/>
      <c r="F169" s="979"/>
      <c r="G169" s="979"/>
      <c r="H169" s="980"/>
      <c r="I169" s="979"/>
      <c r="J169" s="979"/>
      <c r="K169" s="979"/>
      <c r="L169" s="980"/>
      <c r="M169" s="980"/>
      <c r="N169" s="980"/>
      <c r="O169" s="980"/>
      <c r="P169" s="980"/>
      <c r="Q169" s="980"/>
      <c r="R169" s="980"/>
      <c r="S169" s="980"/>
      <c r="T169" s="980"/>
      <c r="U169" s="980"/>
      <c r="V169" s="980"/>
      <c r="W169" s="980"/>
      <c r="X169" s="980"/>
      <c r="Y169" s="980"/>
      <c r="Z169" s="980"/>
      <c r="AA169" s="980"/>
      <c r="AB169" s="980"/>
      <c r="AC169" s="980"/>
      <c r="AD169" s="980"/>
      <c r="AE169" s="980"/>
      <c r="AF169" s="980"/>
      <c r="AG169" s="980"/>
      <c r="AH169" s="980"/>
      <c r="AI169" s="980"/>
      <c r="AJ169" s="980"/>
      <c r="AK169" s="980"/>
      <c r="AL169" s="980"/>
      <c r="AM169" s="980"/>
      <c r="AN169" s="980"/>
      <c r="AO169" s="980"/>
      <c r="AP169" s="980"/>
      <c r="AQ169" s="980"/>
      <c r="AR169" s="980"/>
      <c r="AS169" s="980"/>
      <c r="AT169" s="980"/>
      <c r="AU169" s="980"/>
      <c r="AV169" s="980"/>
      <c r="AW169" s="980"/>
      <c r="AX169" s="980"/>
      <c r="AY169" s="980"/>
      <c r="AZ169" s="980"/>
      <c r="BA169" s="980"/>
      <c r="BB169" s="980"/>
      <c r="BC169" s="980"/>
      <c r="BD169" s="980"/>
      <c r="BE169" s="980"/>
      <c r="BF169" s="980"/>
      <c r="BG169" s="980"/>
      <c r="BH169" s="980"/>
      <c r="BI169" s="980"/>
      <c r="BJ169" s="984"/>
    </row>
    <row r="170" spans="2:62" s="973" customFormat="1" ht="15" thickBot="1" x14ac:dyDescent="0.35">
      <c r="B170" s="976"/>
      <c r="D170" s="987"/>
      <c r="E170" s="988"/>
      <c r="F170" s="980"/>
      <c r="G170" s="979"/>
      <c r="H170" s="980"/>
      <c r="I170" s="979">
        <f>I138-J140</f>
        <v>0</v>
      </c>
      <c r="J170" s="979"/>
      <c r="K170" s="979"/>
      <c r="L170" s="980"/>
      <c r="M170" s="979"/>
      <c r="N170" s="980"/>
      <c r="O170" s="980"/>
      <c r="P170" s="980"/>
      <c r="Q170" s="980"/>
      <c r="R170" s="980"/>
      <c r="S170" s="980"/>
      <c r="T170" s="980"/>
      <c r="U170" s="980"/>
      <c r="V170" s="980"/>
      <c r="W170" s="980"/>
      <c r="X170" s="980"/>
      <c r="Y170" s="980"/>
      <c r="Z170" s="980"/>
      <c r="AA170" s="980"/>
      <c r="AB170" s="980"/>
      <c r="AC170" s="980"/>
      <c r="AD170" s="980"/>
      <c r="AE170" s="980"/>
      <c r="AF170" s="980"/>
      <c r="AG170" s="980"/>
      <c r="AH170" s="980"/>
      <c r="AI170" s="980"/>
      <c r="AJ170" s="980"/>
      <c r="AK170" s="980"/>
      <c r="AL170" s="980"/>
      <c r="AM170" s="980"/>
      <c r="AN170" s="980"/>
      <c r="AO170" s="980"/>
      <c r="AP170" s="980"/>
      <c r="AQ170" s="980"/>
      <c r="AR170" s="980"/>
      <c r="AS170" s="980"/>
      <c r="AT170" s="980"/>
      <c r="AU170" s="980"/>
      <c r="AV170" s="980"/>
      <c r="AW170" s="980"/>
      <c r="AX170" s="980"/>
      <c r="AY170" s="980"/>
      <c r="AZ170" s="980"/>
      <c r="BA170" s="980"/>
      <c r="BB170" s="980"/>
      <c r="BC170" s="980"/>
      <c r="BD170" s="980"/>
      <c r="BE170" s="980"/>
      <c r="BF170" s="980"/>
      <c r="BG170" s="980"/>
      <c r="BH170" s="980"/>
      <c r="BI170" s="980"/>
      <c r="BJ170" s="984">
        <f>BI170-G170</f>
        <v>0</v>
      </c>
    </row>
    <row r="171" spans="2:62" s="973" customFormat="1" ht="16.2" thickBot="1" x14ac:dyDescent="0.35">
      <c r="B171" s="1034"/>
      <c r="C171" s="1035" t="s">
        <v>2419</v>
      </c>
      <c r="D171" s="1036"/>
      <c r="E171" s="1037" t="s">
        <v>2382</v>
      </c>
      <c r="F171" s="1038"/>
      <c r="G171" s="1039"/>
      <c r="H171" s="1039"/>
      <c r="I171" s="1039"/>
      <c r="J171" s="1039"/>
      <c r="K171" s="1039"/>
      <c r="L171" s="1039"/>
      <c r="M171" s="1039"/>
      <c r="N171" s="1039"/>
      <c r="O171" s="1039"/>
      <c r="P171" s="1039"/>
      <c r="Q171" s="1039"/>
      <c r="R171" s="1039"/>
      <c r="S171" s="1039"/>
      <c r="T171" s="1039"/>
      <c r="U171" s="1039"/>
      <c r="V171" s="1039"/>
      <c r="W171" s="1039"/>
      <c r="X171" s="1039"/>
      <c r="Y171" s="1039"/>
      <c r="Z171" s="1039"/>
      <c r="AA171" s="1039"/>
      <c r="AB171" s="1039"/>
      <c r="AC171" s="1039"/>
      <c r="AD171" s="1039"/>
      <c r="AE171" s="1039"/>
      <c r="AF171" s="1039"/>
      <c r="AG171" s="1039"/>
      <c r="AH171" s="1039"/>
      <c r="AI171" s="1039"/>
      <c r="AJ171" s="1039"/>
      <c r="AK171" s="1039"/>
      <c r="AL171" s="1039"/>
      <c r="AM171" s="1039"/>
      <c r="AN171" s="1039"/>
      <c r="AO171" s="1039"/>
      <c r="AP171" s="1039"/>
      <c r="AQ171" s="1039"/>
      <c r="AR171" s="1039"/>
      <c r="AS171" s="1039"/>
      <c r="AT171" s="1039"/>
      <c r="AU171" s="1039"/>
      <c r="AV171" s="1039"/>
      <c r="AW171" s="1039"/>
      <c r="AX171" s="1039"/>
      <c r="AY171" s="1039"/>
      <c r="AZ171" s="1039"/>
      <c r="BA171" s="1039"/>
      <c r="BB171" s="1039"/>
      <c r="BC171" s="1039" t="str">
        <f>BC11</f>
        <v>Total</v>
      </c>
      <c r="BD171" s="1040" t="s">
        <v>2395</v>
      </c>
    </row>
    <row r="172" spans="2:62" s="973" customFormat="1" ht="14.4" x14ac:dyDescent="0.3">
      <c r="B172" s="1030"/>
      <c r="C172" s="1031" t="str">
        <f>SOURCES!C12</f>
        <v>Taxable Bonds (Long Term Only)</v>
      </c>
      <c r="D172" s="1031"/>
      <c r="E172" s="1013">
        <f>SOURCES!M12</f>
        <v>0</v>
      </c>
      <c r="F172" s="1017"/>
      <c r="G172" s="1017"/>
      <c r="H172" s="1017"/>
      <c r="I172" s="1017"/>
      <c r="J172" s="1017"/>
      <c r="K172" s="1017"/>
      <c r="L172" s="1017"/>
      <c r="M172" s="1017"/>
      <c r="N172" s="1017"/>
      <c r="O172" s="1017"/>
      <c r="P172" s="1017"/>
      <c r="Q172" s="1017"/>
      <c r="R172" s="1017"/>
      <c r="S172" s="1017"/>
      <c r="T172" s="1017"/>
      <c r="U172" s="1017"/>
      <c r="V172" s="1017"/>
      <c r="W172" s="1017"/>
      <c r="X172" s="1017"/>
      <c r="Y172" s="1017"/>
      <c r="Z172" s="1017"/>
      <c r="AA172" s="1017"/>
      <c r="AB172" s="1017"/>
      <c r="AC172" s="1017"/>
      <c r="AD172" s="1017"/>
      <c r="AE172" s="1017"/>
      <c r="AF172" s="1017"/>
      <c r="AG172" s="1017"/>
      <c r="AH172" s="1017"/>
      <c r="AI172" s="1017"/>
      <c r="AJ172" s="1017"/>
      <c r="AK172" s="1017"/>
      <c r="AL172" s="1017"/>
      <c r="AM172" s="1017"/>
      <c r="AN172" s="1017"/>
      <c r="AO172" s="1017"/>
      <c r="AP172" s="1017"/>
      <c r="AQ172" s="1017"/>
      <c r="AR172" s="1017"/>
      <c r="AS172" s="1017"/>
      <c r="AT172" s="1017"/>
      <c r="AU172" s="1017"/>
      <c r="AV172" s="1017"/>
      <c r="AW172" s="1017"/>
      <c r="AX172" s="1017"/>
      <c r="AY172" s="1017"/>
      <c r="AZ172" s="1017"/>
      <c r="BA172" s="1017"/>
      <c r="BB172" s="1017"/>
      <c r="BC172" s="1009">
        <f t="shared" ref="BC172:BC179" si="12">SUM(F172:BB172)</f>
        <v>0</v>
      </c>
      <c r="BD172" s="1041">
        <f>BC172-E172</f>
        <v>0</v>
      </c>
    </row>
    <row r="173" spans="2:62" s="973" customFormat="1" ht="14.4" x14ac:dyDescent="0.3">
      <c r="B173" s="1030"/>
      <c r="C173" s="1031" t="str">
        <f>SOURCES!C13</f>
        <v xml:space="preserve">Tax-Exempt Bonds (Long Term Only) </v>
      </c>
      <c r="D173" s="1031"/>
      <c r="E173" s="1013">
        <f>SOURCES!M13</f>
        <v>0</v>
      </c>
      <c r="F173" s="1017"/>
      <c r="G173" s="1017"/>
      <c r="H173" s="1017"/>
      <c r="I173" s="1017"/>
      <c r="J173" s="1017"/>
      <c r="K173" s="1017"/>
      <c r="L173" s="1017"/>
      <c r="M173" s="1017"/>
      <c r="N173" s="1017"/>
      <c r="O173" s="1017"/>
      <c r="P173" s="1017"/>
      <c r="Q173" s="1017"/>
      <c r="R173" s="1017"/>
      <c r="S173" s="1017"/>
      <c r="T173" s="1017"/>
      <c r="U173" s="1017"/>
      <c r="V173" s="1017"/>
      <c r="W173" s="1017"/>
      <c r="X173" s="1017"/>
      <c r="Y173" s="1017"/>
      <c r="Z173" s="1017"/>
      <c r="AA173" s="1017"/>
      <c r="AB173" s="1017"/>
      <c r="AC173" s="1017"/>
      <c r="AD173" s="1017"/>
      <c r="AE173" s="1017"/>
      <c r="AF173" s="1017"/>
      <c r="AG173" s="1017"/>
      <c r="AH173" s="1017"/>
      <c r="AI173" s="1017"/>
      <c r="AJ173" s="1017"/>
      <c r="AK173" s="1017"/>
      <c r="AL173" s="1017"/>
      <c r="AM173" s="1017"/>
      <c r="AN173" s="1017"/>
      <c r="AO173" s="1017"/>
      <c r="AP173" s="1017"/>
      <c r="AQ173" s="1017"/>
      <c r="AR173" s="1017"/>
      <c r="AS173" s="1017"/>
      <c r="AT173" s="1017"/>
      <c r="AU173" s="1017"/>
      <c r="AV173" s="1017"/>
      <c r="AW173" s="1017"/>
      <c r="AX173" s="1017"/>
      <c r="AY173" s="1017"/>
      <c r="AZ173" s="1017"/>
      <c r="BA173" s="1017"/>
      <c r="BB173" s="1017"/>
      <c r="BC173" s="1009">
        <f t="shared" si="12"/>
        <v>0</v>
      </c>
      <c r="BD173" s="1041">
        <f t="shared" ref="BD173:BD220" si="13">BC173-E173</f>
        <v>0</v>
      </c>
    </row>
    <row r="174" spans="2:62" s="973" customFormat="1" ht="14.4" x14ac:dyDescent="0.3">
      <c r="B174" s="1030"/>
      <c r="C174" s="1031" t="str">
        <f>SOURCES!C14</f>
        <v>Private Loan</v>
      </c>
      <c r="D174" s="1031"/>
      <c r="E174" s="1013">
        <f>SOURCES!M14</f>
        <v>0</v>
      </c>
      <c r="F174" s="1017"/>
      <c r="G174" s="1017"/>
      <c r="H174" s="1017"/>
      <c r="I174" s="1017"/>
      <c r="J174" s="1017"/>
      <c r="K174" s="1017"/>
      <c r="L174" s="1017"/>
      <c r="M174" s="1017"/>
      <c r="N174" s="1017"/>
      <c r="O174" s="1017"/>
      <c r="P174" s="1017"/>
      <c r="Q174" s="1017"/>
      <c r="R174" s="1017"/>
      <c r="S174" s="1017"/>
      <c r="T174" s="1017"/>
      <c r="U174" s="1017"/>
      <c r="V174" s="1017"/>
      <c r="W174" s="1017"/>
      <c r="X174" s="1017"/>
      <c r="Y174" s="1017"/>
      <c r="Z174" s="1017"/>
      <c r="AA174" s="1017"/>
      <c r="AB174" s="1017"/>
      <c r="AC174" s="1017"/>
      <c r="AD174" s="1017"/>
      <c r="AE174" s="1017"/>
      <c r="AF174" s="1017"/>
      <c r="AG174" s="1017"/>
      <c r="AH174" s="1017"/>
      <c r="AI174" s="1017"/>
      <c r="AJ174" s="1017"/>
      <c r="AK174" s="1017"/>
      <c r="AL174" s="1017"/>
      <c r="AM174" s="1017"/>
      <c r="AN174" s="1017"/>
      <c r="AO174" s="1017"/>
      <c r="AP174" s="1017"/>
      <c r="AQ174" s="1017"/>
      <c r="AR174" s="1017"/>
      <c r="AS174" s="1017"/>
      <c r="AT174" s="1017"/>
      <c r="AU174" s="1017"/>
      <c r="AV174" s="1017"/>
      <c r="AW174" s="1017"/>
      <c r="AX174" s="1017"/>
      <c r="AY174" s="1017"/>
      <c r="AZ174" s="1017"/>
      <c r="BA174" s="1017"/>
      <c r="BB174" s="1017"/>
      <c r="BC174" s="1009">
        <f t="shared" si="12"/>
        <v>0</v>
      </c>
      <c r="BD174" s="1041">
        <f t="shared" si="13"/>
        <v>0</v>
      </c>
    </row>
    <row r="175" spans="2:62" s="973" customFormat="1" ht="14.4" x14ac:dyDescent="0.3">
      <c r="B175" s="1010"/>
      <c r="C175" s="1011" t="str">
        <f>SOURCES!C15</f>
        <v>MIP</v>
      </c>
      <c r="D175" s="1014"/>
      <c r="E175" s="1013">
        <f>SOURCES!M15</f>
        <v>0</v>
      </c>
      <c r="F175" s="1017"/>
      <c r="G175" s="1017"/>
      <c r="H175" s="1017"/>
      <c r="I175" s="1017"/>
      <c r="J175" s="1017"/>
      <c r="K175" s="1017"/>
      <c r="L175" s="1017"/>
      <c r="M175" s="1017"/>
      <c r="N175" s="1017"/>
      <c r="O175" s="1017"/>
      <c r="P175" s="1017"/>
      <c r="Q175" s="1017"/>
      <c r="R175" s="1017"/>
      <c r="S175" s="1017"/>
      <c r="T175" s="1017"/>
      <c r="U175" s="1017"/>
      <c r="V175" s="1017"/>
      <c r="W175" s="1017"/>
      <c r="X175" s="1017"/>
      <c r="Y175" s="1017"/>
      <c r="Z175" s="1017"/>
      <c r="AA175" s="1017"/>
      <c r="AB175" s="1017"/>
      <c r="AC175" s="1017"/>
      <c r="AD175" s="1017"/>
      <c r="AE175" s="1017"/>
      <c r="AF175" s="1017"/>
      <c r="AG175" s="1017"/>
      <c r="AH175" s="1017"/>
      <c r="AI175" s="1017"/>
      <c r="AJ175" s="1017"/>
      <c r="AK175" s="1017"/>
      <c r="AL175" s="1017"/>
      <c r="AM175" s="1017"/>
      <c r="AN175" s="1017"/>
      <c r="AO175" s="1017"/>
      <c r="AP175" s="1017"/>
      <c r="AQ175" s="1017"/>
      <c r="AR175" s="1017"/>
      <c r="AS175" s="1017"/>
      <c r="AT175" s="1017"/>
      <c r="AU175" s="1017"/>
      <c r="AV175" s="1017"/>
      <c r="AW175" s="1017"/>
      <c r="AX175" s="1017"/>
      <c r="AY175" s="1017"/>
      <c r="AZ175" s="1017"/>
      <c r="BA175" s="1017"/>
      <c r="BB175" s="1017"/>
      <c r="BC175" s="1009">
        <f t="shared" si="12"/>
        <v>0</v>
      </c>
      <c r="BD175" s="1041">
        <f t="shared" si="13"/>
        <v>0</v>
      </c>
    </row>
    <row r="176" spans="2:62" s="973" customFormat="1" ht="14.4" x14ac:dyDescent="0.3">
      <c r="B176" s="1030"/>
      <c r="C176" s="1031" t="str">
        <f>SOURCES!C16</f>
        <v xml:space="preserve">Rental Housing Program Funds </v>
      </c>
      <c r="D176" s="1031"/>
      <c r="E176" s="1013">
        <f>SOURCES!M16</f>
        <v>0</v>
      </c>
      <c r="F176" s="1017"/>
      <c r="G176" s="1017"/>
      <c r="H176" s="1017"/>
      <c r="I176" s="1017"/>
      <c r="J176" s="1017"/>
      <c r="K176" s="1017"/>
      <c r="L176" s="1017"/>
      <c r="M176" s="1017"/>
      <c r="N176" s="1017"/>
      <c r="O176" s="1017"/>
      <c r="P176" s="1017"/>
      <c r="Q176" s="1017"/>
      <c r="R176" s="1017"/>
      <c r="S176" s="1017"/>
      <c r="T176" s="1017"/>
      <c r="U176" s="1017"/>
      <c r="V176" s="1017"/>
      <c r="W176" s="1017"/>
      <c r="X176" s="1017"/>
      <c r="Y176" s="1017"/>
      <c r="Z176" s="1017"/>
      <c r="AA176" s="1017"/>
      <c r="AB176" s="1017"/>
      <c r="AC176" s="1017"/>
      <c r="AD176" s="1017"/>
      <c r="AE176" s="1017"/>
      <c r="AF176" s="1017"/>
      <c r="AG176" s="1017"/>
      <c r="AH176" s="1017"/>
      <c r="AI176" s="1017"/>
      <c r="AJ176" s="1017"/>
      <c r="AK176" s="1017"/>
      <c r="AL176" s="1017"/>
      <c r="AM176" s="1017"/>
      <c r="AN176" s="1017"/>
      <c r="AO176" s="1017"/>
      <c r="AP176" s="1017"/>
      <c r="AQ176" s="1017"/>
      <c r="AR176" s="1017"/>
      <c r="AS176" s="1017"/>
      <c r="AT176" s="1017"/>
      <c r="AU176" s="1017"/>
      <c r="AV176" s="1017"/>
      <c r="AW176" s="1017"/>
      <c r="AX176" s="1017"/>
      <c r="AY176" s="1017"/>
      <c r="AZ176" s="1017"/>
      <c r="BA176" s="1017"/>
      <c r="BB176" s="1017"/>
      <c r="BC176" s="1009">
        <f t="shared" si="12"/>
        <v>0</v>
      </c>
      <c r="BD176" s="1041">
        <f t="shared" si="13"/>
        <v>0</v>
      </c>
    </row>
    <row r="177" spans="2:56" s="973" customFormat="1" ht="14.4" x14ac:dyDescent="0.3">
      <c r="B177" s="1030"/>
      <c r="C177" s="1031" t="str">
        <f>SOURCES!C17</f>
        <v>HOME (DHCD)</v>
      </c>
      <c r="D177" s="1031"/>
      <c r="E177" s="1013">
        <f>SOURCES!M17</f>
        <v>0</v>
      </c>
      <c r="F177" s="1017"/>
      <c r="G177" s="1017"/>
      <c r="H177" s="1017"/>
      <c r="I177" s="1017"/>
      <c r="J177" s="1017"/>
      <c r="K177" s="1017"/>
      <c r="L177" s="1017"/>
      <c r="M177" s="1017"/>
      <c r="N177" s="1017"/>
      <c r="O177" s="1017"/>
      <c r="P177" s="1017"/>
      <c r="Q177" s="1017"/>
      <c r="R177" s="1017"/>
      <c r="S177" s="1017"/>
      <c r="T177" s="1017"/>
      <c r="U177" s="1017"/>
      <c r="V177" s="1017"/>
      <c r="W177" s="1017"/>
      <c r="X177" s="1017"/>
      <c r="Y177" s="1017"/>
      <c r="Z177" s="1017"/>
      <c r="AA177" s="1017"/>
      <c r="AB177" s="1017"/>
      <c r="AC177" s="1017"/>
      <c r="AD177" s="1017"/>
      <c r="AE177" s="1017"/>
      <c r="AF177" s="1017"/>
      <c r="AG177" s="1017"/>
      <c r="AH177" s="1017"/>
      <c r="AI177" s="1017"/>
      <c r="AJ177" s="1017"/>
      <c r="AK177" s="1017"/>
      <c r="AL177" s="1017"/>
      <c r="AM177" s="1017"/>
      <c r="AN177" s="1017"/>
      <c r="AO177" s="1017"/>
      <c r="AP177" s="1017"/>
      <c r="AQ177" s="1017"/>
      <c r="AR177" s="1017"/>
      <c r="AS177" s="1017"/>
      <c r="AT177" s="1017"/>
      <c r="AU177" s="1017"/>
      <c r="AV177" s="1017"/>
      <c r="AW177" s="1017"/>
      <c r="AX177" s="1017"/>
      <c r="AY177" s="1017"/>
      <c r="AZ177" s="1017"/>
      <c r="BA177" s="1017"/>
      <c r="BB177" s="1017"/>
      <c r="BC177" s="1009">
        <f t="shared" si="12"/>
        <v>0</v>
      </c>
      <c r="BD177" s="1041">
        <f t="shared" si="13"/>
        <v>0</v>
      </c>
    </row>
    <row r="178" spans="2:56" s="973" customFormat="1" ht="14.4" x14ac:dyDescent="0.3">
      <c r="B178" s="1030"/>
      <c r="C178" s="1031" t="str">
        <f>SOURCES!C18</f>
        <v>HOME (non-DHCD)</v>
      </c>
      <c r="D178" s="1031"/>
      <c r="E178" s="1013">
        <f>SOURCES!M18</f>
        <v>0</v>
      </c>
      <c r="F178" s="1017"/>
      <c r="G178" s="1017"/>
      <c r="H178" s="1017"/>
      <c r="I178" s="1017"/>
      <c r="J178" s="1017"/>
      <c r="K178" s="1017"/>
      <c r="L178" s="1017"/>
      <c r="M178" s="1017"/>
      <c r="N178" s="1017"/>
      <c r="O178" s="1017"/>
      <c r="P178" s="1017"/>
      <c r="Q178" s="1017"/>
      <c r="R178" s="1017"/>
      <c r="S178" s="1017"/>
      <c r="T178" s="1017"/>
      <c r="U178" s="1017"/>
      <c r="V178" s="1017"/>
      <c r="W178" s="1017"/>
      <c r="X178" s="1017"/>
      <c r="Y178" s="1017"/>
      <c r="Z178" s="1017"/>
      <c r="AA178" s="1017"/>
      <c r="AB178" s="1017"/>
      <c r="AC178" s="1017"/>
      <c r="AD178" s="1017"/>
      <c r="AE178" s="1017"/>
      <c r="AF178" s="1017"/>
      <c r="AG178" s="1017"/>
      <c r="AH178" s="1017"/>
      <c r="AI178" s="1017"/>
      <c r="AJ178" s="1017"/>
      <c r="AK178" s="1017"/>
      <c r="AL178" s="1017"/>
      <c r="AM178" s="1017"/>
      <c r="AN178" s="1017"/>
      <c r="AO178" s="1017"/>
      <c r="AP178" s="1017"/>
      <c r="AQ178" s="1017"/>
      <c r="AR178" s="1017"/>
      <c r="AS178" s="1017"/>
      <c r="AT178" s="1017"/>
      <c r="AU178" s="1017"/>
      <c r="AV178" s="1017"/>
      <c r="AW178" s="1017"/>
      <c r="AX178" s="1017"/>
      <c r="AY178" s="1017"/>
      <c r="AZ178" s="1017"/>
      <c r="BA178" s="1017"/>
      <c r="BB178" s="1017"/>
      <c r="BC178" s="1009">
        <f t="shared" si="12"/>
        <v>0</v>
      </c>
      <c r="BD178" s="1041">
        <f t="shared" si="13"/>
        <v>0</v>
      </c>
    </row>
    <row r="179" spans="2:56" s="973" customFormat="1" ht="14.4" x14ac:dyDescent="0.3">
      <c r="B179" s="1030"/>
      <c r="C179" s="1031" t="str">
        <f>SOURCES!C19</f>
        <v>Other: select from menu</v>
      </c>
      <c r="D179" s="1031"/>
      <c r="E179" s="1013">
        <f>SOURCES!M19</f>
        <v>0</v>
      </c>
      <c r="F179" s="1017"/>
      <c r="G179" s="1017"/>
      <c r="H179" s="1017"/>
      <c r="I179" s="1017"/>
      <c r="J179" s="1017"/>
      <c r="K179" s="1017"/>
      <c r="L179" s="1017"/>
      <c r="M179" s="1017"/>
      <c r="N179" s="1017"/>
      <c r="O179" s="1017"/>
      <c r="P179" s="1017"/>
      <c r="Q179" s="1017"/>
      <c r="R179" s="1017"/>
      <c r="S179" s="1017"/>
      <c r="T179" s="1017"/>
      <c r="U179" s="1017"/>
      <c r="V179" s="1017"/>
      <c r="W179" s="1017"/>
      <c r="X179" s="1017"/>
      <c r="Y179" s="1017"/>
      <c r="Z179" s="1017"/>
      <c r="AA179" s="1017"/>
      <c r="AB179" s="1017"/>
      <c r="AC179" s="1017"/>
      <c r="AD179" s="1017"/>
      <c r="AE179" s="1017"/>
      <c r="AF179" s="1017"/>
      <c r="AG179" s="1017"/>
      <c r="AH179" s="1017"/>
      <c r="AI179" s="1017"/>
      <c r="AJ179" s="1017"/>
      <c r="AK179" s="1017"/>
      <c r="AL179" s="1017"/>
      <c r="AM179" s="1017"/>
      <c r="AN179" s="1017"/>
      <c r="AO179" s="1017"/>
      <c r="AP179" s="1017"/>
      <c r="AQ179" s="1017"/>
      <c r="AR179" s="1017"/>
      <c r="AS179" s="1017"/>
      <c r="AT179" s="1017"/>
      <c r="AU179" s="1017"/>
      <c r="AV179" s="1017"/>
      <c r="AW179" s="1017"/>
      <c r="AX179" s="1017"/>
      <c r="AY179" s="1017"/>
      <c r="AZ179" s="1017"/>
      <c r="BA179" s="1017"/>
      <c r="BB179" s="1017"/>
      <c r="BC179" s="1009">
        <f t="shared" si="12"/>
        <v>0</v>
      </c>
      <c r="BD179" s="1041">
        <f t="shared" si="13"/>
        <v>0</v>
      </c>
    </row>
    <row r="180" spans="2:56" s="973" customFormat="1" ht="14.4" x14ac:dyDescent="0.3">
      <c r="B180" s="1030"/>
      <c r="C180" s="1031" t="str">
        <f>SOURCES!C20</f>
        <v>Other: select from menu</v>
      </c>
      <c r="D180" s="1031"/>
      <c r="E180" s="1013">
        <f>SOURCES!M20</f>
        <v>0</v>
      </c>
      <c r="F180" s="1017"/>
      <c r="G180" s="1017"/>
      <c r="H180" s="1017"/>
      <c r="I180" s="1017"/>
      <c r="J180" s="1017"/>
      <c r="K180" s="1017"/>
      <c r="L180" s="1017"/>
      <c r="M180" s="1017"/>
      <c r="N180" s="1017"/>
      <c r="O180" s="1017"/>
      <c r="P180" s="1017"/>
      <c r="Q180" s="1017"/>
      <c r="R180" s="1017"/>
      <c r="S180" s="1017"/>
      <c r="T180" s="1017"/>
      <c r="U180" s="1017"/>
      <c r="V180" s="1017"/>
      <c r="W180" s="1017"/>
      <c r="X180" s="1017"/>
      <c r="Y180" s="1017"/>
      <c r="Z180" s="1017"/>
      <c r="AA180" s="1017"/>
      <c r="AB180" s="1017"/>
      <c r="AC180" s="1017"/>
      <c r="AD180" s="1017"/>
      <c r="AE180" s="1017"/>
      <c r="AF180" s="1017"/>
      <c r="AG180" s="1017"/>
      <c r="AH180" s="1017"/>
      <c r="AI180" s="1017"/>
      <c r="AJ180" s="1017"/>
      <c r="AK180" s="1017"/>
      <c r="AL180" s="1017"/>
      <c r="AM180" s="1017"/>
      <c r="AN180" s="1017"/>
      <c r="AO180" s="1017"/>
      <c r="AP180" s="1017"/>
      <c r="AQ180" s="1017"/>
      <c r="AR180" s="1017"/>
      <c r="AS180" s="1017"/>
      <c r="AT180" s="1017"/>
      <c r="AU180" s="1017"/>
      <c r="AV180" s="1017"/>
      <c r="AW180" s="1017"/>
      <c r="AX180" s="1017"/>
      <c r="AY180" s="1017"/>
      <c r="AZ180" s="1017"/>
      <c r="BA180" s="1017"/>
      <c r="BB180" s="1017"/>
      <c r="BC180" s="1009">
        <f>SUM(F180:BB180)</f>
        <v>0</v>
      </c>
      <c r="BD180" s="1041">
        <f t="shared" si="13"/>
        <v>0</v>
      </c>
    </row>
    <row r="181" spans="2:56" s="973" customFormat="1" ht="14.4" x14ac:dyDescent="0.3">
      <c r="B181" s="1030"/>
      <c r="C181" s="1031" t="str">
        <f>SOURCES!C29</f>
        <v>Rental Housing Program Funds</v>
      </c>
      <c r="D181" s="1031"/>
      <c r="E181" s="1013">
        <f>SOURCES!M29</f>
        <v>0</v>
      </c>
      <c r="F181" s="1017"/>
      <c r="G181" s="1017"/>
      <c r="H181" s="1017"/>
      <c r="I181" s="1017"/>
      <c r="J181" s="1017"/>
      <c r="K181" s="1017"/>
      <c r="L181" s="1017"/>
      <c r="M181" s="1017"/>
      <c r="N181" s="1017"/>
      <c r="O181" s="1017"/>
      <c r="P181" s="1017"/>
      <c r="Q181" s="1017"/>
      <c r="R181" s="1017"/>
      <c r="S181" s="1017"/>
      <c r="T181" s="1017"/>
      <c r="U181" s="1017"/>
      <c r="V181" s="1017"/>
      <c r="W181" s="1017"/>
      <c r="X181" s="1017"/>
      <c r="Y181" s="1017"/>
      <c r="Z181" s="1017"/>
      <c r="AA181" s="1017"/>
      <c r="AB181" s="1017"/>
      <c r="AC181" s="1017"/>
      <c r="AD181" s="1017"/>
      <c r="AE181" s="1017"/>
      <c r="AF181" s="1017"/>
      <c r="AG181" s="1017"/>
      <c r="AH181" s="1017"/>
      <c r="AI181" s="1017"/>
      <c r="AJ181" s="1017"/>
      <c r="AK181" s="1017"/>
      <c r="AL181" s="1017"/>
      <c r="AM181" s="1017"/>
      <c r="AN181" s="1017"/>
      <c r="AO181" s="1017"/>
      <c r="AP181" s="1017"/>
      <c r="AQ181" s="1017"/>
      <c r="AR181" s="1017"/>
      <c r="AS181" s="1017"/>
      <c r="AT181" s="1017"/>
      <c r="AU181" s="1017"/>
      <c r="AV181" s="1017"/>
      <c r="AW181" s="1017"/>
      <c r="AX181" s="1017"/>
      <c r="AY181" s="1017"/>
      <c r="AZ181" s="1017"/>
      <c r="BA181" s="1017"/>
      <c r="BB181" s="1017"/>
      <c r="BC181" s="1009">
        <f t="shared" ref="BC181:BC220" si="14">SUM(F181:BB181)</f>
        <v>0</v>
      </c>
      <c r="BD181" s="1041">
        <f t="shared" si="13"/>
        <v>0</v>
      </c>
    </row>
    <row r="182" spans="2:56" s="973" customFormat="1" ht="14.4" x14ac:dyDescent="0.3">
      <c r="B182" s="1030"/>
      <c r="C182" s="1031" t="str">
        <f>SOURCES!C30</f>
        <v>Rental Housing Works</v>
      </c>
      <c r="D182" s="1031"/>
      <c r="E182" s="1013">
        <f>SOURCES!M30</f>
        <v>0</v>
      </c>
      <c r="F182" s="1017"/>
      <c r="G182" s="1017"/>
      <c r="H182" s="1017"/>
      <c r="I182" s="1017"/>
      <c r="J182" s="1017"/>
      <c r="K182" s="1017"/>
      <c r="L182" s="1017"/>
      <c r="M182" s="1017"/>
      <c r="N182" s="1017"/>
      <c r="O182" s="1017"/>
      <c r="P182" s="1017"/>
      <c r="Q182" s="1017"/>
      <c r="R182" s="1017"/>
      <c r="S182" s="1017"/>
      <c r="T182" s="1017"/>
      <c r="U182" s="1017"/>
      <c r="V182" s="1017"/>
      <c r="W182" s="1017"/>
      <c r="X182" s="1017"/>
      <c r="Y182" s="1017"/>
      <c r="Z182" s="1017"/>
      <c r="AA182" s="1017"/>
      <c r="AB182" s="1017"/>
      <c r="AC182" s="1017"/>
      <c r="AD182" s="1017"/>
      <c r="AE182" s="1017"/>
      <c r="AF182" s="1017"/>
      <c r="AG182" s="1017"/>
      <c r="AH182" s="1017"/>
      <c r="AI182" s="1017"/>
      <c r="AJ182" s="1017"/>
      <c r="AK182" s="1017"/>
      <c r="AL182" s="1017"/>
      <c r="AM182" s="1017"/>
      <c r="AN182" s="1017"/>
      <c r="AO182" s="1017"/>
      <c r="AP182" s="1017"/>
      <c r="AQ182" s="1017"/>
      <c r="AR182" s="1017"/>
      <c r="AS182" s="1017"/>
      <c r="AT182" s="1017"/>
      <c r="AU182" s="1017"/>
      <c r="AV182" s="1017"/>
      <c r="AW182" s="1017"/>
      <c r="AX182" s="1017"/>
      <c r="AY182" s="1017"/>
      <c r="AZ182" s="1017"/>
      <c r="BA182" s="1017"/>
      <c r="BB182" s="1017"/>
      <c r="BC182" s="1009">
        <f t="shared" si="14"/>
        <v>0</v>
      </c>
      <c r="BD182" s="1041">
        <f t="shared" si="13"/>
        <v>0</v>
      </c>
    </row>
    <row r="183" spans="2:56" s="973" customFormat="1" ht="14.4" x14ac:dyDescent="0.3">
      <c r="B183" s="1030"/>
      <c r="C183" s="1031" t="str">
        <f>SOURCES!C31</f>
        <v>Housing Trust Fund</v>
      </c>
      <c r="D183" s="1031"/>
      <c r="E183" s="1013">
        <f>SOURCES!M31</f>
        <v>0</v>
      </c>
      <c r="F183" s="1017"/>
      <c r="G183" s="1017"/>
      <c r="H183" s="1017"/>
      <c r="I183" s="1017"/>
      <c r="J183" s="1017"/>
      <c r="K183" s="1017"/>
      <c r="L183" s="1017"/>
      <c r="M183" s="1017"/>
      <c r="N183" s="1017"/>
      <c r="O183" s="1017"/>
      <c r="P183" s="1017"/>
      <c r="Q183" s="1017"/>
      <c r="R183" s="1017"/>
      <c r="S183" s="1017"/>
      <c r="T183" s="1017"/>
      <c r="U183" s="1017"/>
      <c r="V183" s="1017"/>
      <c r="W183" s="1017"/>
      <c r="X183" s="1017"/>
      <c r="Y183" s="1017"/>
      <c r="Z183" s="1017"/>
      <c r="AA183" s="1017"/>
      <c r="AB183" s="1017"/>
      <c r="AC183" s="1017"/>
      <c r="AD183" s="1017"/>
      <c r="AE183" s="1017"/>
      <c r="AF183" s="1017"/>
      <c r="AG183" s="1017"/>
      <c r="AH183" s="1017"/>
      <c r="AI183" s="1017"/>
      <c r="AJ183" s="1017"/>
      <c r="AK183" s="1017"/>
      <c r="AL183" s="1017"/>
      <c r="AM183" s="1017"/>
      <c r="AN183" s="1017"/>
      <c r="AO183" s="1017"/>
      <c r="AP183" s="1017"/>
      <c r="AQ183" s="1017"/>
      <c r="AR183" s="1017"/>
      <c r="AS183" s="1017"/>
      <c r="AT183" s="1017"/>
      <c r="AU183" s="1017"/>
      <c r="AV183" s="1017"/>
      <c r="AW183" s="1017"/>
      <c r="AX183" s="1017"/>
      <c r="AY183" s="1017"/>
      <c r="AZ183" s="1017"/>
      <c r="BA183" s="1017"/>
      <c r="BB183" s="1017"/>
      <c r="BC183" s="1009">
        <f t="shared" si="14"/>
        <v>0</v>
      </c>
      <c r="BD183" s="1041">
        <f t="shared" si="13"/>
        <v>0</v>
      </c>
    </row>
    <row r="184" spans="2:56" s="973" customFormat="1" ht="14.4" x14ac:dyDescent="0.3">
      <c r="B184" s="1030"/>
      <c r="C184" s="1031" t="str">
        <f>SOURCES!C32</f>
        <v>HOME Funds (DHCD)</v>
      </c>
      <c r="D184" s="1031"/>
      <c r="E184" s="1013">
        <f>SOURCES!M32</f>
        <v>0</v>
      </c>
      <c r="F184" s="1017"/>
      <c r="G184" s="1017"/>
      <c r="H184" s="1017"/>
      <c r="I184" s="1017"/>
      <c r="J184" s="1017"/>
      <c r="K184" s="1017"/>
      <c r="L184" s="1017"/>
      <c r="M184" s="1017"/>
      <c r="N184" s="1017"/>
      <c r="O184" s="1017"/>
      <c r="P184" s="1017"/>
      <c r="Q184" s="1017"/>
      <c r="R184" s="1017"/>
      <c r="S184" s="1017"/>
      <c r="T184" s="1017"/>
      <c r="U184" s="1017"/>
      <c r="V184" s="1017"/>
      <c r="W184" s="1017"/>
      <c r="X184" s="1017"/>
      <c r="Y184" s="1017"/>
      <c r="Z184" s="1017"/>
      <c r="AA184" s="1017"/>
      <c r="AB184" s="1017"/>
      <c r="AC184" s="1017"/>
      <c r="AD184" s="1017"/>
      <c r="AE184" s="1017"/>
      <c r="AF184" s="1017"/>
      <c r="AG184" s="1017"/>
      <c r="AH184" s="1017"/>
      <c r="AI184" s="1017"/>
      <c r="AJ184" s="1017"/>
      <c r="AK184" s="1017"/>
      <c r="AL184" s="1017"/>
      <c r="AM184" s="1017"/>
      <c r="AN184" s="1017"/>
      <c r="AO184" s="1017"/>
      <c r="AP184" s="1017"/>
      <c r="AQ184" s="1017"/>
      <c r="AR184" s="1017"/>
      <c r="AS184" s="1017"/>
      <c r="AT184" s="1017"/>
      <c r="AU184" s="1017"/>
      <c r="AV184" s="1017"/>
      <c r="AW184" s="1017"/>
      <c r="AX184" s="1017"/>
      <c r="AY184" s="1017"/>
      <c r="AZ184" s="1017"/>
      <c r="BA184" s="1017"/>
      <c r="BB184" s="1017"/>
      <c r="BC184" s="1009">
        <f t="shared" si="14"/>
        <v>0</v>
      </c>
      <c r="BD184" s="1041">
        <f t="shared" si="13"/>
        <v>0</v>
      </c>
    </row>
    <row r="185" spans="2:56" s="973" customFormat="1" ht="14.4" x14ac:dyDescent="0.3">
      <c r="B185" s="1030"/>
      <c r="C185" s="1031" t="str">
        <f>SOURCES!C33</f>
        <v>HOME ARP (DHCD)</v>
      </c>
      <c r="D185" s="1031"/>
      <c r="E185" s="1013">
        <f>SOURCES!M33</f>
        <v>0</v>
      </c>
      <c r="F185" s="1017"/>
      <c r="G185" s="1017"/>
      <c r="H185" s="1017"/>
      <c r="I185" s="1017"/>
      <c r="J185" s="1017"/>
      <c r="K185" s="1017"/>
      <c r="L185" s="1017"/>
      <c r="M185" s="1017"/>
      <c r="N185" s="1017"/>
      <c r="O185" s="1017"/>
      <c r="P185" s="1017"/>
      <c r="Q185" s="1017"/>
      <c r="R185" s="1017"/>
      <c r="S185" s="1017"/>
      <c r="T185" s="1017"/>
      <c r="U185" s="1017"/>
      <c r="V185" s="1017"/>
      <c r="W185" s="1017"/>
      <c r="X185" s="1017"/>
      <c r="Y185" s="1017"/>
      <c r="Z185" s="1017"/>
      <c r="AA185" s="1017"/>
      <c r="AB185" s="1017"/>
      <c r="AC185" s="1017"/>
      <c r="AD185" s="1017"/>
      <c r="AE185" s="1017"/>
      <c r="AF185" s="1017"/>
      <c r="AG185" s="1017"/>
      <c r="AH185" s="1017"/>
      <c r="AI185" s="1017"/>
      <c r="AJ185" s="1017"/>
      <c r="AK185" s="1017"/>
      <c r="AL185" s="1017"/>
      <c r="AM185" s="1017"/>
      <c r="AN185" s="1017"/>
      <c r="AO185" s="1017"/>
      <c r="AP185" s="1017"/>
      <c r="AQ185" s="1017"/>
      <c r="AR185" s="1017"/>
      <c r="AS185" s="1017"/>
      <c r="AT185" s="1017"/>
      <c r="AU185" s="1017"/>
      <c r="AV185" s="1017"/>
      <c r="AW185" s="1017"/>
      <c r="AX185" s="1017"/>
      <c r="AY185" s="1017"/>
      <c r="AZ185" s="1017"/>
      <c r="BA185" s="1017"/>
      <c r="BB185" s="1017"/>
      <c r="BC185" s="1009">
        <f t="shared" si="14"/>
        <v>0</v>
      </c>
      <c r="BD185" s="1041">
        <f t="shared" si="13"/>
        <v>0</v>
      </c>
    </row>
    <row r="186" spans="2:56" s="973" customFormat="1" ht="14.4" x14ac:dyDescent="0.3">
      <c r="B186" s="1030"/>
      <c r="C186" s="1032" t="str">
        <f>SOURCES!C34</f>
        <v>Partnership Rental Housing Program Funds</v>
      </c>
      <c r="D186" s="1031"/>
      <c r="E186" s="1013">
        <f>SOURCES!M34</f>
        <v>0</v>
      </c>
      <c r="F186" s="1017"/>
      <c r="G186" s="1017"/>
      <c r="H186" s="1017"/>
      <c r="I186" s="1017"/>
      <c r="J186" s="1017"/>
      <c r="K186" s="1017"/>
      <c r="L186" s="1017"/>
      <c r="M186" s="1017"/>
      <c r="N186" s="1017"/>
      <c r="O186" s="1017"/>
      <c r="P186" s="1017"/>
      <c r="Q186" s="1017"/>
      <c r="R186" s="1017"/>
      <c r="S186" s="1017"/>
      <c r="T186" s="1017"/>
      <c r="U186" s="1017"/>
      <c r="V186" s="1017"/>
      <c r="W186" s="1017"/>
      <c r="X186" s="1017"/>
      <c r="Y186" s="1017"/>
      <c r="Z186" s="1017"/>
      <c r="AA186" s="1017"/>
      <c r="AB186" s="1017"/>
      <c r="AC186" s="1017"/>
      <c r="AD186" s="1017"/>
      <c r="AE186" s="1017"/>
      <c r="AF186" s="1017"/>
      <c r="AG186" s="1017"/>
      <c r="AH186" s="1017"/>
      <c r="AI186" s="1017"/>
      <c r="AJ186" s="1017"/>
      <c r="AK186" s="1017"/>
      <c r="AL186" s="1017"/>
      <c r="AM186" s="1017"/>
      <c r="AN186" s="1017"/>
      <c r="AO186" s="1017"/>
      <c r="AP186" s="1017"/>
      <c r="AQ186" s="1017"/>
      <c r="AR186" s="1017"/>
      <c r="AS186" s="1017"/>
      <c r="AT186" s="1017"/>
      <c r="AU186" s="1017"/>
      <c r="AV186" s="1017"/>
      <c r="AW186" s="1017"/>
      <c r="AX186" s="1017"/>
      <c r="AY186" s="1017"/>
      <c r="AZ186" s="1017"/>
      <c r="BA186" s="1017"/>
      <c r="BB186" s="1017"/>
      <c r="BC186" s="1009">
        <f t="shared" si="14"/>
        <v>0</v>
      </c>
      <c r="BD186" s="1041">
        <f t="shared" si="13"/>
        <v>0</v>
      </c>
    </row>
    <row r="187" spans="2:56" s="973" customFormat="1" ht="14.4" x14ac:dyDescent="0.3">
      <c r="B187" s="1010"/>
      <c r="C187" s="1011" t="str">
        <f>SOURCES!C35</f>
        <v>Weinberg</v>
      </c>
      <c r="D187" s="1014"/>
      <c r="E187" s="1013">
        <f>SOURCES!M35</f>
        <v>0</v>
      </c>
      <c r="F187" s="1017"/>
      <c r="G187" s="1017"/>
      <c r="H187" s="1017"/>
      <c r="I187" s="1017"/>
      <c r="J187" s="1017"/>
      <c r="K187" s="1017"/>
      <c r="L187" s="1017"/>
      <c r="M187" s="1017"/>
      <c r="N187" s="1017"/>
      <c r="O187" s="1017"/>
      <c r="P187" s="1017"/>
      <c r="Q187" s="1017"/>
      <c r="R187" s="1017"/>
      <c r="S187" s="1017"/>
      <c r="T187" s="1017"/>
      <c r="U187" s="1017"/>
      <c r="V187" s="1017"/>
      <c r="W187" s="1017"/>
      <c r="X187" s="1017"/>
      <c r="Y187" s="1017"/>
      <c r="Z187" s="1017"/>
      <c r="AA187" s="1017"/>
      <c r="AB187" s="1017"/>
      <c r="AC187" s="1017"/>
      <c r="AD187" s="1017"/>
      <c r="AE187" s="1017"/>
      <c r="AF187" s="1017"/>
      <c r="AG187" s="1017"/>
      <c r="AH187" s="1017"/>
      <c r="AI187" s="1017"/>
      <c r="AJ187" s="1017"/>
      <c r="AK187" s="1017"/>
      <c r="AL187" s="1017"/>
      <c r="AM187" s="1017"/>
      <c r="AN187" s="1017"/>
      <c r="AO187" s="1017"/>
      <c r="AP187" s="1017"/>
      <c r="AQ187" s="1017"/>
      <c r="AR187" s="1017"/>
      <c r="AS187" s="1017"/>
      <c r="AT187" s="1017"/>
      <c r="AU187" s="1017"/>
      <c r="AV187" s="1017"/>
      <c r="AW187" s="1017"/>
      <c r="AX187" s="1017"/>
      <c r="AY187" s="1017"/>
      <c r="AZ187" s="1017"/>
      <c r="BA187" s="1017"/>
      <c r="BB187" s="1017"/>
      <c r="BC187" s="1009">
        <f t="shared" si="14"/>
        <v>0</v>
      </c>
      <c r="BD187" s="1041">
        <f t="shared" si="13"/>
        <v>0</v>
      </c>
    </row>
    <row r="188" spans="2:56" s="973" customFormat="1" ht="14.4" x14ac:dyDescent="0.3">
      <c r="B188" s="1010"/>
      <c r="C188" s="1011" t="str">
        <f>SOURCES!C36</f>
        <v>MEEHA</v>
      </c>
      <c r="D188" s="1014"/>
      <c r="E188" s="1013">
        <f>SOURCES!M36</f>
        <v>0</v>
      </c>
      <c r="F188" s="1017"/>
      <c r="G188" s="1017"/>
      <c r="H188" s="1017"/>
      <c r="I188" s="1017"/>
      <c r="J188" s="1017"/>
      <c r="K188" s="1017"/>
      <c r="L188" s="1017"/>
      <c r="M188" s="1017"/>
      <c r="N188" s="1017"/>
      <c r="O188" s="1017"/>
      <c r="P188" s="1017"/>
      <c r="Q188" s="1017"/>
      <c r="R188" s="1017"/>
      <c r="S188" s="1017"/>
      <c r="T188" s="1017"/>
      <c r="U188" s="1017"/>
      <c r="V188" s="1017"/>
      <c r="W188" s="1017"/>
      <c r="X188" s="1017"/>
      <c r="Y188" s="1017"/>
      <c r="Z188" s="1017"/>
      <c r="AA188" s="1017"/>
      <c r="AB188" s="1017"/>
      <c r="AC188" s="1017"/>
      <c r="AD188" s="1017"/>
      <c r="AE188" s="1017"/>
      <c r="AF188" s="1017"/>
      <c r="AG188" s="1017"/>
      <c r="AH188" s="1017"/>
      <c r="AI188" s="1017"/>
      <c r="AJ188" s="1017"/>
      <c r="AK188" s="1017"/>
      <c r="AL188" s="1017"/>
      <c r="AM188" s="1017"/>
      <c r="AN188" s="1017"/>
      <c r="AO188" s="1017"/>
      <c r="AP188" s="1017"/>
      <c r="AQ188" s="1017"/>
      <c r="AR188" s="1017"/>
      <c r="AS188" s="1017"/>
      <c r="AT188" s="1017"/>
      <c r="AU188" s="1017"/>
      <c r="AV188" s="1017"/>
      <c r="AW188" s="1017"/>
      <c r="AX188" s="1017"/>
      <c r="AY188" s="1017"/>
      <c r="AZ188" s="1017"/>
      <c r="BA188" s="1017"/>
      <c r="BB188" s="1017"/>
      <c r="BC188" s="1009">
        <f t="shared" si="14"/>
        <v>0</v>
      </c>
      <c r="BD188" s="1041">
        <f t="shared" si="13"/>
        <v>0</v>
      </c>
    </row>
    <row r="189" spans="2:56" s="973" customFormat="1" ht="14.4" x14ac:dyDescent="0.3">
      <c r="B189" s="1010"/>
      <c r="C189" s="1011" t="str">
        <f>SOURCES!C37</f>
        <v>Other:  select from menu</v>
      </c>
      <c r="D189" s="1014"/>
      <c r="E189" s="1013">
        <f>SOURCES!M37</f>
        <v>0</v>
      </c>
      <c r="F189" s="1017"/>
      <c r="G189" s="1017"/>
      <c r="H189" s="1017"/>
      <c r="I189" s="1017"/>
      <c r="J189" s="1017"/>
      <c r="K189" s="1017"/>
      <c r="L189" s="1017"/>
      <c r="M189" s="1017"/>
      <c r="N189" s="1017"/>
      <c r="O189" s="1017"/>
      <c r="P189" s="1017"/>
      <c r="Q189" s="1017"/>
      <c r="R189" s="1017"/>
      <c r="S189" s="1017"/>
      <c r="T189" s="1017"/>
      <c r="U189" s="1017"/>
      <c r="V189" s="1017"/>
      <c r="W189" s="1017"/>
      <c r="X189" s="1017"/>
      <c r="Y189" s="1017"/>
      <c r="Z189" s="1017"/>
      <c r="AA189" s="1017"/>
      <c r="AB189" s="1017"/>
      <c r="AC189" s="1017"/>
      <c r="AD189" s="1017"/>
      <c r="AE189" s="1017"/>
      <c r="AF189" s="1017"/>
      <c r="AG189" s="1017"/>
      <c r="AH189" s="1017"/>
      <c r="AI189" s="1017"/>
      <c r="AJ189" s="1017"/>
      <c r="AK189" s="1017"/>
      <c r="AL189" s="1017"/>
      <c r="AM189" s="1017"/>
      <c r="AN189" s="1017"/>
      <c r="AO189" s="1017"/>
      <c r="AP189" s="1017"/>
      <c r="AQ189" s="1017"/>
      <c r="AR189" s="1017"/>
      <c r="AS189" s="1017"/>
      <c r="AT189" s="1017"/>
      <c r="AU189" s="1017"/>
      <c r="AV189" s="1017"/>
      <c r="AW189" s="1017"/>
      <c r="AX189" s="1017"/>
      <c r="AY189" s="1017"/>
      <c r="AZ189" s="1017"/>
      <c r="BA189" s="1017"/>
      <c r="BB189" s="1017"/>
      <c r="BC189" s="1009">
        <f t="shared" si="14"/>
        <v>0</v>
      </c>
      <c r="BD189" s="1041">
        <f t="shared" si="13"/>
        <v>0</v>
      </c>
    </row>
    <row r="190" spans="2:56" s="973" customFormat="1" ht="14.4" x14ac:dyDescent="0.3">
      <c r="B190" s="1010"/>
      <c r="C190" s="1011" t="str">
        <f>SOURCES!C38</f>
        <v>Other:  select from menu</v>
      </c>
      <c r="D190" s="1014"/>
      <c r="E190" s="1013">
        <f>SOURCES!M38</f>
        <v>0</v>
      </c>
      <c r="F190" s="1017"/>
      <c r="G190" s="1017"/>
      <c r="H190" s="1017"/>
      <c r="I190" s="1017"/>
      <c r="J190" s="1017"/>
      <c r="K190" s="1017"/>
      <c r="L190" s="1017"/>
      <c r="M190" s="1017"/>
      <c r="N190" s="1017"/>
      <c r="O190" s="1017"/>
      <c r="P190" s="1017"/>
      <c r="Q190" s="1017"/>
      <c r="R190" s="1017"/>
      <c r="S190" s="1017"/>
      <c r="T190" s="1017"/>
      <c r="U190" s="1017"/>
      <c r="V190" s="1017"/>
      <c r="W190" s="1017"/>
      <c r="X190" s="1017"/>
      <c r="Y190" s="1017"/>
      <c r="Z190" s="1017"/>
      <c r="AA190" s="1017"/>
      <c r="AB190" s="1017"/>
      <c r="AC190" s="1017"/>
      <c r="AD190" s="1017"/>
      <c r="AE190" s="1017"/>
      <c r="AF190" s="1017"/>
      <c r="AG190" s="1017"/>
      <c r="AH190" s="1017"/>
      <c r="AI190" s="1017"/>
      <c r="AJ190" s="1017"/>
      <c r="AK190" s="1017"/>
      <c r="AL190" s="1017"/>
      <c r="AM190" s="1017"/>
      <c r="AN190" s="1017"/>
      <c r="AO190" s="1017"/>
      <c r="AP190" s="1017"/>
      <c r="AQ190" s="1017"/>
      <c r="AR190" s="1017"/>
      <c r="AS190" s="1017"/>
      <c r="AT190" s="1017"/>
      <c r="AU190" s="1017"/>
      <c r="AV190" s="1017"/>
      <c r="AW190" s="1017"/>
      <c r="AX190" s="1017"/>
      <c r="AY190" s="1017"/>
      <c r="AZ190" s="1017"/>
      <c r="BA190" s="1017"/>
      <c r="BB190" s="1017"/>
      <c r="BC190" s="1009">
        <f t="shared" si="14"/>
        <v>0</v>
      </c>
      <c r="BD190" s="1041">
        <f t="shared" si="13"/>
        <v>0</v>
      </c>
    </row>
    <row r="191" spans="2:56" s="973" customFormat="1" ht="14.4" x14ac:dyDescent="0.3">
      <c r="B191" s="1010"/>
      <c r="C191" s="1011" t="str">
        <f>SOURCES!C39</f>
        <v>HOME (non-DHCD)</v>
      </c>
      <c r="D191" s="1014"/>
      <c r="E191" s="1013">
        <f>SOURCES!M39</f>
        <v>0</v>
      </c>
      <c r="F191" s="1017"/>
      <c r="G191" s="1017"/>
      <c r="H191" s="1017"/>
      <c r="I191" s="1017"/>
      <c r="J191" s="1017"/>
      <c r="K191" s="1017"/>
      <c r="L191" s="1017"/>
      <c r="M191" s="1017"/>
      <c r="N191" s="1017"/>
      <c r="O191" s="1017"/>
      <c r="P191" s="1017"/>
      <c r="Q191" s="1017"/>
      <c r="R191" s="1017"/>
      <c r="S191" s="1017"/>
      <c r="T191" s="1017"/>
      <c r="U191" s="1017"/>
      <c r="V191" s="1017"/>
      <c r="W191" s="1017"/>
      <c r="X191" s="1017"/>
      <c r="Y191" s="1017"/>
      <c r="Z191" s="1017"/>
      <c r="AA191" s="1017"/>
      <c r="AB191" s="1017"/>
      <c r="AC191" s="1017"/>
      <c r="AD191" s="1017"/>
      <c r="AE191" s="1017"/>
      <c r="AF191" s="1017"/>
      <c r="AG191" s="1017"/>
      <c r="AH191" s="1017"/>
      <c r="AI191" s="1017"/>
      <c r="AJ191" s="1017"/>
      <c r="AK191" s="1017"/>
      <c r="AL191" s="1017"/>
      <c r="AM191" s="1017"/>
      <c r="AN191" s="1017"/>
      <c r="AO191" s="1017"/>
      <c r="AP191" s="1017"/>
      <c r="AQ191" s="1017"/>
      <c r="AR191" s="1017"/>
      <c r="AS191" s="1017"/>
      <c r="AT191" s="1017"/>
      <c r="AU191" s="1017"/>
      <c r="AV191" s="1017"/>
      <c r="AW191" s="1017"/>
      <c r="AX191" s="1017"/>
      <c r="AY191" s="1017"/>
      <c r="AZ191" s="1017"/>
      <c r="BA191" s="1017"/>
      <c r="BB191" s="1017"/>
      <c r="BC191" s="1009">
        <f t="shared" si="14"/>
        <v>0</v>
      </c>
      <c r="BD191" s="1041">
        <f t="shared" si="13"/>
        <v>0</v>
      </c>
    </row>
    <row r="192" spans="2:56" s="973" customFormat="1" ht="14.4" x14ac:dyDescent="0.3">
      <c r="B192" s="1010"/>
      <c r="C192" s="1011" t="str">
        <f>SOURCES!C40</f>
        <v>Seller Note</v>
      </c>
      <c r="D192" s="1014"/>
      <c r="E192" s="1013">
        <f>SOURCES!M40</f>
        <v>0</v>
      </c>
      <c r="F192" s="1017"/>
      <c r="G192" s="1017"/>
      <c r="H192" s="1017"/>
      <c r="I192" s="1017"/>
      <c r="J192" s="1017"/>
      <c r="K192" s="1017"/>
      <c r="L192" s="1017"/>
      <c r="M192" s="1017"/>
      <c r="N192" s="1017"/>
      <c r="O192" s="1017"/>
      <c r="P192" s="1017"/>
      <c r="Q192" s="1017"/>
      <c r="R192" s="1017"/>
      <c r="S192" s="1017"/>
      <c r="T192" s="1017"/>
      <c r="U192" s="1017"/>
      <c r="V192" s="1017"/>
      <c r="W192" s="1017"/>
      <c r="X192" s="1017"/>
      <c r="Y192" s="1017"/>
      <c r="Z192" s="1017"/>
      <c r="AA192" s="1017"/>
      <c r="AB192" s="1017"/>
      <c r="AC192" s="1017"/>
      <c r="AD192" s="1017"/>
      <c r="AE192" s="1017"/>
      <c r="AF192" s="1017"/>
      <c r="AG192" s="1017"/>
      <c r="AH192" s="1017"/>
      <c r="AI192" s="1017"/>
      <c r="AJ192" s="1017"/>
      <c r="AK192" s="1017"/>
      <c r="AL192" s="1017"/>
      <c r="AM192" s="1017"/>
      <c r="AN192" s="1017"/>
      <c r="AO192" s="1017"/>
      <c r="AP192" s="1017"/>
      <c r="AQ192" s="1017"/>
      <c r="AR192" s="1017"/>
      <c r="AS192" s="1017"/>
      <c r="AT192" s="1017"/>
      <c r="AU192" s="1017"/>
      <c r="AV192" s="1017"/>
      <c r="AW192" s="1017"/>
      <c r="AX192" s="1017"/>
      <c r="AY192" s="1017"/>
      <c r="AZ192" s="1017"/>
      <c r="BA192" s="1017"/>
      <c r="BB192" s="1017"/>
      <c r="BC192" s="1009">
        <f t="shared" si="14"/>
        <v>0</v>
      </c>
      <c r="BD192" s="1041">
        <f t="shared" si="13"/>
        <v>0</v>
      </c>
    </row>
    <row r="193" spans="2:56" s="973" customFormat="1" ht="14.4" x14ac:dyDescent="0.3">
      <c r="B193" s="1010"/>
      <c r="C193" s="1011" t="str">
        <f>SOURCES!C41</f>
        <v>Other:  select from menu</v>
      </c>
      <c r="D193" s="1014"/>
      <c r="E193" s="1013">
        <f>SOURCES!M41</f>
        <v>0</v>
      </c>
      <c r="F193" s="1017"/>
      <c r="G193" s="1017"/>
      <c r="H193" s="1017"/>
      <c r="I193" s="1017"/>
      <c r="J193" s="1017"/>
      <c r="K193" s="1017"/>
      <c r="L193" s="1017"/>
      <c r="M193" s="1017"/>
      <c r="N193" s="1017"/>
      <c r="O193" s="1017"/>
      <c r="P193" s="1017"/>
      <c r="Q193" s="1017"/>
      <c r="R193" s="1017"/>
      <c r="S193" s="1017"/>
      <c r="T193" s="1017"/>
      <c r="U193" s="1017"/>
      <c r="V193" s="1017"/>
      <c r="W193" s="1017"/>
      <c r="X193" s="1017"/>
      <c r="Y193" s="1017"/>
      <c r="Z193" s="1017"/>
      <c r="AA193" s="1017"/>
      <c r="AB193" s="1017"/>
      <c r="AC193" s="1017"/>
      <c r="AD193" s="1017"/>
      <c r="AE193" s="1017"/>
      <c r="AF193" s="1017"/>
      <c r="AG193" s="1017"/>
      <c r="AH193" s="1017"/>
      <c r="AI193" s="1017"/>
      <c r="AJ193" s="1017"/>
      <c r="AK193" s="1017"/>
      <c r="AL193" s="1017"/>
      <c r="AM193" s="1017"/>
      <c r="AN193" s="1017"/>
      <c r="AO193" s="1017"/>
      <c r="AP193" s="1017"/>
      <c r="AQ193" s="1017"/>
      <c r="AR193" s="1017"/>
      <c r="AS193" s="1017"/>
      <c r="AT193" s="1017"/>
      <c r="AU193" s="1017"/>
      <c r="AV193" s="1017"/>
      <c r="AW193" s="1017"/>
      <c r="AX193" s="1017"/>
      <c r="AY193" s="1017"/>
      <c r="AZ193" s="1017"/>
      <c r="BA193" s="1017"/>
      <c r="BB193" s="1017"/>
      <c r="BC193" s="1009">
        <f t="shared" si="14"/>
        <v>0</v>
      </c>
      <c r="BD193" s="1041">
        <f t="shared" si="13"/>
        <v>0</v>
      </c>
    </row>
    <row r="194" spans="2:56" s="973" customFormat="1" ht="14.4" x14ac:dyDescent="0.3">
      <c r="B194" s="1010"/>
      <c r="C194" s="1011" t="str">
        <f>SOURCES!C42</f>
        <v>Other:  select from menu</v>
      </c>
      <c r="D194" s="1014"/>
      <c r="E194" s="1013">
        <f>SOURCES!M42</f>
        <v>0</v>
      </c>
      <c r="F194" s="1017"/>
      <c r="G194" s="1017"/>
      <c r="H194" s="1017"/>
      <c r="I194" s="1017"/>
      <c r="J194" s="1017"/>
      <c r="K194" s="1017"/>
      <c r="L194" s="1017"/>
      <c r="M194" s="1017"/>
      <c r="N194" s="1017"/>
      <c r="O194" s="1017"/>
      <c r="P194" s="1017"/>
      <c r="Q194" s="1017"/>
      <c r="R194" s="1017"/>
      <c r="S194" s="1017"/>
      <c r="T194" s="1017"/>
      <c r="U194" s="1017"/>
      <c r="V194" s="1017"/>
      <c r="W194" s="1017"/>
      <c r="X194" s="1017"/>
      <c r="Y194" s="1017"/>
      <c r="Z194" s="1017"/>
      <c r="AA194" s="1017"/>
      <c r="AB194" s="1017"/>
      <c r="AC194" s="1017"/>
      <c r="AD194" s="1017"/>
      <c r="AE194" s="1017"/>
      <c r="AF194" s="1017"/>
      <c r="AG194" s="1017"/>
      <c r="AH194" s="1017"/>
      <c r="AI194" s="1017"/>
      <c r="AJ194" s="1017"/>
      <c r="AK194" s="1017"/>
      <c r="AL194" s="1017"/>
      <c r="AM194" s="1017"/>
      <c r="AN194" s="1017"/>
      <c r="AO194" s="1017"/>
      <c r="AP194" s="1017"/>
      <c r="AQ194" s="1017"/>
      <c r="AR194" s="1017"/>
      <c r="AS194" s="1017"/>
      <c r="AT194" s="1017"/>
      <c r="AU194" s="1017"/>
      <c r="AV194" s="1017"/>
      <c r="AW194" s="1017"/>
      <c r="AX194" s="1017"/>
      <c r="AY194" s="1017"/>
      <c r="AZ194" s="1017"/>
      <c r="BA194" s="1017"/>
      <c r="BB194" s="1017"/>
      <c r="BC194" s="1009">
        <f t="shared" si="14"/>
        <v>0</v>
      </c>
      <c r="BD194" s="1041">
        <f t="shared" si="13"/>
        <v>0</v>
      </c>
    </row>
    <row r="195" spans="2:56" s="973" customFormat="1" ht="14.4" x14ac:dyDescent="0.3">
      <c r="B195" s="1010"/>
      <c r="C195" s="1011" t="str">
        <f>SOURCES!C43</f>
        <v>Other:  select from menu</v>
      </c>
      <c r="D195" s="1014"/>
      <c r="E195" s="1013">
        <f>SOURCES!M43</f>
        <v>0</v>
      </c>
      <c r="F195" s="1017"/>
      <c r="G195" s="1017"/>
      <c r="H195" s="1017"/>
      <c r="I195" s="1017"/>
      <c r="J195" s="1017"/>
      <c r="K195" s="1017"/>
      <c r="L195" s="1017"/>
      <c r="M195" s="1017"/>
      <c r="N195" s="1017"/>
      <c r="O195" s="1017"/>
      <c r="P195" s="1017"/>
      <c r="Q195" s="1017"/>
      <c r="R195" s="1017"/>
      <c r="S195" s="1017"/>
      <c r="T195" s="1017"/>
      <c r="U195" s="1017"/>
      <c r="V195" s="1017"/>
      <c r="W195" s="1017"/>
      <c r="X195" s="1017"/>
      <c r="Y195" s="1017"/>
      <c r="Z195" s="1017"/>
      <c r="AA195" s="1017"/>
      <c r="AB195" s="1017"/>
      <c r="AC195" s="1017"/>
      <c r="AD195" s="1017"/>
      <c r="AE195" s="1017"/>
      <c r="AF195" s="1017"/>
      <c r="AG195" s="1017"/>
      <c r="AH195" s="1017"/>
      <c r="AI195" s="1017"/>
      <c r="AJ195" s="1017"/>
      <c r="AK195" s="1017"/>
      <c r="AL195" s="1017"/>
      <c r="AM195" s="1017"/>
      <c r="AN195" s="1017"/>
      <c r="AO195" s="1017"/>
      <c r="AP195" s="1017"/>
      <c r="AQ195" s="1017"/>
      <c r="AR195" s="1017"/>
      <c r="AS195" s="1017"/>
      <c r="AT195" s="1017"/>
      <c r="AU195" s="1017"/>
      <c r="AV195" s="1017"/>
      <c r="AW195" s="1017"/>
      <c r="AX195" s="1017"/>
      <c r="AY195" s="1017"/>
      <c r="AZ195" s="1017"/>
      <c r="BA195" s="1017"/>
      <c r="BB195" s="1017"/>
      <c r="BC195" s="1009">
        <f t="shared" si="14"/>
        <v>0</v>
      </c>
      <c r="BD195" s="1041">
        <f t="shared" si="13"/>
        <v>0</v>
      </c>
    </row>
    <row r="196" spans="2:56" s="973" customFormat="1" ht="14.4" x14ac:dyDescent="0.3">
      <c r="B196" s="1010"/>
      <c r="C196" s="1011" t="str">
        <f>SOURCES!C44</f>
        <v>Other:  select from menu</v>
      </c>
      <c r="D196" s="1014"/>
      <c r="E196" s="1013">
        <f>SOURCES!M44</f>
        <v>0</v>
      </c>
      <c r="F196" s="1017"/>
      <c r="G196" s="1017"/>
      <c r="H196" s="1017"/>
      <c r="I196" s="1017"/>
      <c r="J196" s="1017"/>
      <c r="K196" s="1017"/>
      <c r="L196" s="1017"/>
      <c r="M196" s="1017"/>
      <c r="N196" s="1017"/>
      <c r="O196" s="1017"/>
      <c r="P196" s="1017"/>
      <c r="Q196" s="1017"/>
      <c r="R196" s="1017"/>
      <c r="S196" s="1017"/>
      <c r="T196" s="1017"/>
      <c r="U196" s="1017"/>
      <c r="V196" s="1017"/>
      <c r="W196" s="1017"/>
      <c r="X196" s="1017"/>
      <c r="Y196" s="1017"/>
      <c r="Z196" s="1017"/>
      <c r="AA196" s="1017"/>
      <c r="AB196" s="1017"/>
      <c r="AC196" s="1017"/>
      <c r="AD196" s="1017"/>
      <c r="AE196" s="1017"/>
      <c r="AF196" s="1017"/>
      <c r="AG196" s="1017"/>
      <c r="AH196" s="1017"/>
      <c r="AI196" s="1017"/>
      <c r="AJ196" s="1017"/>
      <c r="AK196" s="1017"/>
      <c r="AL196" s="1017"/>
      <c r="AM196" s="1017"/>
      <c r="AN196" s="1017"/>
      <c r="AO196" s="1017"/>
      <c r="AP196" s="1017"/>
      <c r="AQ196" s="1017"/>
      <c r="AR196" s="1017"/>
      <c r="AS196" s="1017"/>
      <c r="AT196" s="1017"/>
      <c r="AU196" s="1017"/>
      <c r="AV196" s="1017"/>
      <c r="AW196" s="1017"/>
      <c r="AX196" s="1017"/>
      <c r="AY196" s="1017"/>
      <c r="AZ196" s="1017"/>
      <c r="BA196" s="1017"/>
      <c r="BB196" s="1017"/>
      <c r="BC196" s="1009">
        <f t="shared" si="14"/>
        <v>0</v>
      </c>
      <c r="BD196" s="1041">
        <f t="shared" si="13"/>
        <v>0</v>
      </c>
    </row>
    <row r="197" spans="2:56" s="973" customFormat="1" ht="14.4" x14ac:dyDescent="0.3">
      <c r="B197" s="1010"/>
      <c r="C197" s="1011" t="str">
        <f>SOURCES!C45</f>
        <v>Other:  select from menu</v>
      </c>
      <c r="D197" s="1014"/>
      <c r="E197" s="1013">
        <f>SOURCES!M45</f>
        <v>0</v>
      </c>
      <c r="F197" s="1017"/>
      <c r="G197" s="1017"/>
      <c r="H197" s="1017"/>
      <c r="I197" s="1017"/>
      <c r="J197" s="1017"/>
      <c r="K197" s="1017"/>
      <c r="L197" s="1017"/>
      <c r="M197" s="1017"/>
      <c r="N197" s="1017"/>
      <c r="O197" s="1017"/>
      <c r="P197" s="1017"/>
      <c r="Q197" s="1017"/>
      <c r="R197" s="1017"/>
      <c r="S197" s="1017"/>
      <c r="T197" s="1017"/>
      <c r="U197" s="1017"/>
      <c r="V197" s="1017"/>
      <c r="W197" s="1017"/>
      <c r="X197" s="1017"/>
      <c r="Y197" s="1017"/>
      <c r="Z197" s="1017"/>
      <c r="AA197" s="1017"/>
      <c r="AB197" s="1017"/>
      <c r="AC197" s="1017"/>
      <c r="AD197" s="1017"/>
      <c r="AE197" s="1017"/>
      <c r="AF197" s="1017"/>
      <c r="AG197" s="1017"/>
      <c r="AH197" s="1017"/>
      <c r="AI197" s="1017"/>
      <c r="AJ197" s="1017"/>
      <c r="AK197" s="1017"/>
      <c r="AL197" s="1017"/>
      <c r="AM197" s="1017"/>
      <c r="AN197" s="1017"/>
      <c r="AO197" s="1017"/>
      <c r="AP197" s="1017"/>
      <c r="AQ197" s="1017"/>
      <c r="AR197" s="1017"/>
      <c r="AS197" s="1017"/>
      <c r="AT197" s="1017"/>
      <c r="AU197" s="1017"/>
      <c r="AV197" s="1017"/>
      <c r="AW197" s="1017"/>
      <c r="AX197" s="1017"/>
      <c r="AY197" s="1017"/>
      <c r="AZ197" s="1017"/>
      <c r="BA197" s="1017"/>
      <c r="BB197" s="1017"/>
      <c r="BC197" s="1009">
        <f t="shared" si="14"/>
        <v>0</v>
      </c>
      <c r="BD197" s="1041">
        <f t="shared" si="13"/>
        <v>0</v>
      </c>
    </row>
    <row r="198" spans="2:56" s="973" customFormat="1" ht="14.4" x14ac:dyDescent="0.3">
      <c r="B198" s="1030"/>
      <c r="C198" s="1031" t="str">
        <f>SOURCES!C46</f>
        <v>Other:  select from menu</v>
      </c>
      <c r="D198" s="1031"/>
      <c r="E198" s="1013">
        <f>SOURCES!M46</f>
        <v>0</v>
      </c>
      <c r="F198" s="1017"/>
      <c r="G198" s="1017"/>
      <c r="H198" s="1017"/>
      <c r="I198" s="1017"/>
      <c r="J198" s="1017"/>
      <c r="K198" s="1017"/>
      <c r="L198" s="1017"/>
      <c r="M198" s="1017"/>
      <c r="N198" s="1017"/>
      <c r="O198" s="1017"/>
      <c r="P198" s="1017"/>
      <c r="Q198" s="1017"/>
      <c r="R198" s="1017"/>
      <c r="S198" s="1017"/>
      <c r="T198" s="1017"/>
      <c r="U198" s="1017"/>
      <c r="V198" s="1017"/>
      <c r="W198" s="1017"/>
      <c r="X198" s="1017"/>
      <c r="Y198" s="1017"/>
      <c r="Z198" s="1017"/>
      <c r="AA198" s="1017"/>
      <c r="AB198" s="1017"/>
      <c r="AC198" s="1017"/>
      <c r="AD198" s="1017"/>
      <c r="AE198" s="1017"/>
      <c r="AF198" s="1017"/>
      <c r="AG198" s="1017"/>
      <c r="AH198" s="1017"/>
      <c r="AI198" s="1017"/>
      <c r="AJ198" s="1017"/>
      <c r="AK198" s="1017"/>
      <c r="AL198" s="1017"/>
      <c r="AM198" s="1017"/>
      <c r="AN198" s="1017"/>
      <c r="AO198" s="1017"/>
      <c r="AP198" s="1017"/>
      <c r="AQ198" s="1017"/>
      <c r="AR198" s="1017"/>
      <c r="AS198" s="1017"/>
      <c r="AT198" s="1017"/>
      <c r="AU198" s="1017"/>
      <c r="AV198" s="1017"/>
      <c r="AW198" s="1017"/>
      <c r="AX198" s="1017"/>
      <c r="AY198" s="1017"/>
      <c r="AZ198" s="1017"/>
      <c r="BA198" s="1017"/>
      <c r="BB198" s="1017"/>
      <c r="BC198" s="1009">
        <f t="shared" si="14"/>
        <v>0</v>
      </c>
      <c r="BD198" s="1041">
        <f t="shared" si="13"/>
        <v>0</v>
      </c>
    </row>
    <row r="199" spans="2:56" s="973" customFormat="1" ht="14.4" x14ac:dyDescent="0.3">
      <c r="B199" s="1030"/>
      <c r="C199" s="1031" t="str">
        <f>SOURCES!C47</f>
        <v>Other:  select from menu</v>
      </c>
      <c r="D199" s="1031"/>
      <c r="E199" s="1013">
        <f>SOURCES!M47</f>
        <v>0</v>
      </c>
      <c r="F199" s="1017"/>
      <c r="G199" s="1017"/>
      <c r="H199" s="1017"/>
      <c r="I199" s="1017"/>
      <c r="J199" s="1017"/>
      <c r="K199" s="1017"/>
      <c r="L199" s="1017"/>
      <c r="M199" s="1017"/>
      <c r="N199" s="1017"/>
      <c r="O199" s="1017"/>
      <c r="P199" s="1017"/>
      <c r="Q199" s="1017"/>
      <c r="R199" s="1017"/>
      <c r="S199" s="1017"/>
      <c r="T199" s="1017"/>
      <c r="U199" s="1017"/>
      <c r="V199" s="1017"/>
      <c r="W199" s="1017"/>
      <c r="X199" s="1017"/>
      <c r="Y199" s="1017"/>
      <c r="Z199" s="1017"/>
      <c r="AA199" s="1017"/>
      <c r="AB199" s="1017"/>
      <c r="AC199" s="1017"/>
      <c r="AD199" s="1017"/>
      <c r="AE199" s="1017"/>
      <c r="AF199" s="1017"/>
      <c r="AG199" s="1017"/>
      <c r="AH199" s="1017"/>
      <c r="AI199" s="1017"/>
      <c r="AJ199" s="1017"/>
      <c r="AK199" s="1017"/>
      <c r="AL199" s="1017"/>
      <c r="AM199" s="1017"/>
      <c r="AN199" s="1017"/>
      <c r="AO199" s="1017"/>
      <c r="AP199" s="1017"/>
      <c r="AQ199" s="1017"/>
      <c r="AR199" s="1017"/>
      <c r="AS199" s="1017"/>
      <c r="AT199" s="1017"/>
      <c r="AU199" s="1017"/>
      <c r="AV199" s="1017"/>
      <c r="AW199" s="1017"/>
      <c r="AX199" s="1017"/>
      <c r="AY199" s="1017"/>
      <c r="AZ199" s="1017"/>
      <c r="BA199" s="1017"/>
      <c r="BB199" s="1017"/>
      <c r="BC199" s="1009">
        <f t="shared" si="14"/>
        <v>0</v>
      </c>
      <c r="BD199" s="1041">
        <f t="shared" si="13"/>
        <v>0</v>
      </c>
    </row>
    <row r="200" spans="2:56" s="973" customFormat="1" ht="14.4" x14ac:dyDescent="0.3">
      <c r="B200" s="1030"/>
      <c r="C200" s="1031" t="str">
        <f>SOURCES!C48</f>
        <v>Other:  select from menu</v>
      </c>
      <c r="D200" s="1031"/>
      <c r="E200" s="1013">
        <f>SOURCES!M48</f>
        <v>0</v>
      </c>
      <c r="F200" s="1017"/>
      <c r="G200" s="1017"/>
      <c r="H200" s="1017"/>
      <c r="I200" s="1017"/>
      <c r="J200" s="1017"/>
      <c r="K200" s="1017"/>
      <c r="L200" s="1017"/>
      <c r="M200" s="1017"/>
      <c r="N200" s="1017"/>
      <c r="O200" s="1017"/>
      <c r="P200" s="1017"/>
      <c r="Q200" s="1017"/>
      <c r="R200" s="1017"/>
      <c r="S200" s="1017"/>
      <c r="T200" s="1017"/>
      <c r="U200" s="1017"/>
      <c r="V200" s="1017"/>
      <c r="W200" s="1017"/>
      <c r="X200" s="1017"/>
      <c r="Y200" s="1017"/>
      <c r="Z200" s="1017"/>
      <c r="AA200" s="1017"/>
      <c r="AB200" s="1017"/>
      <c r="AC200" s="1017"/>
      <c r="AD200" s="1017"/>
      <c r="AE200" s="1017"/>
      <c r="AF200" s="1017"/>
      <c r="AG200" s="1017"/>
      <c r="AH200" s="1017"/>
      <c r="AI200" s="1017"/>
      <c r="AJ200" s="1017"/>
      <c r="AK200" s="1017"/>
      <c r="AL200" s="1017"/>
      <c r="AM200" s="1017"/>
      <c r="AN200" s="1017"/>
      <c r="AO200" s="1017"/>
      <c r="AP200" s="1017"/>
      <c r="AQ200" s="1017"/>
      <c r="AR200" s="1017"/>
      <c r="AS200" s="1017"/>
      <c r="AT200" s="1017"/>
      <c r="AU200" s="1017"/>
      <c r="AV200" s="1017"/>
      <c r="AW200" s="1017"/>
      <c r="AX200" s="1017"/>
      <c r="AY200" s="1017"/>
      <c r="AZ200" s="1017"/>
      <c r="BA200" s="1017"/>
      <c r="BB200" s="1017"/>
      <c r="BC200" s="1009">
        <f t="shared" si="14"/>
        <v>0</v>
      </c>
      <c r="BD200" s="1041">
        <f t="shared" si="13"/>
        <v>0</v>
      </c>
    </row>
    <row r="201" spans="2:56" s="973" customFormat="1" ht="14.4" x14ac:dyDescent="0.3">
      <c r="B201" s="1030"/>
      <c r="C201" s="1031" t="str">
        <f>SOURCES!C49</f>
        <v>Other:  select from menu</v>
      </c>
      <c r="D201" s="1031"/>
      <c r="E201" s="1013">
        <f>SOURCES!M49</f>
        <v>0</v>
      </c>
      <c r="F201" s="1017"/>
      <c r="G201" s="1017"/>
      <c r="H201" s="1017"/>
      <c r="I201" s="1017"/>
      <c r="J201" s="1017"/>
      <c r="K201" s="1017"/>
      <c r="L201" s="1017"/>
      <c r="M201" s="1017"/>
      <c r="N201" s="1017"/>
      <c r="O201" s="1017"/>
      <c r="P201" s="1017"/>
      <c r="Q201" s="1017"/>
      <c r="R201" s="1017"/>
      <c r="S201" s="1017"/>
      <c r="T201" s="1017"/>
      <c r="U201" s="1017"/>
      <c r="V201" s="1017"/>
      <c r="W201" s="1017"/>
      <c r="X201" s="1017"/>
      <c r="Y201" s="1017"/>
      <c r="Z201" s="1017"/>
      <c r="AA201" s="1017"/>
      <c r="AB201" s="1017"/>
      <c r="AC201" s="1017"/>
      <c r="AD201" s="1017"/>
      <c r="AE201" s="1017"/>
      <c r="AF201" s="1017"/>
      <c r="AG201" s="1017"/>
      <c r="AH201" s="1017"/>
      <c r="AI201" s="1017"/>
      <c r="AJ201" s="1017"/>
      <c r="AK201" s="1017"/>
      <c r="AL201" s="1017"/>
      <c r="AM201" s="1017"/>
      <c r="AN201" s="1017"/>
      <c r="AO201" s="1017"/>
      <c r="AP201" s="1017"/>
      <c r="AQ201" s="1017"/>
      <c r="AR201" s="1017"/>
      <c r="AS201" s="1017"/>
      <c r="AT201" s="1017"/>
      <c r="AU201" s="1017"/>
      <c r="AV201" s="1017"/>
      <c r="AW201" s="1017"/>
      <c r="AX201" s="1017"/>
      <c r="AY201" s="1017"/>
      <c r="AZ201" s="1017"/>
      <c r="BA201" s="1017"/>
      <c r="BB201" s="1017"/>
      <c r="BC201" s="1009">
        <f t="shared" si="14"/>
        <v>0</v>
      </c>
      <c r="BD201" s="1041">
        <f t="shared" si="13"/>
        <v>0</v>
      </c>
    </row>
    <row r="202" spans="2:56" s="973" customFormat="1" ht="14.4" x14ac:dyDescent="0.3">
      <c r="B202" s="1030"/>
      <c r="C202" s="1031" t="str">
        <f>SOURCES!C50</f>
        <v>Other:  select from menu</v>
      </c>
      <c r="D202" s="1031"/>
      <c r="E202" s="1013">
        <f>SOURCES!M50</f>
        <v>0</v>
      </c>
      <c r="F202" s="1017"/>
      <c r="G202" s="1017"/>
      <c r="H202" s="1017"/>
      <c r="I202" s="1017"/>
      <c r="J202" s="1017"/>
      <c r="K202" s="1017"/>
      <c r="L202" s="1017"/>
      <c r="M202" s="1017"/>
      <c r="N202" s="1017"/>
      <c r="O202" s="1017"/>
      <c r="P202" s="1017"/>
      <c r="Q202" s="1017"/>
      <c r="R202" s="1017"/>
      <c r="S202" s="1017"/>
      <c r="T202" s="1017"/>
      <c r="U202" s="1017"/>
      <c r="V202" s="1017"/>
      <c r="W202" s="1017"/>
      <c r="X202" s="1017"/>
      <c r="Y202" s="1017"/>
      <c r="Z202" s="1017"/>
      <c r="AA202" s="1017"/>
      <c r="AB202" s="1017"/>
      <c r="AC202" s="1017"/>
      <c r="AD202" s="1017"/>
      <c r="AE202" s="1017"/>
      <c r="AF202" s="1017"/>
      <c r="AG202" s="1017"/>
      <c r="AH202" s="1017"/>
      <c r="AI202" s="1017"/>
      <c r="AJ202" s="1017"/>
      <c r="AK202" s="1017"/>
      <c r="AL202" s="1017"/>
      <c r="AM202" s="1017"/>
      <c r="AN202" s="1017"/>
      <c r="AO202" s="1017"/>
      <c r="AP202" s="1017"/>
      <c r="AQ202" s="1017"/>
      <c r="AR202" s="1017"/>
      <c r="AS202" s="1017"/>
      <c r="AT202" s="1017"/>
      <c r="AU202" s="1017"/>
      <c r="AV202" s="1017"/>
      <c r="AW202" s="1017"/>
      <c r="AX202" s="1017"/>
      <c r="AY202" s="1017"/>
      <c r="AZ202" s="1017"/>
      <c r="BA202" s="1017"/>
      <c r="BB202" s="1017"/>
      <c r="BC202" s="1009">
        <f t="shared" si="14"/>
        <v>0</v>
      </c>
      <c r="BD202" s="1041">
        <f t="shared" si="13"/>
        <v>0</v>
      </c>
    </row>
    <row r="203" spans="2:56" s="973" customFormat="1" ht="14.4" x14ac:dyDescent="0.3">
      <c r="B203" s="1030"/>
      <c r="C203" s="1031" t="str">
        <f>SOURCES!C51</f>
        <v>Other:  select from menu</v>
      </c>
      <c r="D203" s="1031"/>
      <c r="E203" s="1013">
        <f>SOURCES!M51</f>
        <v>0</v>
      </c>
      <c r="F203" s="1017"/>
      <c r="G203" s="1017"/>
      <c r="H203" s="1017"/>
      <c r="I203" s="1017"/>
      <c r="J203" s="1017"/>
      <c r="K203" s="1017"/>
      <c r="L203" s="1017"/>
      <c r="M203" s="1017"/>
      <c r="N203" s="1017"/>
      <c r="O203" s="1017"/>
      <c r="P203" s="1017"/>
      <c r="Q203" s="1017"/>
      <c r="R203" s="1017"/>
      <c r="S203" s="1017"/>
      <c r="T203" s="1017"/>
      <c r="U203" s="1017"/>
      <c r="V203" s="1017"/>
      <c r="W203" s="1017"/>
      <c r="X203" s="1017"/>
      <c r="Y203" s="1017"/>
      <c r="Z203" s="1017"/>
      <c r="AA203" s="1017"/>
      <c r="AB203" s="1017"/>
      <c r="AC203" s="1017"/>
      <c r="AD203" s="1017"/>
      <c r="AE203" s="1017"/>
      <c r="AF203" s="1017"/>
      <c r="AG203" s="1017"/>
      <c r="AH203" s="1017"/>
      <c r="AI203" s="1017"/>
      <c r="AJ203" s="1017"/>
      <c r="AK203" s="1017"/>
      <c r="AL203" s="1017"/>
      <c r="AM203" s="1017"/>
      <c r="AN203" s="1017"/>
      <c r="AO203" s="1017"/>
      <c r="AP203" s="1017"/>
      <c r="AQ203" s="1017"/>
      <c r="AR203" s="1017"/>
      <c r="AS203" s="1017"/>
      <c r="AT203" s="1017"/>
      <c r="AU203" s="1017"/>
      <c r="AV203" s="1017"/>
      <c r="AW203" s="1017"/>
      <c r="AX203" s="1017"/>
      <c r="AY203" s="1017"/>
      <c r="AZ203" s="1017"/>
      <c r="BA203" s="1017"/>
      <c r="BB203" s="1017"/>
      <c r="BC203" s="1009">
        <f t="shared" si="14"/>
        <v>0</v>
      </c>
      <c r="BD203" s="1041">
        <f t="shared" si="13"/>
        <v>0</v>
      </c>
    </row>
    <row r="204" spans="2:56" s="973" customFormat="1" ht="14.4" x14ac:dyDescent="0.3">
      <c r="B204" s="1030"/>
      <c r="C204" s="1031" t="str">
        <f>SOURCES!C58</f>
        <v>Federal Historic Tax Credit Proceeds (from Tax Credit section)</v>
      </c>
      <c r="D204" s="1031"/>
      <c r="E204" s="1013">
        <f>SOURCES!M58</f>
        <v>0</v>
      </c>
      <c r="F204" s="1017"/>
      <c r="G204" s="1017"/>
      <c r="H204" s="1017"/>
      <c r="I204" s="1017"/>
      <c r="J204" s="1017"/>
      <c r="K204" s="1017"/>
      <c r="L204" s="1017"/>
      <c r="M204" s="1017"/>
      <c r="N204" s="1017"/>
      <c r="O204" s="1017"/>
      <c r="P204" s="1017"/>
      <c r="Q204" s="1017"/>
      <c r="R204" s="1017"/>
      <c r="S204" s="1017"/>
      <c r="T204" s="1017"/>
      <c r="U204" s="1017"/>
      <c r="V204" s="1017"/>
      <c r="W204" s="1017"/>
      <c r="X204" s="1017"/>
      <c r="Y204" s="1017"/>
      <c r="Z204" s="1017"/>
      <c r="AA204" s="1017"/>
      <c r="AB204" s="1017"/>
      <c r="AC204" s="1017"/>
      <c r="AD204" s="1017"/>
      <c r="AE204" s="1017"/>
      <c r="AF204" s="1017"/>
      <c r="AG204" s="1017"/>
      <c r="AH204" s="1017"/>
      <c r="AI204" s="1017"/>
      <c r="AJ204" s="1017"/>
      <c r="AK204" s="1017"/>
      <c r="AL204" s="1017"/>
      <c r="AM204" s="1017"/>
      <c r="AN204" s="1017"/>
      <c r="AO204" s="1017"/>
      <c r="AP204" s="1017"/>
      <c r="AQ204" s="1017"/>
      <c r="AR204" s="1017"/>
      <c r="AS204" s="1017"/>
      <c r="AT204" s="1017"/>
      <c r="AU204" s="1017"/>
      <c r="AV204" s="1017"/>
      <c r="AW204" s="1017"/>
      <c r="AX204" s="1017"/>
      <c r="AY204" s="1017"/>
      <c r="AZ204" s="1017"/>
      <c r="BA204" s="1017"/>
      <c r="BB204" s="1017"/>
      <c r="BC204" s="1009">
        <f t="shared" si="14"/>
        <v>0</v>
      </c>
      <c r="BD204" s="1041">
        <f t="shared" si="13"/>
        <v>0</v>
      </c>
    </row>
    <row r="205" spans="2:56" s="973" customFormat="1" ht="14.4" x14ac:dyDescent="0.3">
      <c r="B205" s="1030"/>
      <c r="C205" s="1031" t="str">
        <f>SOURCES!C59</f>
        <v>State Historic Tax Credit Proceeds (from Tax Credit section)</v>
      </c>
      <c r="D205" s="1031"/>
      <c r="E205" s="1013">
        <f>SOURCES!M59</f>
        <v>0</v>
      </c>
      <c r="F205" s="1017"/>
      <c r="G205" s="1017"/>
      <c r="H205" s="1017"/>
      <c r="I205" s="1017"/>
      <c r="J205" s="1017"/>
      <c r="K205" s="1017"/>
      <c r="L205" s="1017"/>
      <c r="M205" s="1017"/>
      <c r="N205" s="1017"/>
      <c r="O205" s="1017"/>
      <c r="P205" s="1017"/>
      <c r="Q205" s="1017"/>
      <c r="R205" s="1017"/>
      <c r="S205" s="1017"/>
      <c r="T205" s="1017"/>
      <c r="U205" s="1017"/>
      <c r="V205" s="1017"/>
      <c r="W205" s="1017"/>
      <c r="X205" s="1017"/>
      <c r="Y205" s="1017"/>
      <c r="Z205" s="1017"/>
      <c r="AA205" s="1017"/>
      <c r="AB205" s="1017"/>
      <c r="AC205" s="1017"/>
      <c r="AD205" s="1017"/>
      <c r="AE205" s="1017"/>
      <c r="AF205" s="1017"/>
      <c r="AG205" s="1017"/>
      <c r="AH205" s="1017"/>
      <c r="AI205" s="1017"/>
      <c r="AJ205" s="1017"/>
      <c r="AK205" s="1017"/>
      <c r="AL205" s="1017"/>
      <c r="AM205" s="1017"/>
      <c r="AN205" s="1017"/>
      <c r="AO205" s="1017"/>
      <c r="AP205" s="1017"/>
      <c r="AQ205" s="1017"/>
      <c r="AR205" s="1017"/>
      <c r="AS205" s="1017"/>
      <c r="AT205" s="1017"/>
      <c r="AU205" s="1017"/>
      <c r="AV205" s="1017"/>
      <c r="AW205" s="1017"/>
      <c r="AX205" s="1017"/>
      <c r="AY205" s="1017"/>
      <c r="AZ205" s="1017"/>
      <c r="BA205" s="1017"/>
      <c r="BB205" s="1017"/>
      <c r="BC205" s="1009">
        <f t="shared" si="14"/>
        <v>0</v>
      </c>
      <c r="BD205" s="1041">
        <f t="shared" si="13"/>
        <v>0</v>
      </c>
    </row>
    <row r="206" spans="2:56" s="973" customFormat="1" ht="14.4" x14ac:dyDescent="0.3">
      <c r="B206" s="1030"/>
      <c r="C206" s="1031" t="str">
        <f>SOURCES!C60</f>
        <v>Low Income Housing Tax Credit Proceeds (from Tax Credit section)</v>
      </c>
      <c r="D206" s="1031"/>
      <c r="E206" s="1013" t="str">
        <f>SOURCES!M60</f>
        <v/>
      </c>
      <c r="F206" s="1017"/>
      <c r="G206" s="1017"/>
      <c r="H206" s="1017"/>
      <c r="I206" s="1017"/>
      <c r="J206" s="1017"/>
      <c r="K206" s="1017"/>
      <c r="L206" s="1017"/>
      <c r="M206" s="1017"/>
      <c r="N206" s="1017"/>
      <c r="O206" s="1017"/>
      <c r="P206" s="1017"/>
      <c r="Q206" s="1017"/>
      <c r="R206" s="1017"/>
      <c r="S206" s="1017"/>
      <c r="T206" s="1017"/>
      <c r="U206" s="1017"/>
      <c r="V206" s="1017"/>
      <c r="W206" s="1017"/>
      <c r="X206" s="1017"/>
      <c r="Y206" s="1017"/>
      <c r="Z206" s="1017"/>
      <c r="AA206" s="1017"/>
      <c r="AB206" s="1017"/>
      <c r="AC206" s="1017"/>
      <c r="AD206" s="1017"/>
      <c r="AE206" s="1017"/>
      <c r="AF206" s="1017"/>
      <c r="AG206" s="1017"/>
      <c r="AH206" s="1017"/>
      <c r="AI206" s="1017"/>
      <c r="AJ206" s="1017"/>
      <c r="AK206" s="1017"/>
      <c r="AL206" s="1017"/>
      <c r="AM206" s="1017"/>
      <c r="AN206" s="1017"/>
      <c r="AO206" s="1017"/>
      <c r="AP206" s="1017"/>
      <c r="AQ206" s="1017"/>
      <c r="AR206" s="1017"/>
      <c r="AS206" s="1017"/>
      <c r="AT206" s="1017"/>
      <c r="AU206" s="1017"/>
      <c r="AV206" s="1017"/>
      <c r="AW206" s="1017"/>
      <c r="AX206" s="1017"/>
      <c r="AY206" s="1017"/>
      <c r="AZ206" s="1017"/>
      <c r="BA206" s="1017"/>
      <c r="BB206" s="1017"/>
      <c r="BC206" s="1009">
        <f t="shared" si="14"/>
        <v>0</v>
      </c>
      <c r="BD206" s="1041" t="e">
        <f t="shared" si="13"/>
        <v>#VALUE!</v>
      </c>
    </row>
    <row r="207" spans="2:56" s="973" customFormat="1" ht="14.4" x14ac:dyDescent="0.3">
      <c r="B207" s="1030"/>
      <c r="C207" s="1031" t="str">
        <f>SOURCES!C61</f>
        <v>Deferred Developer Fee</v>
      </c>
      <c r="D207" s="1031"/>
      <c r="E207" s="1013">
        <f>SOURCES!M61</f>
        <v>0</v>
      </c>
      <c r="F207" s="1017"/>
      <c r="G207" s="1017"/>
      <c r="H207" s="1017"/>
      <c r="I207" s="1017"/>
      <c r="J207" s="1017"/>
      <c r="K207" s="1017"/>
      <c r="L207" s="1017"/>
      <c r="M207" s="1017"/>
      <c r="N207" s="1017"/>
      <c r="O207" s="1017"/>
      <c r="P207" s="1017"/>
      <c r="Q207" s="1017"/>
      <c r="R207" s="1017"/>
      <c r="S207" s="1017"/>
      <c r="T207" s="1017"/>
      <c r="U207" s="1017"/>
      <c r="V207" s="1017"/>
      <c r="W207" s="1017"/>
      <c r="X207" s="1017"/>
      <c r="Y207" s="1017"/>
      <c r="Z207" s="1017"/>
      <c r="AA207" s="1017"/>
      <c r="AB207" s="1017"/>
      <c r="AC207" s="1017"/>
      <c r="AD207" s="1017"/>
      <c r="AE207" s="1017"/>
      <c r="AF207" s="1017"/>
      <c r="AG207" s="1017"/>
      <c r="AH207" s="1017"/>
      <c r="AI207" s="1017"/>
      <c r="AJ207" s="1017"/>
      <c r="AK207" s="1017"/>
      <c r="AL207" s="1017"/>
      <c r="AM207" s="1017"/>
      <c r="AN207" s="1017"/>
      <c r="AO207" s="1017"/>
      <c r="AP207" s="1017"/>
      <c r="AQ207" s="1017"/>
      <c r="AR207" s="1017"/>
      <c r="AS207" s="1017"/>
      <c r="AT207" s="1017"/>
      <c r="AU207" s="1017"/>
      <c r="AV207" s="1017"/>
      <c r="AW207" s="1017"/>
      <c r="AX207" s="1017"/>
      <c r="AY207" s="1017"/>
      <c r="AZ207" s="1017"/>
      <c r="BA207" s="1017"/>
      <c r="BB207" s="1017"/>
      <c r="BC207" s="1009">
        <f t="shared" si="14"/>
        <v>0</v>
      </c>
      <c r="BD207" s="1041">
        <f t="shared" si="13"/>
        <v>0</v>
      </c>
    </row>
    <row r="208" spans="2:56" s="973" customFormat="1" ht="14.4" x14ac:dyDescent="0.3">
      <c r="B208" s="1030"/>
      <c r="C208" s="1031" t="str">
        <f>SOURCES!C62</f>
        <v xml:space="preserve">Developer Equity </v>
      </c>
      <c r="D208" s="1031"/>
      <c r="E208" s="1013">
        <f>SOURCES!M62</f>
        <v>0</v>
      </c>
      <c r="F208" s="1017"/>
      <c r="G208" s="1017"/>
      <c r="H208" s="1017"/>
      <c r="I208" s="1017"/>
      <c r="J208" s="1017"/>
      <c r="K208" s="1017"/>
      <c r="L208" s="1017"/>
      <c r="M208" s="1017"/>
      <c r="N208" s="1017"/>
      <c r="O208" s="1017"/>
      <c r="P208" s="1017"/>
      <c r="Q208" s="1017"/>
      <c r="R208" s="1017"/>
      <c r="S208" s="1017"/>
      <c r="T208" s="1017"/>
      <c r="U208" s="1017"/>
      <c r="V208" s="1017"/>
      <c r="W208" s="1017"/>
      <c r="X208" s="1017"/>
      <c r="Y208" s="1017"/>
      <c r="Z208" s="1017"/>
      <c r="AA208" s="1017"/>
      <c r="AB208" s="1017"/>
      <c r="AC208" s="1017"/>
      <c r="AD208" s="1017"/>
      <c r="AE208" s="1017"/>
      <c r="AF208" s="1017"/>
      <c r="AG208" s="1017"/>
      <c r="AH208" s="1017"/>
      <c r="AI208" s="1017"/>
      <c r="AJ208" s="1017"/>
      <c r="AK208" s="1017"/>
      <c r="AL208" s="1017"/>
      <c r="AM208" s="1017"/>
      <c r="AN208" s="1017"/>
      <c r="AO208" s="1017"/>
      <c r="AP208" s="1017"/>
      <c r="AQ208" s="1017"/>
      <c r="AR208" s="1017"/>
      <c r="AS208" s="1017"/>
      <c r="AT208" s="1017"/>
      <c r="AU208" s="1017"/>
      <c r="AV208" s="1017"/>
      <c r="AW208" s="1017"/>
      <c r="AX208" s="1017"/>
      <c r="AY208" s="1017"/>
      <c r="AZ208" s="1017"/>
      <c r="BA208" s="1017"/>
      <c r="BB208" s="1017"/>
      <c r="BC208" s="1009">
        <f t="shared" si="14"/>
        <v>0</v>
      </c>
      <c r="BD208" s="1041">
        <f t="shared" si="13"/>
        <v>0</v>
      </c>
    </row>
    <row r="209" spans="2:62" s="973" customFormat="1" ht="14.4" x14ac:dyDescent="0.3">
      <c r="B209" s="1030"/>
      <c r="C209" s="1031" t="str">
        <f>SOURCES!C63</f>
        <v xml:space="preserve">Interim Income </v>
      </c>
      <c r="D209" s="1031"/>
      <c r="E209" s="1013">
        <f>SOURCES!M63</f>
        <v>0</v>
      </c>
      <c r="F209" s="1017"/>
      <c r="G209" s="1017"/>
      <c r="H209" s="1017"/>
      <c r="I209" s="1017"/>
      <c r="J209" s="1017"/>
      <c r="K209" s="1017"/>
      <c r="L209" s="1017"/>
      <c r="M209" s="1017"/>
      <c r="N209" s="1017"/>
      <c r="O209" s="1017"/>
      <c r="P209" s="1017"/>
      <c r="Q209" s="1017"/>
      <c r="R209" s="1017"/>
      <c r="S209" s="1017"/>
      <c r="T209" s="1017"/>
      <c r="U209" s="1017"/>
      <c r="V209" s="1017"/>
      <c r="W209" s="1017"/>
      <c r="X209" s="1017"/>
      <c r="Y209" s="1017"/>
      <c r="Z209" s="1017"/>
      <c r="AA209" s="1017"/>
      <c r="AB209" s="1017"/>
      <c r="AC209" s="1017"/>
      <c r="AD209" s="1017"/>
      <c r="AE209" s="1017"/>
      <c r="AF209" s="1017"/>
      <c r="AG209" s="1017"/>
      <c r="AH209" s="1017"/>
      <c r="AI209" s="1017"/>
      <c r="AJ209" s="1017"/>
      <c r="AK209" s="1017"/>
      <c r="AL209" s="1017"/>
      <c r="AM209" s="1017"/>
      <c r="AN209" s="1017"/>
      <c r="AO209" s="1017"/>
      <c r="AP209" s="1017"/>
      <c r="AQ209" s="1017"/>
      <c r="AR209" s="1017"/>
      <c r="AS209" s="1017"/>
      <c r="AT209" s="1017"/>
      <c r="AU209" s="1017"/>
      <c r="AV209" s="1017"/>
      <c r="AW209" s="1017"/>
      <c r="AX209" s="1017"/>
      <c r="AY209" s="1017"/>
      <c r="AZ209" s="1017"/>
      <c r="BA209" s="1017"/>
      <c r="BB209" s="1017"/>
      <c r="BC209" s="1009">
        <f t="shared" si="14"/>
        <v>0</v>
      </c>
      <c r="BD209" s="1041">
        <f t="shared" si="13"/>
        <v>0</v>
      </c>
    </row>
    <row r="210" spans="2:62" s="973" customFormat="1" ht="14.4" x14ac:dyDescent="0.3">
      <c r="B210" s="1010"/>
      <c r="C210" s="1011" t="str">
        <f>SOURCES!C64</f>
        <v>Other:</v>
      </c>
      <c r="D210" s="1014" t="str">
        <f>SOURCES!D64</f>
        <v>Energy Credits</v>
      </c>
      <c r="E210" s="1013">
        <f>SOURCES!M64</f>
        <v>0</v>
      </c>
      <c r="F210" s="1017"/>
      <c r="G210" s="1017"/>
      <c r="H210" s="1017"/>
      <c r="I210" s="1017"/>
      <c r="J210" s="1017"/>
      <c r="K210" s="1017"/>
      <c r="L210" s="1017"/>
      <c r="M210" s="1017"/>
      <c r="N210" s="1017"/>
      <c r="O210" s="1017"/>
      <c r="P210" s="1017"/>
      <c r="Q210" s="1017"/>
      <c r="R210" s="1017"/>
      <c r="S210" s="1017"/>
      <c r="T210" s="1017"/>
      <c r="U210" s="1017"/>
      <c r="V210" s="1017"/>
      <c r="W210" s="1017"/>
      <c r="X210" s="1017"/>
      <c r="Y210" s="1017"/>
      <c r="Z210" s="1017"/>
      <c r="AA210" s="1017"/>
      <c r="AB210" s="1017"/>
      <c r="AC210" s="1017"/>
      <c r="AD210" s="1017"/>
      <c r="AE210" s="1017"/>
      <c r="AF210" s="1017"/>
      <c r="AG210" s="1017"/>
      <c r="AH210" s="1017"/>
      <c r="AI210" s="1017"/>
      <c r="AJ210" s="1017"/>
      <c r="AK210" s="1017"/>
      <c r="AL210" s="1017"/>
      <c r="AM210" s="1017"/>
      <c r="AN210" s="1017"/>
      <c r="AO210" s="1017"/>
      <c r="AP210" s="1017"/>
      <c r="AQ210" s="1017"/>
      <c r="AR210" s="1017"/>
      <c r="AS210" s="1017"/>
      <c r="AT210" s="1017"/>
      <c r="AU210" s="1017"/>
      <c r="AV210" s="1017"/>
      <c r="AW210" s="1017"/>
      <c r="AX210" s="1017"/>
      <c r="AY210" s="1017"/>
      <c r="AZ210" s="1017"/>
      <c r="BA210" s="1017"/>
      <c r="BB210" s="1017"/>
      <c r="BC210" s="1009">
        <f t="shared" si="14"/>
        <v>0</v>
      </c>
      <c r="BD210" s="1041">
        <f t="shared" si="13"/>
        <v>0</v>
      </c>
    </row>
    <row r="211" spans="2:62" s="973" customFormat="1" ht="14.4" x14ac:dyDescent="0.3">
      <c r="B211" s="1010"/>
      <c r="C211" s="1011" t="str">
        <f>SOURCES!C65</f>
        <v>Other:</v>
      </c>
      <c r="D211" s="1033" t="str">
        <f>SOURCES!D65</f>
        <v>Bond Investment Income</v>
      </c>
      <c r="E211" s="1013">
        <f>SOURCES!M65</f>
        <v>0</v>
      </c>
      <c r="F211" s="1017"/>
      <c r="G211" s="1017"/>
      <c r="H211" s="1017"/>
      <c r="I211" s="1017"/>
      <c r="J211" s="1017"/>
      <c r="K211" s="1017"/>
      <c r="L211" s="1017"/>
      <c r="M211" s="1017"/>
      <c r="N211" s="1017"/>
      <c r="O211" s="1017"/>
      <c r="P211" s="1017"/>
      <c r="Q211" s="1017"/>
      <c r="R211" s="1017"/>
      <c r="S211" s="1017"/>
      <c r="T211" s="1017"/>
      <c r="U211" s="1017"/>
      <c r="V211" s="1017"/>
      <c r="W211" s="1017"/>
      <c r="X211" s="1017"/>
      <c r="Y211" s="1017"/>
      <c r="Z211" s="1017"/>
      <c r="AA211" s="1017"/>
      <c r="AB211" s="1017"/>
      <c r="AC211" s="1017"/>
      <c r="AD211" s="1017"/>
      <c r="AE211" s="1017"/>
      <c r="AF211" s="1017"/>
      <c r="AG211" s="1017"/>
      <c r="AH211" s="1017"/>
      <c r="AI211" s="1017"/>
      <c r="AJ211" s="1017"/>
      <c r="AK211" s="1017"/>
      <c r="AL211" s="1017"/>
      <c r="AM211" s="1017"/>
      <c r="AN211" s="1017"/>
      <c r="AO211" s="1017"/>
      <c r="AP211" s="1017"/>
      <c r="AQ211" s="1017"/>
      <c r="AR211" s="1017"/>
      <c r="AS211" s="1017"/>
      <c r="AT211" s="1017"/>
      <c r="AU211" s="1017"/>
      <c r="AV211" s="1017"/>
      <c r="AW211" s="1017"/>
      <c r="AX211" s="1017"/>
      <c r="AY211" s="1017"/>
      <c r="AZ211" s="1017"/>
      <c r="BA211" s="1017"/>
      <c r="BB211" s="1017"/>
      <c r="BC211" s="1009">
        <f t="shared" si="14"/>
        <v>0</v>
      </c>
      <c r="BD211" s="1041">
        <f t="shared" si="13"/>
        <v>0</v>
      </c>
    </row>
    <row r="212" spans="2:62" s="973" customFormat="1" ht="14.4" x14ac:dyDescent="0.3">
      <c r="B212" s="1010"/>
      <c r="C212" s="1011" t="str">
        <f>SOURCES!C66</f>
        <v>Other:</v>
      </c>
      <c r="D212" s="1014"/>
      <c r="E212" s="1013">
        <f>SOURCES!M66</f>
        <v>0</v>
      </c>
      <c r="F212" s="1017"/>
      <c r="G212" s="1017"/>
      <c r="H212" s="1017"/>
      <c r="I212" s="1017"/>
      <c r="J212" s="1017"/>
      <c r="K212" s="1017"/>
      <c r="L212" s="1017"/>
      <c r="M212" s="1017"/>
      <c r="N212" s="1017"/>
      <c r="O212" s="1017"/>
      <c r="P212" s="1017"/>
      <c r="Q212" s="1017"/>
      <c r="R212" s="1017"/>
      <c r="S212" s="1017"/>
      <c r="T212" s="1017"/>
      <c r="U212" s="1017"/>
      <c r="V212" s="1017"/>
      <c r="W212" s="1017"/>
      <c r="X212" s="1017"/>
      <c r="Y212" s="1017"/>
      <c r="Z212" s="1017"/>
      <c r="AA212" s="1017"/>
      <c r="AB212" s="1017"/>
      <c r="AC212" s="1017"/>
      <c r="AD212" s="1017"/>
      <c r="AE212" s="1017"/>
      <c r="AF212" s="1017"/>
      <c r="AG212" s="1017"/>
      <c r="AH212" s="1017"/>
      <c r="AI212" s="1017"/>
      <c r="AJ212" s="1017"/>
      <c r="AK212" s="1017"/>
      <c r="AL212" s="1017"/>
      <c r="AM212" s="1017"/>
      <c r="AN212" s="1017"/>
      <c r="AO212" s="1017"/>
      <c r="AP212" s="1017"/>
      <c r="AQ212" s="1017"/>
      <c r="AR212" s="1017"/>
      <c r="AS212" s="1017"/>
      <c r="AT212" s="1017"/>
      <c r="AU212" s="1017"/>
      <c r="AV212" s="1017"/>
      <c r="AW212" s="1017"/>
      <c r="AX212" s="1017"/>
      <c r="AY212" s="1017"/>
      <c r="AZ212" s="1017"/>
      <c r="BA212" s="1017"/>
      <c r="BB212" s="1017"/>
      <c r="BC212" s="1009">
        <f t="shared" si="14"/>
        <v>0</v>
      </c>
      <c r="BD212" s="1041">
        <f t="shared" si="13"/>
        <v>0</v>
      </c>
    </row>
    <row r="213" spans="2:62" s="973" customFormat="1" ht="14.4" x14ac:dyDescent="0.3">
      <c r="B213" s="1030"/>
      <c r="C213" s="1031" t="str">
        <f>SOURCES!C67</f>
        <v>Other:  select from menu</v>
      </c>
      <c r="D213" s="1031"/>
      <c r="E213" s="1013">
        <f>SOURCES!M67</f>
        <v>0</v>
      </c>
      <c r="F213" s="1017"/>
      <c r="G213" s="1017"/>
      <c r="H213" s="1017"/>
      <c r="I213" s="1017"/>
      <c r="J213" s="1017"/>
      <c r="K213" s="1017"/>
      <c r="L213" s="1017"/>
      <c r="M213" s="1017"/>
      <c r="N213" s="1017"/>
      <c r="O213" s="1017"/>
      <c r="P213" s="1017"/>
      <c r="Q213" s="1017"/>
      <c r="R213" s="1017"/>
      <c r="S213" s="1017"/>
      <c r="T213" s="1017"/>
      <c r="U213" s="1017"/>
      <c r="V213" s="1017"/>
      <c r="W213" s="1017"/>
      <c r="X213" s="1017"/>
      <c r="Y213" s="1017"/>
      <c r="Z213" s="1017"/>
      <c r="AA213" s="1017"/>
      <c r="AB213" s="1017"/>
      <c r="AC213" s="1017"/>
      <c r="AD213" s="1017"/>
      <c r="AE213" s="1017"/>
      <c r="AF213" s="1017"/>
      <c r="AG213" s="1017"/>
      <c r="AH213" s="1017"/>
      <c r="AI213" s="1017"/>
      <c r="AJ213" s="1017"/>
      <c r="AK213" s="1017"/>
      <c r="AL213" s="1017"/>
      <c r="AM213" s="1017"/>
      <c r="AN213" s="1017"/>
      <c r="AO213" s="1017"/>
      <c r="AP213" s="1017"/>
      <c r="AQ213" s="1017"/>
      <c r="AR213" s="1017"/>
      <c r="AS213" s="1017"/>
      <c r="AT213" s="1017"/>
      <c r="AU213" s="1017"/>
      <c r="AV213" s="1017"/>
      <c r="AW213" s="1017"/>
      <c r="AX213" s="1017"/>
      <c r="AY213" s="1017"/>
      <c r="AZ213" s="1017"/>
      <c r="BA213" s="1017"/>
      <c r="BB213" s="1017"/>
      <c r="BC213" s="1009">
        <f t="shared" si="14"/>
        <v>0</v>
      </c>
      <c r="BD213" s="1041">
        <f t="shared" si="13"/>
        <v>0</v>
      </c>
    </row>
    <row r="214" spans="2:62" s="973" customFormat="1" ht="14.4" x14ac:dyDescent="0.3">
      <c r="B214" s="1030"/>
      <c r="C214" s="1031" t="str">
        <f>SOURCES!C68</f>
        <v>Other:  select from menu</v>
      </c>
      <c r="D214" s="1031"/>
      <c r="E214" s="1013">
        <f>SOURCES!M68</f>
        <v>0</v>
      </c>
      <c r="F214" s="1017"/>
      <c r="G214" s="1017"/>
      <c r="H214" s="1017"/>
      <c r="I214" s="1017"/>
      <c r="J214" s="1017"/>
      <c r="K214" s="1017"/>
      <c r="L214" s="1017"/>
      <c r="M214" s="1017"/>
      <c r="N214" s="1017"/>
      <c r="O214" s="1017"/>
      <c r="P214" s="1017"/>
      <c r="Q214" s="1017"/>
      <c r="R214" s="1017"/>
      <c r="S214" s="1017"/>
      <c r="T214" s="1017"/>
      <c r="U214" s="1017"/>
      <c r="V214" s="1017"/>
      <c r="W214" s="1017"/>
      <c r="X214" s="1017"/>
      <c r="Y214" s="1017"/>
      <c r="Z214" s="1017"/>
      <c r="AA214" s="1017"/>
      <c r="AB214" s="1017"/>
      <c r="AC214" s="1017"/>
      <c r="AD214" s="1017"/>
      <c r="AE214" s="1017"/>
      <c r="AF214" s="1017"/>
      <c r="AG214" s="1017"/>
      <c r="AH214" s="1017"/>
      <c r="AI214" s="1017"/>
      <c r="AJ214" s="1017"/>
      <c r="AK214" s="1017"/>
      <c r="AL214" s="1017"/>
      <c r="AM214" s="1017"/>
      <c r="AN214" s="1017"/>
      <c r="AO214" s="1017"/>
      <c r="AP214" s="1017"/>
      <c r="AQ214" s="1017"/>
      <c r="AR214" s="1017"/>
      <c r="AS214" s="1017"/>
      <c r="AT214" s="1017"/>
      <c r="AU214" s="1017"/>
      <c r="AV214" s="1017"/>
      <c r="AW214" s="1017"/>
      <c r="AX214" s="1017"/>
      <c r="AY214" s="1017"/>
      <c r="AZ214" s="1017"/>
      <c r="BA214" s="1017"/>
      <c r="BB214" s="1017"/>
      <c r="BC214" s="1009">
        <f t="shared" si="14"/>
        <v>0</v>
      </c>
      <c r="BD214" s="1041">
        <f t="shared" si="13"/>
        <v>0</v>
      </c>
    </row>
    <row r="215" spans="2:62" s="973" customFormat="1" ht="14.4" x14ac:dyDescent="0.3">
      <c r="B215" s="1030"/>
      <c r="C215" s="1031" t="str">
        <f>SOURCES!C69</f>
        <v>Other:  select from menu</v>
      </c>
      <c r="D215" s="1031"/>
      <c r="E215" s="1013">
        <f>SOURCES!M69</f>
        <v>0</v>
      </c>
      <c r="F215" s="1017"/>
      <c r="G215" s="1017"/>
      <c r="H215" s="1017"/>
      <c r="I215" s="1017"/>
      <c r="J215" s="1017"/>
      <c r="K215" s="1017"/>
      <c r="L215" s="1017"/>
      <c r="M215" s="1017"/>
      <c r="N215" s="1017"/>
      <c r="O215" s="1017"/>
      <c r="P215" s="1017"/>
      <c r="Q215" s="1017"/>
      <c r="R215" s="1017"/>
      <c r="S215" s="1017"/>
      <c r="T215" s="1017"/>
      <c r="U215" s="1017"/>
      <c r="V215" s="1017"/>
      <c r="W215" s="1017"/>
      <c r="X215" s="1017"/>
      <c r="Y215" s="1017"/>
      <c r="Z215" s="1017"/>
      <c r="AA215" s="1017"/>
      <c r="AB215" s="1017"/>
      <c r="AC215" s="1017"/>
      <c r="AD215" s="1017"/>
      <c r="AE215" s="1017"/>
      <c r="AF215" s="1017"/>
      <c r="AG215" s="1017"/>
      <c r="AH215" s="1017"/>
      <c r="AI215" s="1017"/>
      <c r="AJ215" s="1017"/>
      <c r="AK215" s="1017"/>
      <c r="AL215" s="1017"/>
      <c r="AM215" s="1017"/>
      <c r="AN215" s="1017"/>
      <c r="AO215" s="1017"/>
      <c r="AP215" s="1017"/>
      <c r="AQ215" s="1017"/>
      <c r="AR215" s="1017"/>
      <c r="AS215" s="1017"/>
      <c r="AT215" s="1017"/>
      <c r="AU215" s="1017"/>
      <c r="AV215" s="1017"/>
      <c r="AW215" s="1017"/>
      <c r="AX215" s="1017"/>
      <c r="AY215" s="1017"/>
      <c r="AZ215" s="1017"/>
      <c r="BA215" s="1017"/>
      <c r="BB215" s="1017"/>
      <c r="BC215" s="1009">
        <f t="shared" si="14"/>
        <v>0</v>
      </c>
      <c r="BD215" s="1041">
        <f t="shared" si="13"/>
        <v>0</v>
      </c>
    </row>
    <row r="216" spans="2:62" s="973" customFormat="1" ht="14.4" x14ac:dyDescent="0.3">
      <c r="B216" s="1030"/>
      <c r="C216" s="1031" t="str">
        <f>SOURCES!C70</f>
        <v>Other:  select from menu</v>
      </c>
      <c r="D216" s="1031"/>
      <c r="E216" s="1013">
        <f>SOURCES!M70</f>
        <v>0</v>
      </c>
      <c r="F216" s="1017"/>
      <c r="G216" s="1017"/>
      <c r="H216" s="1017"/>
      <c r="I216" s="1017"/>
      <c r="J216" s="1017"/>
      <c r="K216" s="1017"/>
      <c r="L216" s="1017"/>
      <c r="M216" s="1017"/>
      <c r="N216" s="1017"/>
      <c r="O216" s="1017"/>
      <c r="P216" s="1017"/>
      <c r="Q216" s="1017"/>
      <c r="R216" s="1017"/>
      <c r="S216" s="1017"/>
      <c r="T216" s="1017"/>
      <c r="U216" s="1017"/>
      <c r="V216" s="1017"/>
      <c r="W216" s="1017"/>
      <c r="X216" s="1017"/>
      <c r="Y216" s="1017"/>
      <c r="Z216" s="1017"/>
      <c r="AA216" s="1017"/>
      <c r="AB216" s="1017"/>
      <c r="AC216" s="1017"/>
      <c r="AD216" s="1017"/>
      <c r="AE216" s="1017"/>
      <c r="AF216" s="1017"/>
      <c r="AG216" s="1017"/>
      <c r="AH216" s="1017"/>
      <c r="AI216" s="1017"/>
      <c r="AJ216" s="1017"/>
      <c r="AK216" s="1017"/>
      <c r="AL216" s="1017"/>
      <c r="AM216" s="1017"/>
      <c r="AN216" s="1017"/>
      <c r="AO216" s="1017"/>
      <c r="AP216" s="1017"/>
      <c r="AQ216" s="1017"/>
      <c r="AR216" s="1017"/>
      <c r="AS216" s="1017"/>
      <c r="AT216" s="1017"/>
      <c r="AU216" s="1017"/>
      <c r="AV216" s="1017"/>
      <c r="AW216" s="1017"/>
      <c r="AX216" s="1017"/>
      <c r="AY216" s="1017"/>
      <c r="AZ216" s="1017"/>
      <c r="BA216" s="1017"/>
      <c r="BB216" s="1017"/>
      <c r="BC216" s="1009">
        <f t="shared" si="14"/>
        <v>0</v>
      </c>
      <c r="BD216" s="1041">
        <f t="shared" si="13"/>
        <v>0</v>
      </c>
    </row>
    <row r="217" spans="2:62" s="973" customFormat="1" ht="14.4" x14ac:dyDescent="0.3">
      <c r="B217" s="1030"/>
      <c r="C217" s="1031" t="str">
        <f>SOURCES!C71</f>
        <v>Other:  select from menu</v>
      </c>
      <c r="D217" s="1031"/>
      <c r="E217" s="1013">
        <f>SOURCES!M71</f>
        <v>0</v>
      </c>
      <c r="F217" s="1017"/>
      <c r="G217" s="1017"/>
      <c r="H217" s="1017"/>
      <c r="I217" s="1017"/>
      <c r="J217" s="1017"/>
      <c r="K217" s="1017"/>
      <c r="L217" s="1017"/>
      <c r="M217" s="1017"/>
      <c r="N217" s="1017"/>
      <c r="O217" s="1017"/>
      <c r="P217" s="1017"/>
      <c r="Q217" s="1017"/>
      <c r="R217" s="1017"/>
      <c r="S217" s="1017"/>
      <c r="T217" s="1017"/>
      <c r="U217" s="1017"/>
      <c r="V217" s="1017"/>
      <c r="W217" s="1017"/>
      <c r="X217" s="1017"/>
      <c r="Y217" s="1017"/>
      <c r="Z217" s="1017"/>
      <c r="AA217" s="1017"/>
      <c r="AB217" s="1017"/>
      <c r="AC217" s="1017"/>
      <c r="AD217" s="1017"/>
      <c r="AE217" s="1017"/>
      <c r="AF217" s="1017"/>
      <c r="AG217" s="1017"/>
      <c r="AH217" s="1017"/>
      <c r="AI217" s="1017"/>
      <c r="AJ217" s="1017"/>
      <c r="AK217" s="1017"/>
      <c r="AL217" s="1017"/>
      <c r="AM217" s="1017"/>
      <c r="AN217" s="1017"/>
      <c r="AO217" s="1017"/>
      <c r="AP217" s="1017"/>
      <c r="AQ217" s="1017"/>
      <c r="AR217" s="1017"/>
      <c r="AS217" s="1017"/>
      <c r="AT217" s="1017"/>
      <c r="AU217" s="1017"/>
      <c r="AV217" s="1017"/>
      <c r="AW217" s="1017"/>
      <c r="AX217" s="1017"/>
      <c r="AY217" s="1017"/>
      <c r="AZ217" s="1017"/>
      <c r="BA217" s="1017"/>
      <c r="BB217" s="1017"/>
      <c r="BC217" s="1009">
        <f t="shared" si="14"/>
        <v>0</v>
      </c>
      <c r="BD217" s="1041">
        <f t="shared" si="13"/>
        <v>0</v>
      </c>
    </row>
    <row r="218" spans="2:62" s="973" customFormat="1" ht="14.4" x14ac:dyDescent="0.3">
      <c r="B218" s="1030"/>
      <c r="C218" s="1031" t="str">
        <f>SOURCES!C72</f>
        <v>Other:  select from menu</v>
      </c>
      <c r="D218" s="1031"/>
      <c r="E218" s="1013">
        <f>SOURCES!M72</f>
        <v>0</v>
      </c>
      <c r="F218" s="1017"/>
      <c r="G218" s="1017"/>
      <c r="H218" s="1017"/>
      <c r="I218" s="1017"/>
      <c r="J218" s="1017"/>
      <c r="K218" s="1017"/>
      <c r="L218" s="1017"/>
      <c r="M218" s="1017"/>
      <c r="N218" s="1017"/>
      <c r="O218" s="1017"/>
      <c r="P218" s="1017"/>
      <c r="Q218" s="1017"/>
      <c r="R218" s="1017"/>
      <c r="S218" s="1017"/>
      <c r="T218" s="1017"/>
      <c r="U218" s="1017"/>
      <c r="V218" s="1017"/>
      <c r="W218" s="1017"/>
      <c r="X218" s="1017"/>
      <c r="Y218" s="1017"/>
      <c r="Z218" s="1017"/>
      <c r="AA218" s="1017"/>
      <c r="AB218" s="1017"/>
      <c r="AC218" s="1017"/>
      <c r="AD218" s="1017"/>
      <c r="AE218" s="1017"/>
      <c r="AF218" s="1017"/>
      <c r="AG218" s="1017"/>
      <c r="AH218" s="1017"/>
      <c r="AI218" s="1017"/>
      <c r="AJ218" s="1017"/>
      <c r="AK218" s="1017"/>
      <c r="AL218" s="1017"/>
      <c r="AM218" s="1017"/>
      <c r="AN218" s="1017"/>
      <c r="AO218" s="1017"/>
      <c r="AP218" s="1017"/>
      <c r="AQ218" s="1017"/>
      <c r="AR218" s="1017"/>
      <c r="AS218" s="1017"/>
      <c r="AT218" s="1017"/>
      <c r="AU218" s="1017"/>
      <c r="AV218" s="1017"/>
      <c r="AW218" s="1017"/>
      <c r="AX218" s="1017"/>
      <c r="AY218" s="1017"/>
      <c r="AZ218" s="1017"/>
      <c r="BA218" s="1017"/>
      <c r="BB218" s="1017"/>
      <c r="BC218" s="1009">
        <f t="shared" si="14"/>
        <v>0</v>
      </c>
      <c r="BD218" s="1041">
        <f t="shared" si="13"/>
        <v>0</v>
      </c>
    </row>
    <row r="219" spans="2:62" s="973" customFormat="1" ht="14.4" x14ac:dyDescent="0.3">
      <c r="B219" s="1030"/>
      <c r="C219" s="1031" t="str">
        <f>SOURCES!C73</f>
        <v>Other:  select from menu</v>
      </c>
      <c r="D219" s="1031"/>
      <c r="E219" s="1013">
        <f>SOURCES!M73</f>
        <v>0</v>
      </c>
      <c r="F219" s="1017"/>
      <c r="G219" s="1017"/>
      <c r="H219" s="1017"/>
      <c r="I219" s="1017"/>
      <c r="J219" s="1017"/>
      <c r="K219" s="1017"/>
      <c r="L219" s="1017"/>
      <c r="M219" s="1017"/>
      <c r="N219" s="1017"/>
      <c r="O219" s="1017"/>
      <c r="P219" s="1017"/>
      <c r="Q219" s="1017"/>
      <c r="R219" s="1017"/>
      <c r="S219" s="1017"/>
      <c r="T219" s="1017"/>
      <c r="U219" s="1017"/>
      <c r="V219" s="1017"/>
      <c r="W219" s="1017"/>
      <c r="X219" s="1017"/>
      <c r="Y219" s="1017"/>
      <c r="Z219" s="1017"/>
      <c r="AA219" s="1017"/>
      <c r="AB219" s="1017"/>
      <c r="AC219" s="1017"/>
      <c r="AD219" s="1017"/>
      <c r="AE219" s="1017"/>
      <c r="AF219" s="1017"/>
      <c r="AG219" s="1017"/>
      <c r="AH219" s="1017"/>
      <c r="AI219" s="1017"/>
      <c r="AJ219" s="1017"/>
      <c r="AK219" s="1017"/>
      <c r="AL219" s="1017"/>
      <c r="AM219" s="1017"/>
      <c r="AN219" s="1017"/>
      <c r="AO219" s="1017"/>
      <c r="AP219" s="1017"/>
      <c r="AQ219" s="1017"/>
      <c r="AR219" s="1017"/>
      <c r="AS219" s="1017"/>
      <c r="AT219" s="1017"/>
      <c r="AU219" s="1017"/>
      <c r="AV219" s="1017"/>
      <c r="AW219" s="1017"/>
      <c r="AX219" s="1017"/>
      <c r="AY219" s="1017"/>
      <c r="AZ219" s="1017"/>
      <c r="BA219" s="1017"/>
      <c r="BB219" s="1017"/>
      <c r="BC219" s="1009">
        <f t="shared" si="14"/>
        <v>0</v>
      </c>
      <c r="BD219" s="1041">
        <f t="shared" si="13"/>
        <v>0</v>
      </c>
    </row>
    <row r="220" spans="2:62" s="973" customFormat="1" ht="15" thickBot="1" x14ac:dyDescent="0.35">
      <c r="B220" s="1030"/>
      <c r="C220" s="1031" t="str">
        <f>SOURCES!C74</f>
        <v>Other:  select from menu</v>
      </c>
      <c r="D220" s="1031"/>
      <c r="E220" s="1013">
        <f>SOURCES!M74</f>
        <v>0</v>
      </c>
      <c r="F220" s="1017"/>
      <c r="G220" s="1017"/>
      <c r="H220" s="1017"/>
      <c r="I220" s="1017"/>
      <c r="J220" s="1017"/>
      <c r="K220" s="1017"/>
      <c r="L220" s="1017"/>
      <c r="M220" s="1017"/>
      <c r="N220" s="1017"/>
      <c r="O220" s="1017"/>
      <c r="P220" s="1017"/>
      <c r="Q220" s="1017"/>
      <c r="R220" s="1017"/>
      <c r="S220" s="1017"/>
      <c r="T220" s="1017"/>
      <c r="U220" s="1017"/>
      <c r="V220" s="1017"/>
      <c r="W220" s="1017"/>
      <c r="X220" s="1017"/>
      <c r="Y220" s="1017"/>
      <c r="Z220" s="1017"/>
      <c r="AA220" s="1017"/>
      <c r="AB220" s="1017"/>
      <c r="AC220" s="1017"/>
      <c r="AD220" s="1017"/>
      <c r="AE220" s="1017"/>
      <c r="AF220" s="1017"/>
      <c r="AG220" s="1017"/>
      <c r="AH220" s="1017"/>
      <c r="AI220" s="1017"/>
      <c r="AJ220" s="1017"/>
      <c r="AK220" s="1017"/>
      <c r="AL220" s="1017"/>
      <c r="AM220" s="1017"/>
      <c r="AN220" s="1017"/>
      <c r="AO220" s="1017"/>
      <c r="AP220" s="1017"/>
      <c r="AQ220" s="1017"/>
      <c r="AR220" s="1017"/>
      <c r="AS220" s="1017"/>
      <c r="AT220" s="1017"/>
      <c r="AU220" s="1017"/>
      <c r="AV220" s="1017"/>
      <c r="AW220" s="1017"/>
      <c r="AX220" s="1017"/>
      <c r="AY220" s="1017"/>
      <c r="AZ220" s="1017"/>
      <c r="BA220" s="1017"/>
      <c r="BB220" s="1017"/>
      <c r="BC220" s="1009">
        <f t="shared" si="14"/>
        <v>0</v>
      </c>
      <c r="BD220" s="1041">
        <f t="shared" si="13"/>
        <v>0</v>
      </c>
    </row>
    <row r="221" spans="2:62" s="973" customFormat="1" ht="16.2" thickBot="1" x14ac:dyDescent="0.35">
      <c r="B221" s="1034"/>
      <c r="C221" s="1035" t="s">
        <v>2420</v>
      </c>
      <c r="D221" s="1035"/>
      <c r="E221" s="1045">
        <f>SUM(E180:E220)</f>
        <v>0</v>
      </c>
      <c r="F221" s="1042">
        <f>SUM(F172:F220)</f>
        <v>0</v>
      </c>
      <c r="G221" s="1042">
        <f t="shared" ref="G221:BC221" si="15">SUM(G172:G220)</f>
        <v>0</v>
      </c>
      <c r="H221" s="1042">
        <f t="shared" si="15"/>
        <v>0</v>
      </c>
      <c r="I221" s="1042">
        <f t="shared" si="15"/>
        <v>0</v>
      </c>
      <c r="J221" s="1042">
        <f t="shared" si="15"/>
        <v>0</v>
      </c>
      <c r="K221" s="1042">
        <f t="shared" si="15"/>
        <v>0</v>
      </c>
      <c r="L221" s="1042">
        <f t="shared" si="15"/>
        <v>0</v>
      </c>
      <c r="M221" s="1042">
        <f t="shared" si="15"/>
        <v>0</v>
      </c>
      <c r="N221" s="1042">
        <f t="shared" si="15"/>
        <v>0</v>
      </c>
      <c r="O221" s="1042">
        <f t="shared" si="15"/>
        <v>0</v>
      </c>
      <c r="P221" s="1042">
        <f t="shared" si="15"/>
        <v>0</v>
      </c>
      <c r="Q221" s="1042">
        <f t="shared" si="15"/>
        <v>0</v>
      </c>
      <c r="R221" s="1042">
        <f t="shared" si="15"/>
        <v>0</v>
      </c>
      <c r="S221" s="1042">
        <f t="shared" si="15"/>
        <v>0</v>
      </c>
      <c r="T221" s="1042">
        <f t="shared" si="15"/>
        <v>0</v>
      </c>
      <c r="U221" s="1042">
        <f t="shared" si="15"/>
        <v>0</v>
      </c>
      <c r="V221" s="1042">
        <f t="shared" si="15"/>
        <v>0</v>
      </c>
      <c r="W221" s="1042">
        <f t="shared" si="15"/>
        <v>0</v>
      </c>
      <c r="X221" s="1042">
        <f t="shared" si="15"/>
        <v>0</v>
      </c>
      <c r="Y221" s="1042">
        <f t="shared" si="15"/>
        <v>0</v>
      </c>
      <c r="Z221" s="1042">
        <f t="shared" si="15"/>
        <v>0</v>
      </c>
      <c r="AA221" s="1042">
        <f t="shared" si="15"/>
        <v>0</v>
      </c>
      <c r="AB221" s="1042">
        <f t="shared" si="15"/>
        <v>0</v>
      </c>
      <c r="AC221" s="1042">
        <f t="shared" si="15"/>
        <v>0</v>
      </c>
      <c r="AD221" s="1042">
        <f t="shared" si="15"/>
        <v>0</v>
      </c>
      <c r="AE221" s="1042">
        <f t="shared" si="15"/>
        <v>0</v>
      </c>
      <c r="AF221" s="1042">
        <f t="shared" si="15"/>
        <v>0</v>
      </c>
      <c r="AG221" s="1042">
        <f t="shared" si="15"/>
        <v>0</v>
      </c>
      <c r="AH221" s="1042">
        <f t="shared" si="15"/>
        <v>0</v>
      </c>
      <c r="AI221" s="1042">
        <f t="shared" si="15"/>
        <v>0</v>
      </c>
      <c r="AJ221" s="1042">
        <f t="shared" si="15"/>
        <v>0</v>
      </c>
      <c r="AK221" s="1042">
        <f t="shared" si="15"/>
        <v>0</v>
      </c>
      <c r="AL221" s="1042">
        <f t="shared" si="15"/>
        <v>0</v>
      </c>
      <c r="AM221" s="1042">
        <f t="shared" si="15"/>
        <v>0</v>
      </c>
      <c r="AN221" s="1042">
        <f t="shared" si="15"/>
        <v>0</v>
      </c>
      <c r="AO221" s="1042">
        <f t="shared" si="15"/>
        <v>0</v>
      </c>
      <c r="AP221" s="1042">
        <f t="shared" si="15"/>
        <v>0</v>
      </c>
      <c r="AQ221" s="1042">
        <f t="shared" si="15"/>
        <v>0</v>
      </c>
      <c r="AR221" s="1042">
        <f t="shared" si="15"/>
        <v>0</v>
      </c>
      <c r="AS221" s="1042">
        <f t="shared" si="15"/>
        <v>0</v>
      </c>
      <c r="AT221" s="1042">
        <f t="shared" si="15"/>
        <v>0</v>
      </c>
      <c r="AU221" s="1042">
        <f t="shared" si="15"/>
        <v>0</v>
      </c>
      <c r="AV221" s="1042">
        <f t="shared" si="15"/>
        <v>0</v>
      </c>
      <c r="AW221" s="1042">
        <f t="shared" si="15"/>
        <v>0</v>
      </c>
      <c r="AX221" s="1042">
        <f t="shared" si="15"/>
        <v>0</v>
      </c>
      <c r="AY221" s="1042">
        <f t="shared" si="15"/>
        <v>0</v>
      </c>
      <c r="AZ221" s="1042">
        <f t="shared" si="15"/>
        <v>0</v>
      </c>
      <c r="BA221" s="1042">
        <f t="shared" si="15"/>
        <v>0</v>
      </c>
      <c r="BB221" s="1042">
        <f t="shared" si="15"/>
        <v>0</v>
      </c>
      <c r="BC221" s="1042">
        <f t="shared" si="15"/>
        <v>0</v>
      </c>
      <c r="BD221" s="1041">
        <f>BC221-E221</f>
        <v>0</v>
      </c>
    </row>
    <row r="222" spans="2:62" s="973" customFormat="1" ht="14.4" x14ac:dyDescent="0.3">
      <c r="B222" s="976"/>
      <c r="C222" s="977"/>
      <c r="D222" s="974"/>
      <c r="E222" s="989"/>
      <c r="F222" s="989"/>
      <c r="G222" s="989"/>
      <c r="H222" s="989"/>
      <c r="I222" s="989"/>
      <c r="J222" s="989"/>
      <c r="K222" s="989"/>
      <c r="L222" s="989"/>
      <c r="M222" s="989"/>
      <c r="N222" s="989"/>
      <c r="O222" s="989"/>
      <c r="P222" s="989"/>
      <c r="Q222" s="989"/>
      <c r="R222" s="989"/>
      <c r="S222" s="989"/>
      <c r="T222" s="989"/>
      <c r="U222" s="989"/>
      <c r="V222" s="989"/>
      <c r="W222" s="989"/>
      <c r="X222" s="989"/>
      <c r="Y222" s="989"/>
      <c r="Z222" s="989"/>
      <c r="AA222" s="989"/>
      <c r="AB222" s="989"/>
      <c r="AC222" s="989"/>
      <c r="AD222" s="989"/>
      <c r="AE222" s="989"/>
      <c r="AF222" s="989"/>
      <c r="AG222" s="989"/>
      <c r="AH222" s="989"/>
      <c r="AI222" s="989"/>
      <c r="AJ222" s="989"/>
      <c r="AK222" s="989"/>
      <c r="AL222" s="989"/>
      <c r="AM222" s="989"/>
      <c r="AN222" s="989"/>
      <c r="AO222" s="989"/>
      <c r="AP222" s="989"/>
      <c r="AQ222" s="989"/>
      <c r="AR222" s="989"/>
      <c r="AS222" s="989"/>
      <c r="AT222" s="989"/>
      <c r="AU222" s="989"/>
      <c r="AV222" s="989"/>
      <c r="AW222" s="989"/>
      <c r="AX222" s="989"/>
      <c r="AY222" s="989"/>
      <c r="AZ222" s="989"/>
      <c r="BA222" s="989"/>
      <c r="BB222" s="989"/>
      <c r="BC222" s="989"/>
      <c r="BD222" s="989"/>
      <c r="BE222" s="989"/>
      <c r="BF222" s="989"/>
      <c r="BG222" s="989"/>
      <c r="BH222" s="989"/>
      <c r="BI222" s="989"/>
      <c r="BJ222" s="990"/>
    </row>
    <row r="223" spans="2:62" s="993" customFormat="1" ht="14.4" x14ac:dyDescent="0.3">
      <c r="B223" s="991"/>
      <c r="C223" s="992"/>
      <c r="D223" s="1046" t="s">
        <v>2380</v>
      </c>
      <c r="E223" s="994">
        <f>+E221-E132</f>
        <v>0</v>
      </c>
      <c r="F223" s="994">
        <f>SUM(F153:F156,F221)-F132</f>
        <v>0</v>
      </c>
      <c r="G223" s="994">
        <f t="shared" ref="G223:BC223" si="16">+G221-G153-G154-G155-G156-G132</f>
        <v>0</v>
      </c>
      <c r="H223" s="994">
        <f t="shared" si="16"/>
        <v>0</v>
      </c>
      <c r="I223" s="994">
        <f t="shared" si="16"/>
        <v>0</v>
      </c>
      <c r="J223" s="994">
        <f t="shared" si="16"/>
        <v>0</v>
      </c>
      <c r="K223" s="994">
        <f t="shared" si="16"/>
        <v>0</v>
      </c>
      <c r="L223" s="994">
        <f t="shared" si="16"/>
        <v>0</v>
      </c>
      <c r="M223" s="994">
        <f t="shared" si="16"/>
        <v>0</v>
      </c>
      <c r="N223" s="994">
        <f t="shared" si="16"/>
        <v>0</v>
      </c>
      <c r="O223" s="994">
        <f t="shared" si="16"/>
        <v>0</v>
      </c>
      <c r="P223" s="994">
        <f t="shared" si="16"/>
        <v>0</v>
      </c>
      <c r="Q223" s="994">
        <f t="shared" si="16"/>
        <v>0</v>
      </c>
      <c r="R223" s="994">
        <f t="shared" si="16"/>
        <v>0</v>
      </c>
      <c r="S223" s="994">
        <f t="shared" si="16"/>
        <v>0</v>
      </c>
      <c r="T223" s="994">
        <f t="shared" si="16"/>
        <v>0</v>
      </c>
      <c r="U223" s="994">
        <f t="shared" si="16"/>
        <v>0</v>
      </c>
      <c r="V223" s="994">
        <f t="shared" si="16"/>
        <v>0</v>
      </c>
      <c r="W223" s="994">
        <f t="shared" si="16"/>
        <v>0</v>
      </c>
      <c r="X223" s="994">
        <f t="shared" si="16"/>
        <v>0</v>
      </c>
      <c r="Y223" s="994">
        <f t="shared" si="16"/>
        <v>0</v>
      </c>
      <c r="Z223" s="994">
        <f t="shared" si="16"/>
        <v>0</v>
      </c>
      <c r="AA223" s="994">
        <f t="shared" si="16"/>
        <v>0</v>
      </c>
      <c r="AB223" s="994">
        <f t="shared" si="16"/>
        <v>0</v>
      </c>
      <c r="AC223" s="994">
        <f t="shared" si="16"/>
        <v>0</v>
      </c>
      <c r="AD223" s="994">
        <f t="shared" si="16"/>
        <v>0</v>
      </c>
      <c r="AE223" s="994">
        <f t="shared" si="16"/>
        <v>0</v>
      </c>
      <c r="AF223" s="994">
        <f t="shared" si="16"/>
        <v>0</v>
      </c>
      <c r="AG223" s="994">
        <f t="shared" si="16"/>
        <v>0</v>
      </c>
      <c r="AH223" s="994">
        <f t="shared" si="16"/>
        <v>0</v>
      </c>
      <c r="AI223" s="994">
        <f t="shared" si="16"/>
        <v>0</v>
      </c>
      <c r="AJ223" s="994">
        <f t="shared" si="16"/>
        <v>0</v>
      </c>
      <c r="AK223" s="994">
        <f t="shared" si="16"/>
        <v>0</v>
      </c>
      <c r="AL223" s="994">
        <f t="shared" si="16"/>
        <v>0</v>
      </c>
      <c r="AM223" s="994">
        <f t="shared" si="16"/>
        <v>0</v>
      </c>
      <c r="AN223" s="994">
        <f t="shared" si="16"/>
        <v>0</v>
      </c>
      <c r="AO223" s="994">
        <f t="shared" si="16"/>
        <v>0</v>
      </c>
      <c r="AP223" s="994">
        <f t="shared" si="16"/>
        <v>0</v>
      </c>
      <c r="AQ223" s="994">
        <f t="shared" si="16"/>
        <v>0</v>
      </c>
      <c r="AR223" s="994">
        <f t="shared" si="16"/>
        <v>0</v>
      </c>
      <c r="AS223" s="994">
        <f t="shared" si="16"/>
        <v>0</v>
      </c>
      <c r="AT223" s="994">
        <f t="shared" si="16"/>
        <v>0</v>
      </c>
      <c r="AU223" s="994">
        <f t="shared" si="16"/>
        <v>0</v>
      </c>
      <c r="AV223" s="994">
        <f t="shared" si="16"/>
        <v>0</v>
      </c>
      <c r="AW223" s="994">
        <f t="shared" si="16"/>
        <v>0</v>
      </c>
      <c r="AX223" s="994">
        <f t="shared" si="16"/>
        <v>0</v>
      </c>
      <c r="AY223" s="994">
        <f t="shared" si="16"/>
        <v>0</v>
      </c>
      <c r="AZ223" s="994">
        <f t="shared" si="16"/>
        <v>0</v>
      </c>
      <c r="BA223" s="994">
        <f t="shared" si="16"/>
        <v>0</v>
      </c>
      <c r="BB223" s="994">
        <f t="shared" si="16"/>
        <v>0</v>
      </c>
      <c r="BC223" s="994">
        <f t="shared" si="16"/>
        <v>0</v>
      </c>
      <c r="BD223" s="994">
        <f>+BD221-BD132</f>
        <v>0</v>
      </c>
      <c r="BE223" s="994"/>
      <c r="BF223" s="994"/>
      <c r="BG223" s="994"/>
      <c r="BH223" s="994"/>
      <c r="BI223" s="994"/>
      <c r="BJ223" s="995"/>
    </row>
  </sheetData>
  <mergeCells count="1">
    <mergeCell ref="C11:D11"/>
  </mergeCells>
  <phoneticPr fontId="19" type="noConversion"/>
  <conditionalFormatting sqref="AJ112">
    <cfRule type="expression" dxfId="1" priority="19">
      <formula>$J$429=VALUE(AJ$10)</formula>
    </cfRule>
    <cfRule type="expression" dxfId="0" priority="20">
      <formula>$J$429&gt;VALUE(AJ$10)</formula>
    </cfRule>
  </conditionalFormatting>
  <dataValidations count="1">
    <dataValidation type="list" allowBlank="1" showInputMessage="1" showErrorMessage="1" sqref="F8:BB8" xr:uid="{854A6B86-9AFC-4D17-914F-CA0893292B35}">
      <formula1>$BM$8:$BM$21</formula1>
    </dataValidation>
  </dataValidations>
  <pageMargins left="0.25" right="0.25" top="0.25" bottom="0.25" header="0.25" footer="0.25"/>
  <pageSetup scale="23" fitToWidth="0" orientation="portrait" useFirstPageNumber="1" r:id="rId1"/>
  <headerFooter scaleWithDoc="0" alignWithMargins="0"/>
  <ignoredErrors>
    <ignoredError sqref="C5:C6" unlockedFormula="1"/>
  </ignoredError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codeName="Sheet7">
    <tabColor rgb="FF0000FF"/>
    <pageSetUpPr fitToPage="1"/>
  </sheetPr>
  <dimension ref="C3:R229"/>
  <sheetViews>
    <sheetView showGridLines="0" view="pageBreakPreview" zoomScale="120" zoomScaleNormal="100" zoomScaleSheetLayoutView="120" workbookViewId="0">
      <selection activeCell="M19" sqref="M19"/>
    </sheetView>
  </sheetViews>
  <sheetFormatPr defaultColWidth="11.77734375" defaultRowHeight="13.2" x14ac:dyDescent="0.25"/>
  <cols>
    <col min="1" max="2" width="2.77734375" style="7" customWidth="1"/>
    <col min="3" max="3" width="10.44140625" style="7" customWidth="1"/>
    <col min="4" max="4" width="18.44140625" style="7" customWidth="1"/>
    <col min="5" max="5" width="21" style="7" customWidth="1"/>
    <col min="6" max="6" width="19.44140625" style="7" customWidth="1"/>
    <col min="7" max="7" width="18.77734375" style="7" customWidth="1"/>
    <col min="8" max="8" width="13.109375" style="7" customWidth="1"/>
    <col min="9" max="9" width="14.44140625" style="7" customWidth="1"/>
    <col min="10" max="10" width="14.77734375" style="7" customWidth="1"/>
    <col min="11" max="11" width="4.77734375" style="7" customWidth="1"/>
    <col min="12" max="12" width="18.109375" style="7" customWidth="1"/>
    <col min="13" max="13" width="17" style="7" customWidth="1"/>
    <col min="14" max="14" width="19" style="7" customWidth="1"/>
    <col min="15" max="15" width="11.33203125" style="7" customWidth="1"/>
    <col min="16" max="16" width="3.77734375" hidden="1" customWidth="1"/>
    <col min="17" max="17" width="11.77734375" style="7" hidden="1" customWidth="1"/>
    <col min="18" max="18" width="2.77734375" style="7" hidden="1" customWidth="1"/>
    <col min="19" max="21" width="11.77734375" style="7" customWidth="1"/>
    <col min="22" max="16384" width="11.77734375" style="7"/>
  </cols>
  <sheetData>
    <row r="3" spans="3:14" ht="18" x14ac:dyDescent="0.35">
      <c r="C3" s="1139" t="s">
        <v>2625</v>
      </c>
      <c r="D3" s="312"/>
      <c r="E3" s="312"/>
      <c r="F3" s="312"/>
      <c r="G3" s="127"/>
      <c r="H3" s="312"/>
      <c r="I3" s="312"/>
      <c r="J3" s="312"/>
      <c r="K3" s="312"/>
      <c r="L3" s="312"/>
      <c r="M3" s="312"/>
      <c r="N3" s="312"/>
    </row>
    <row r="4" spans="3:14" x14ac:dyDescent="0.25">
      <c r="C4" s="539" t="s">
        <v>831</v>
      </c>
      <c r="D4" s="540"/>
      <c r="E4" s="540"/>
      <c r="F4" s="540"/>
      <c r="G4" s="540"/>
      <c r="H4" s="540"/>
      <c r="I4" s="540"/>
      <c r="J4" s="540"/>
      <c r="K4" s="540"/>
      <c r="L4" s="540"/>
      <c r="M4" s="540"/>
      <c r="N4" s="541"/>
    </row>
    <row r="5" spans="3:14" ht="12.75" customHeight="1" x14ac:dyDescent="0.25">
      <c r="E5" s="69"/>
      <c r="F5" s="69"/>
      <c r="N5" s="542">
        <f>projname</f>
        <v>0</v>
      </c>
    </row>
    <row r="6" spans="3:14" ht="12.75" customHeight="1" x14ac:dyDescent="0.25">
      <c r="C6" s="47"/>
      <c r="D6" s="69"/>
      <c r="E6" s="69"/>
      <c r="F6" s="69"/>
      <c r="M6" s="29" t="s">
        <v>227</v>
      </c>
      <c r="N6" s="384">
        <f>GENERAL!D7</f>
        <v>0</v>
      </c>
    </row>
    <row r="7" spans="3:14" x14ac:dyDescent="0.25">
      <c r="C7" s="43" t="s">
        <v>2202</v>
      </c>
    </row>
    <row r="8" spans="3:14" x14ac:dyDescent="0.25">
      <c r="C8" s="543"/>
      <c r="D8" s="44" t="s">
        <v>303</v>
      </c>
      <c r="E8" s="236"/>
      <c r="F8" s="44"/>
    </row>
    <row r="9" spans="3:14" x14ac:dyDescent="0.25">
      <c r="C9" s="543"/>
      <c r="D9" s="44" t="s">
        <v>832</v>
      </c>
      <c r="E9" s="44"/>
      <c r="F9" s="44"/>
      <c r="G9" s="70"/>
    </row>
    <row r="10" spans="3:14" x14ac:dyDescent="0.25">
      <c r="C10" s="543"/>
      <c r="D10" s="44" t="s">
        <v>833</v>
      </c>
      <c r="E10" s="44"/>
      <c r="F10" s="44"/>
    </row>
    <row r="12" spans="3:14" x14ac:dyDescent="0.25">
      <c r="C12" s="336" t="s">
        <v>834</v>
      </c>
      <c r="D12" s="234"/>
      <c r="E12" s="234"/>
      <c r="F12" s="234"/>
      <c r="G12" s="234"/>
      <c r="H12" s="234"/>
      <c r="I12" s="234"/>
      <c r="J12" s="234"/>
      <c r="K12" s="234"/>
      <c r="L12" s="234"/>
      <c r="M12" s="234"/>
      <c r="N12" s="234"/>
    </row>
    <row r="13" spans="3:14" x14ac:dyDescent="0.25">
      <c r="C13" s="44"/>
    </row>
    <row r="14" spans="3:14" x14ac:dyDescent="0.25">
      <c r="C14" s="43" t="s">
        <v>835</v>
      </c>
    </row>
    <row r="16" spans="3:14" ht="54.75" customHeight="1" x14ac:dyDescent="0.25">
      <c r="C16" s="544" t="s">
        <v>230</v>
      </c>
      <c r="D16" s="545"/>
      <c r="E16" s="545"/>
      <c r="F16" s="546" t="s">
        <v>836</v>
      </c>
      <c r="G16" s="547" t="s">
        <v>837</v>
      </c>
      <c r="H16" s="547" t="s">
        <v>838</v>
      </c>
      <c r="I16" s="548" t="s">
        <v>619</v>
      </c>
      <c r="J16" s="548" t="s">
        <v>839</v>
      </c>
      <c r="K16" s="547"/>
      <c r="L16" s="547" t="s">
        <v>840</v>
      </c>
      <c r="M16" s="547" t="s">
        <v>841</v>
      </c>
      <c r="N16" s="547" t="s">
        <v>842</v>
      </c>
    </row>
    <row r="17" spans="3:14" x14ac:dyDescent="0.25">
      <c r="C17" s="549">
        <f>BUILDING!D10</f>
        <v>0</v>
      </c>
      <c r="D17" s="550"/>
      <c r="E17" s="551"/>
      <c r="F17" s="552">
        <f>BUILDING!C10</f>
        <v>0</v>
      </c>
      <c r="G17" s="532"/>
      <c r="H17" s="553"/>
      <c r="I17" s="554">
        <f>BUILDING!H10</f>
        <v>0</v>
      </c>
      <c r="J17" s="555"/>
      <c r="K17" s="556"/>
      <c r="L17" s="557"/>
      <c r="M17" s="557"/>
      <c r="N17" s="558"/>
    </row>
    <row r="18" spans="3:14" x14ac:dyDescent="0.25">
      <c r="C18" s="549">
        <f>BUILDING!D11</f>
        <v>0</v>
      </c>
      <c r="D18" s="550"/>
      <c r="E18" s="551"/>
      <c r="F18" s="552">
        <f>BUILDING!C11</f>
        <v>0</v>
      </c>
      <c r="G18" s="532"/>
      <c r="H18" s="553"/>
      <c r="I18" s="554">
        <f>BUILDING!H11</f>
        <v>0</v>
      </c>
      <c r="J18" s="532"/>
      <c r="L18" s="1837"/>
      <c r="M18" s="557"/>
      <c r="N18" s="559"/>
    </row>
    <row r="19" spans="3:14" x14ac:dyDescent="0.25">
      <c r="C19" s="549">
        <f>BUILDING!D12</f>
        <v>0</v>
      </c>
      <c r="D19" s="550"/>
      <c r="E19" s="551"/>
      <c r="F19" s="552">
        <f>BUILDING!C12</f>
        <v>0</v>
      </c>
      <c r="G19" s="532"/>
      <c r="H19" s="557"/>
      <c r="I19" s="554">
        <f>BUILDING!H12</f>
        <v>0</v>
      </c>
      <c r="J19" s="532"/>
      <c r="K19" s="560"/>
      <c r="L19" s="557"/>
      <c r="M19" s="557"/>
      <c r="N19" s="559"/>
    </row>
    <row r="20" spans="3:14" x14ac:dyDescent="0.25">
      <c r="C20" s="549">
        <f>BUILDING!D13</f>
        <v>0</v>
      </c>
      <c r="D20" s="550"/>
      <c r="E20" s="551"/>
      <c r="F20" s="552">
        <f>BUILDING!C13</f>
        <v>0</v>
      </c>
      <c r="G20" s="532"/>
      <c r="H20" s="557"/>
      <c r="I20" s="554">
        <f>BUILDING!H13</f>
        <v>0</v>
      </c>
      <c r="J20" s="532"/>
      <c r="K20" s="560"/>
      <c r="L20" s="557"/>
      <c r="M20" s="557"/>
      <c r="N20" s="559"/>
    </row>
    <row r="21" spans="3:14" x14ac:dyDescent="0.25">
      <c r="C21" s="549">
        <f>BUILDING!D14</f>
        <v>0</v>
      </c>
      <c r="D21" s="550"/>
      <c r="E21" s="551"/>
      <c r="F21" s="552">
        <f>BUILDING!C14</f>
        <v>0</v>
      </c>
      <c r="G21" s="532"/>
      <c r="H21" s="557"/>
      <c r="I21" s="554">
        <f>BUILDING!H14</f>
        <v>0</v>
      </c>
      <c r="J21" s="532"/>
      <c r="K21" s="560"/>
      <c r="L21" s="557"/>
      <c r="M21" s="557"/>
      <c r="N21" s="559"/>
    </row>
    <row r="22" spans="3:14" x14ac:dyDescent="0.25">
      <c r="C22" s="549">
        <f>BUILDING!D15</f>
        <v>0</v>
      </c>
      <c r="D22" s="550"/>
      <c r="E22" s="551"/>
      <c r="F22" s="552">
        <f>BUILDING!C15</f>
        <v>0</v>
      </c>
      <c r="G22" s="532"/>
      <c r="H22" s="557"/>
      <c r="I22" s="554">
        <f>BUILDING!H15</f>
        <v>0</v>
      </c>
      <c r="J22" s="532"/>
      <c r="K22" s="560"/>
      <c r="L22" s="557"/>
      <c r="M22" s="557"/>
      <c r="N22" s="559"/>
    </row>
    <row r="23" spans="3:14" x14ac:dyDescent="0.25">
      <c r="C23" s="549">
        <f>BUILDING!D16</f>
        <v>0</v>
      </c>
      <c r="D23" s="550"/>
      <c r="E23" s="551"/>
      <c r="F23" s="552">
        <f>BUILDING!C16</f>
        <v>0</v>
      </c>
      <c r="G23" s="532"/>
      <c r="H23" s="557"/>
      <c r="I23" s="554">
        <f>BUILDING!H16</f>
        <v>0</v>
      </c>
      <c r="J23" s="532"/>
      <c r="K23" s="560"/>
      <c r="L23" s="557"/>
      <c r="M23" s="557"/>
      <c r="N23" s="559"/>
    </row>
    <row r="24" spans="3:14" x14ac:dyDescent="0.25">
      <c r="C24" s="549">
        <f>BUILDING!D17</f>
        <v>0</v>
      </c>
      <c r="D24" s="550"/>
      <c r="E24" s="551"/>
      <c r="F24" s="552">
        <f>BUILDING!C17</f>
        <v>0</v>
      </c>
      <c r="G24" s="532"/>
      <c r="H24" s="557"/>
      <c r="I24" s="554">
        <f>BUILDING!H17</f>
        <v>0</v>
      </c>
      <c r="J24" s="532"/>
      <c r="K24" s="560"/>
      <c r="L24" s="557"/>
      <c r="M24" s="557"/>
      <c r="N24" s="559"/>
    </row>
    <row r="25" spans="3:14" x14ac:dyDescent="0.25">
      <c r="C25" s="549">
        <f>BUILDING!D18</f>
        <v>0</v>
      </c>
      <c r="D25" s="550"/>
      <c r="E25" s="551"/>
      <c r="F25" s="552">
        <f>BUILDING!C18</f>
        <v>0</v>
      </c>
      <c r="G25" s="532"/>
      <c r="H25" s="557"/>
      <c r="I25" s="554">
        <f>BUILDING!H18</f>
        <v>0</v>
      </c>
      <c r="J25" s="532"/>
      <c r="K25" s="560"/>
      <c r="L25" s="557"/>
      <c r="M25" s="557"/>
      <c r="N25" s="559"/>
    </row>
    <row r="26" spans="3:14" x14ac:dyDescent="0.25">
      <c r="C26" s="549">
        <f>BUILDING!D19</f>
        <v>0</v>
      </c>
      <c r="D26" s="550"/>
      <c r="E26" s="551"/>
      <c r="F26" s="552">
        <f>BUILDING!C19</f>
        <v>0</v>
      </c>
      <c r="G26" s="532"/>
      <c r="H26" s="557"/>
      <c r="I26" s="554">
        <f>BUILDING!H19</f>
        <v>0</v>
      </c>
      <c r="J26" s="532"/>
      <c r="K26" s="560"/>
      <c r="L26" s="557"/>
      <c r="M26" s="557"/>
      <c r="N26" s="559"/>
    </row>
    <row r="27" spans="3:14" x14ac:dyDescent="0.25">
      <c r="C27" s="549">
        <f>BUILDING!D20</f>
        <v>0</v>
      </c>
      <c r="D27" s="550"/>
      <c r="E27" s="551"/>
      <c r="F27" s="552">
        <f>BUILDING!C20</f>
        <v>0</v>
      </c>
      <c r="G27" s="532"/>
      <c r="H27" s="557"/>
      <c r="I27" s="554">
        <f>BUILDING!H20</f>
        <v>0</v>
      </c>
      <c r="J27" s="532"/>
      <c r="K27" s="560"/>
      <c r="L27" s="557"/>
      <c r="M27" s="557"/>
      <c r="N27" s="559"/>
    </row>
    <row r="28" spans="3:14" x14ac:dyDescent="0.25">
      <c r="C28" s="549">
        <f>BUILDING!D21</f>
        <v>0</v>
      </c>
      <c r="D28" s="550"/>
      <c r="E28" s="551"/>
      <c r="F28" s="552">
        <f>BUILDING!C21</f>
        <v>0</v>
      </c>
      <c r="G28" s="532"/>
      <c r="H28" s="557"/>
      <c r="I28" s="554">
        <f>BUILDING!H21</f>
        <v>0</v>
      </c>
      <c r="J28" s="532"/>
      <c r="K28" s="560"/>
      <c r="L28" s="557"/>
      <c r="M28" s="557"/>
      <c r="N28" s="559"/>
    </row>
    <row r="29" spans="3:14" x14ac:dyDescent="0.25">
      <c r="C29" s="549">
        <f>BUILDING!D22</f>
        <v>0</v>
      </c>
      <c r="D29" s="550"/>
      <c r="E29" s="551"/>
      <c r="F29" s="552">
        <f>BUILDING!C22</f>
        <v>0</v>
      </c>
      <c r="G29" s="532"/>
      <c r="H29" s="557"/>
      <c r="I29" s="554">
        <f>BUILDING!H22</f>
        <v>0</v>
      </c>
      <c r="J29" s="532"/>
      <c r="K29" s="560"/>
      <c r="L29" s="557"/>
      <c r="M29" s="557"/>
      <c r="N29" s="559"/>
    </row>
    <row r="30" spans="3:14" x14ac:dyDescent="0.25">
      <c r="C30" s="549">
        <f>BUILDING!D23</f>
        <v>0</v>
      </c>
      <c r="D30" s="550"/>
      <c r="E30" s="551"/>
      <c r="F30" s="552">
        <f>BUILDING!C23</f>
        <v>0</v>
      </c>
      <c r="G30" s="532"/>
      <c r="H30" s="557"/>
      <c r="I30" s="554">
        <f>BUILDING!H23</f>
        <v>0</v>
      </c>
      <c r="J30" s="532"/>
      <c r="K30" s="560"/>
      <c r="L30" s="557"/>
      <c r="M30" s="557"/>
      <c r="N30" s="559"/>
    </row>
    <row r="31" spans="3:14" x14ac:dyDescent="0.25">
      <c r="C31" s="549">
        <f>BUILDING!D24</f>
        <v>0</v>
      </c>
      <c r="D31" s="550"/>
      <c r="E31" s="551"/>
      <c r="F31" s="552">
        <f>BUILDING!C24</f>
        <v>0</v>
      </c>
      <c r="G31" s="532"/>
      <c r="H31" s="557"/>
      <c r="I31" s="554">
        <f>BUILDING!H24</f>
        <v>0</v>
      </c>
      <c r="J31" s="532"/>
      <c r="K31" s="560"/>
      <c r="L31" s="557"/>
      <c r="M31" s="557"/>
      <c r="N31" s="559"/>
    </row>
    <row r="32" spans="3:14" x14ac:dyDescent="0.25">
      <c r="C32" s="549">
        <f>BUILDING!D25</f>
        <v>0</v>
      </c>
      <c r="D32" s="550"/>
      <c r="E32" s="551"/>
      <c r="F32" s="552">
        <f>BUILDING!C25</f>
        <v>0</v>
      </c>
      <c r="G32" s="532"/>
      <c r="H32" s="557"/>
      <c r="I32" s="554">
        <f>BUILDING!H25</f>
        <v>0</v>
      </c>
      <c r="J32" s="532"/>
      <c r="K32" s="560"/>
      <c r="L32" s="557"/>
      <c r="M32" s="557"/>
      <c r="N32" s="559"/>
    </row>
    <row r="33" spans="3:16" x14ac:dyDescent="0.25">
      <c r="C33" s="549">
        <f>BUILDING!D26</f>
        <v>0</v>
      </c>
      <c r="D33" s="550"/>
      <c r="E33" s="551"/>
      <c r="F33" s="552">
        <f>BUILDING!C26</f>
        <v>0</v>
      </c>
      <c r="G33" s="532"/>
      <c r="H33" s="557"/>
      <c r="I33" s="554">
        <f>BUILDING!H26</f>
        <v>0</v>
      </c>
      <c r="J33" s="532"/>
      <c r="K33" s="560"/>
      <c r="L33" s="557"/>
      <c r="M33" s="557"/>
      <c r="N33" s="559"/>
      <c r="P33" s="698"/>
    </row>
    <row r="34" spans="3:16" x14ac:dyDescent="0.25">
      <c r="C34" s="549">
        <f>BUILDING!D27</f>
        <v>0</v>
      </c>
      <c r="D34" s="550"/>
      <c r="E34" s="551"/>
      <c r="F34" s="552">
        <f>BUILDING!C27</f>
        <v>0</v>
      </c>
      <c r="G34" s="532"/>
      <c r="H34" s="557"/>
      <c r="I34" s="554">
        <f>BUILDING!H27</f>
        <v>0</v>
      </c>
      <c r="J34" s="532"/>
      <c r="K34" s="560"/>
      <c r="L34" s="557"/>
      <c r="M34" s="557"/>
      <c r="N34" s="559"/>
      <c r="P34" s="698"/>
    </row>
    <row r="35" spans="3:16" x14ac:dyDescent="0.25">
      <c r="C35" s="549">
        <f>BUILDING!D28</f>
        <v>0</v>
      </c>
      <c r="D35" s="550"/>
      <c r="E35" s="551"/>
      <c r="F35" s="552">
        <f>BUILDING!C28</f>
        <v>0</v>
      </c>
      <c r="G35" s="532"/>
      <c r="H35" s="557"/>
      <c r="I35" s="554">
        <f>BUILDING!H28</f>
        <v>0</v>
      </c>
      <c r="J35" s="532"/>
      <c r="K35" s="560"/>
      <c r="L35" s="557"/>
      <c r="M35" s="557"/>
      <c r="N35" s="559"/>
      <c r="P35" s="698"/>
    </row>
    <row r="36" spans="3:16" x14ac:dyDescent="0.25">
      <c r="C36" s="549">
        <f>BUILDING!D29</f>
        <v>0</v>
      </c>
      <c r="D36" s="550"/>
      <c r="E36" s="551"/>
      <c r="F36" s="552">
        <f>BUILDING!C29</f>
        <v>0</v>
      </c>
      <c r="G36" s="532"/>
      <c r="H36" s="557"/>
      <c r="I36" s="554">
        <f>BUILDING!H29</f>
        <v>0</v>
      </c>
      <c r="J36" s="532"/>
      <c r="K36" s="560"/>
      <c r="L36" s="557"/>
      <c r="M36" s="557"/>
      <c r="N36" s="559"/>
      <c r="P36" s="698"/>
    </row>
    <row r="37" spans="3:16" x14ac:dyDescent="0.25">
      <c r="C37" s="549">
        <f>BUILDING!D30</f>
        <v>0</v>
      </c>
      <c r="D37" s="550"/>
      <c r="E37" s="551"/>
      <c r="F37" s="552">
        <f>BUILDING!C30</f>
        <v>0</v>
      </c>
      <c r="G37" s="532"/>
      <c r="H37" s="557"/>
      <c r="I37" s="554">
        <f>BUILDING!H30</f>
        <v>0</v>
      </c>
      <c r="J37" s="532"/>
      <c r="K37" s="560"/>
      <c r="L37" s="557"/>
      <c r="M37" s="557"/>
      <c r="N37" s="559"/>
      <c r="P37" s="698"/>
    </row>
    <row r="38" spans="3:16" x14ac:dyDescent="0.25">
      <c r="C38" s="549">
        <f>BUILDING!D31</f>
        <v>0</v>
      </c>
      <c r="D38" s="550"/>
      <c r="E38" s="551"/>
      <c r="F38" s="552">
        <f>BUILDING!C31</f>
        <v>0</v>
      </c>
      <c r="G38" s="532"/>
      <c r="H38" s="557"/>
      <c r="I38" s="554">
        <f>BUILDING!H31</f>
        <v>0</v>
      </c>
      <c r="J38" s="532"/>
      <c r="K38" s="560"/>
      <c r="L38" s="557"/>
      <c r="M38" s="557"/>
      <c r="N38" s="559"/>
      <c r="P38" s="698"/>
    </row>
    <row r="39" spans="3:16" x14ac:dyDescent="0.25">
      <c r="C39" s="549">
        <f>BUILDING!D32</f>
        <v>0</v>
      </c>
      <c r="D39" s="550"/>
      <c r="E39" s="551"/>
      <c r="F39" s="552">
        <f>BUILDING!C32</f>
        <v>0</v>
      </c>
      <c r="G39" s="532"/>
      <c r="H39" s="557"/>
      <c r="I39" s="554">
        <f>BUILDING!H32</f>
        <v>0</v>
      </c>
      <c r="J39" s="532"/>
      <c r="K39" s="560"/>
      <c r="L39" s="557"/>
      <c r="M39" s="557"/>
      <c r="N39" s="559"/>
      <c r="P39" s="698"/>
    </row>
    <row r="40" spans="3:16" x14ac:dyDescent="0.25">
      <c r="C40" s="549">
        <f>BUILDING!D33</f>
        <v>0</v>
      </c>
      <c r="D40" s="550"/>
      <c r="E40" s="551"/>
      <c r="F40" s="552">
        <f>BUILDING!C33</f>
        <v>0</v>
      </c>
      <c r="G40" s="532"/>
      <c r="H40" s="557"/>
      <c r="I40" s="554">
        <f>BUILDING!H33</f>
        <v>0</v>
      </c>
      <c r="J40" s="532"/>
      <c r="K40" s="560"/>
      <c r="L40" s="557"/>
      <c r="M40" s="557"/>
      <c r="N40" s="559"/>
      <c r="P40" s="698"/>
    </row>
    <row r="41" spans="3:16" x14ac:dyDescent="0.25">
      <c r="C41" s="549">
        <f>BUILDING!D34</f>
        <v>0</v>
      </c>
      <c r="D41" s="550"/>
      <c r="E41" s="551"/>
      <c r="F41" s="552">
        <f>BUILDING!C34</f>
        <v>0</v>
      </c>
      <c r="G41" s="532"/>
      <c r="H41" s="557"/>
      <c r="I41" s="554">
        <f>BUILDING!H34</f>
        <v>0</v>
      </c>
      <c r="J41" s="532"/>
      <c r="K41" s="560"/>
      <c r="L41" s="557"/>
      <c r="M41" s="557"/>
      <c r="N41" s="559"/>
      <c r="P41" s="698"/>
    </row>
    <row r="42" spans="3:16" x14ac:dyDescent="0.25">
      <c r="C42" s="549">
        <f>BUILDING!D35</f>
        <v>0</v>
      </c>
      <c r="D42" s="550"/>
      <c r="E42" s="551"/>
      <c r="F42" s="552">
        <f>BUILDING!C35</f>
        <v>0</v>
      </c>
      <c r="G42" s="532"/>
      <c r="H42" s="557"/>
      <c r="I42" s="554">
        <f>BUILDING!H35</f>
        <v>0</v>
      </c>
      <c r="J42" s="532"/>
      <c r="K42" s="560"/>
      <c r="L42" s="557"/>
      <c r="M42" s="557"/>
      <c r="N42" s="559"/>
      <c r="P42" s="698"/>
    </row>
    <row r="43" spans="3:16" x14ac:dyDescent="0.25">
      <c r="C43" s="549">
        <f>BUILDING!D36</f>
        <v>0</v>
      </c>
      <c r="D43" s="550"/>
      <c r="E43" s="551"/>
      <c r="F43" s="552">
        <f>BUILDING!C36</f>
        <v>0</v>
      </c>
      <c r="G43" s="532"/>
      <c r="H43" s="557"/>
      <c r="I43" s="554">
        <f>BUILDING!H36</f>
        <v>0</v>
      </c>
      <c r="J43" s="532"/>
      <c r="K43" s="560"/>
      <c r="L43" s="557"/>
      <c r="M43" s="557"/>
      <c r="N43" s="559"/>
      <c r="P43" s="698"/>
    </row>
    <row r="44" spans="3:16" x14ac:dyDescent="0.25">
      <c r="C44" s="549">
        <f>BUILDING!D37</f>
        <v>0</v>
      </c>
      <c r="D44" s="550"/>
      <c r="E44" s="551"/>
      <c r="F44" s="552">
        <f>BUILDING!C37</f>
        <v>0</v>
      </c>
      <c r="G44" s="532"/>
      <c r="H44" s="557"/>
      <c r="I44" s="554">
        <f>BUILDING!H37</f>
        <v>0</v>
      </c>
      <c r="J44" s="532"/>
      <c r="K44" s="560"/>
      <c r="L44" s="557"/>
      <c r="M44" s="557"/>
      <c r="N44" s="559"/>
      <c r="P44" s="698"/>
    </row>
    <row r="45" spans="3:16" x14ac:dyDescent="0.25">
      <c r="C45" s="549">
        <f>BUILDING!D38</f>
        <v>0</v>
      </c>
      <c r="D45" s="550"/>
      <c r="E45" s="551"/>
      <c r="F45" s="552">
        <f>BUILDING!C38</f>
        <v>0</v>
      </c>
      <c r="G45" s="532"/>
      <c r="H45" s="557"/>
      <c r="I45" s="554">
        <f>BUILDING!H38</f>
        <v>0</v>
      </c>
      <c r="J45" s="532"/>
      <c r="K45" s="560"/>
      <c r="L45" s="557"/>
      <c r="M45" s="557"/>
      <c r="N45" s="559"/>
      <c r="P45" s="698"/>
    </row>
    <row r="46" spans="3:16" x14ac:dyDescent="0.25">
      <c r="C46" s="549">
        <f>BUILDING!D39</f>
        <v>0</v>
      </c>
      <c r="D46" s="550"/>
      <c r="E46" s="551"/>
      <c r="F46" s="552">
        <f>BUILDING!C39</f>
        <v>0</v>
      </c>
      <c r="G46" s="532"/>
      <c r="H46" s="557"/>
      <c r="I46" s="554">
        <f>BUILDING!H39</f>
        <v>0</v>
      </c>
      <c r="J46" s="532"/>
      <c r="K46" s="560"/>
      <c r="L46" s="557"/>
      <c r="M46" s="557"/>
      <c r="N46" s="559"/>
      <c r="P46" s="698"/>
    </row>
    <row r="47" spans="3:16" x14ac:dyDescent="0.25">
      <c r="C47" s="549">
        <f>BUILDING!D40</f>
        <v>0</v>
      </c>
      <c r="D47" s="550"/>
      <c r="E47" s="551"/>
      <c r="F47" s="552">
        <f>BUILDING!C40</f>
        <v>0</v>
      </c>
      <c r="G47" s="532"/>
      <c r="H47" s="557"/>
      <c r="I47" s="554">
        <f>BUILDING!H40</f>
        <v>0</v>
      </c>
      <c r="J47" s="532"/>
      <c r="K47" s="560"/>
      <c r="L47" s="557"/>
      <c r="M47" s="557"/>
      <c r="N47" s="559"/>
      <c r="P47" s="698"/>
    </row>
    <row r="48" spans="3:16" x14ac:dyDescent="0.25">
      <c r="C48" s="549">
        <f>BUILDING!D41</f>
        <v>0</v>
      </c>
      <c r="D48" s="550"/>
      <c r="E48" s="551"/>
      <c r="F48" s="552">
        <f>BUILDING!C41</f>
        <v>0</v>
      </c>
      <c r="G48" s="532"/>
      <c r="H48" s="557"/>
      <c r="I48" s="554">
        <f>BUILDING!H41</f>
        <v>0</v>
      </c>
      <c r="J48" s="532"/>
      <c r="K48" s="560"/>
      <c r="L48" s="557"/>
      <c r="M48" s="557"/>
      <c r="N48" s="559"/>
      <c r="P48" s="698"/>
    </row>
    <row r="49" spans="3:16" x14ac:dyDescent="0.25">
      <c r="C49" s="549">
        <f>BUILDING!D42</f>
        <v>0</v>
      </c>
      <c r="D49" s="550"/>
      <c r="E49" s="551"/>
      <c r="F49" s="552">
        <f>BUILDING!C42</f>
        <v>0</v>
      </c>
      <c r="G49" s="532"/>
      <c r="H49" s="557"/>
      <c r="I49" s="554">
        <f>BUILDING!H42</f>
        <v>0</v>
      </c>
      <c r="J49" s="532"/>
      <c r="K49" s="560"/>
      <c r="L49" s="557"/>
      <c r="M49" s="557"/>
      <c r="N49" s="559"/>
      <c r="P49" s="698"/>
    </row>
    <row r="50" spans="3:16" x14ac:dyDescent="0.25">
      <c r="C50" s="549">
        <f>BUILDING!D43</f>
        <v>0</v>
      </c>
      <c r="D50" s="550"/>
      <c r="E50" s="551"/>
      <c r="F50" s="552">
        <f>BUILDING!C43</f>
        <v>0</v>
      </c>
      <c r="G50" s="532"/>
      <c r="H50" s="557"/>
      <c r="I50" s="554">
        <f>BUILDING!H43</f>
        <v>0</v>
      </c>
      <c r="J50" s="532"/>
      <c r="K50" s="560"/>
      <c r="L50" s="557"/>
      <c r="M50" s="557"/>
      <c r="N50" s="559"/>
      <c r="P50" s="698"/>
    </row>
    <row r="51" spans="3:16" x14ac:dyDescent="0.25">
      <c r="C51" s="549">
        <f>BUILDING!D44</f>
        <v>0</v>
      </c>
      <c r="D51" s="550"/>
      <c r="E51" s="551"/>
      <c r="F51" s="552">
        <f>BUILDING!C44</f>
        <v>0</v>
      </c>
      <c r="G51" s="532"/>
      <c r="H51" s="557"/>
      <c r="I51" s="554">
        <f>BUILDING!H44</f>
        <v>0</v>
      </c>
      <c r="J51" s="532"/>
      <c r="K51" s="560"/>
      <c r="L51" s="557"/>
      <c r="M51" s="557"/>
      <c r="N51" s="559"/>
      <c r="P51" s="698"/>
    </row>
    <row r="52" spans="3:16" x14ac:dyDescent="0.25">
      <c r="C52" s="549">
        <f>BUILDING!D45</f>
        <v>0</v>
      </c>
      <c r="D52" s="550"/>
      <c r="E52" s="551"/>
      <c r="F52" s="552">
        <f>BUILDING!C45</f>
        <v>0</v>
      </c>
      <c r="G52" s="532"/>
      <c r="H52" s="557"/>
      <c r="I52" s="554">
        <f>BUILDING!H45</f>
        <v>0</v>
      </c>
      <c r="J52" s="532"/>
      <c r="K52" s="560"/>
      <c r="L52" s="557"/>
      <c r="M52" s="557"/>
      <c r="N52" s="559"/>
      <c r="P52" s="698"/>
    </row>
    <row r="53" spans="3:16" x14ac:dyDescent="0.25">
      <c r="C53" s="549">
        <f>BUILDING!D46</f>
        <v>0</v>
      </c>
      <c r="D53" s="550"/>
      <c r="E53" s="551"/>
      <c r="F53" s="552">
        <f>BUILDING!C46</f>
        <v>0</v>
      </c>
      <c r="G53" s="532"/>
      <c r="H53" s="557"/>
      <c r="I53" s="554">
        <f>BUILDING!H46</f>
        <v>0</v>
      </c>
      <c r="J53" s="532"/>
      <c r="K53" s="560"/>
      <c r="L53" s="557"/>
      <c r="M53" s="557"/>
      <c r="N53" s="559"/>
      <c r="P53" s="698"/>
    </row>
    <row r="54" spans="3:16" x14ac:dyDescent="0.25">
      <c r="C54" s="549">
        <f>BUILDING!D47</f>
        <v>0</v>
      </c>
      <c r="D54" s="550"/>
      <c r="E54" s="551"/>
      <c r="F54" s="552">
        <f>BUILDING!C47</f>
        <v>0</v>
      </c>
      <c r="G54" s="532"/>
      <c r="H54" s="557"/>
      <c r="I54" s="554">
        <f>BUILDING!H47</f>
        <v>0</v>
      </c>
      <c r="J54" s="532"/>
      <c r="K54" s="560"/>
      <c r="L54" s="557"/>
      <c r="M54" s="557"/>
      <c r="N54" s="559"/>
      <c r="P54" s="698"/>
    </row>
    <row r="55" spans="3:16" x14ac:dyDescent="0.25">
      <c r="C55" s="549">
        <f>BUILDING!D48</f>
        <v>0</v>
      </c>
      <c r="D55" s="550"/>
      <c r="E55" s="551"/>
      <c r="F55" s="552">
        <f>BUILDING!C48</f>
        <v>0</v>
      </c>
      <c r="G55" s="532"/>
      <c r="H55" s="557"/>
      <c r="I55" s="554">
        <f>BUILDING!H48</f>
        <v>0</v>
      </c>
      <c r="J55" s="532"/>
      <c r="K55" s="560"/>
      <c r="L55" s="557"/>
      <c r="M55" s="557"/>
      <c r="N55" s="559"/>
      <c r="P55" s="698"/>
    </row>
    <row r="56" spans="3:16" x14ac:dyDescent="0.25">
      <c r="C56" s="549">
        <f>BUILDING!D49</f>
        <v>0</v>
      </c>
      <c r="D56" s="550"/>
      <c r="E56" s="551"/>
      <c r="F56" s="552">
        <f>BUILDING!C49</f>
        <v>0</v>
      </c>
      <c r="G56" s="532"/>
      <c r="H56" s="557"/>
      <c r="I56" s="554">
        <f>BUILDING!H49</f>
        <v>0</v>
      </c>
      <c r="J56" s="532"/>
      <c r="K56" s="560"/>
      <c r="L56" s="557"/>
      <c r="M56" s="557"/>
      <c r="N56" s="559"/>
      <c r="P56" s="698"/>
    </row>
    <row r="57" spans="3:16" x14ac:dyDescent="0.25">
      <c r="C57" s="549">
        <f>BUILDING!D50</f>
        <v>0</v>
      </c>
      <c r="D57" s="550"/>
      <c r="E57" s="551"/>
      <c r="F57" s="552">
        <f>BUILDING!C50</f>
        <v>0</v>
      </c>
      <c r="G57" s="532"/>
      <c r="H57" s="557"/>
      <c r="I57" s="554">
        <f>BUILDING!H50</f>
        <v>0</v>
      </c>
      <c r="J57" s="532"/>
      <c r="K57" s="560"/>
      <c r="L57" s="557"/>
      <c r="M57" s="557"/>
      <c r="N57" s="559"/>
      <c r="P57" s="698"/>
    </row>
    <row r="58" spans="3:16" x14ac:dyDescent="0.25">
      <c r="C58" s="549">
        <f>BUILDING!D51</f>
        <v>0</v>
      </c>
      <c r="D58" s="550"/>
      <c r="E58" s="551"/>
      <c r="F58" s="552">
        <f>BUILDING!C51</f>
        <v>0</v>
      </c>
      <c r="G58" s="532"/>
      <c r="H58" s="557"/>
      <c r="I58" s="554">
        <f>BUILDING!H51</f>
        <v>0</v>
      </c>
      <c r="J58" s="532"/>
      <c r="K58" s="560"/>
      <c r="L58" s="557"/>
      <c r="M58" s="557"/>
      <c r="N58" s="559"/>
      <c r="P58" s="698"/>
    </row>
    <row r="59" spans="3:16" x14ac:dyDescent="0.25">
      <c r="C59" s="549">
        <f>BUILDING!D52</f>
        <v>0</v>
      </c>
      <c r="D59" s="550"/>
      <c r="E59" s="551"/>
      <c r="F59" s="552">
        <f>BUILDING!C52</f>
        <v>0</v>
      </c>
      <c r="G59" s="532"/>
      <c r="H59" s="557"/>
      <c r="I59" s="554">
        <f>BUILDING!H52</f>
        <v>0</v>
      </c>
      <c r="J59" s="532"/>
      <c r="K59" s="560"/>
      <c r="L59" s="557"/>
      <c r="M59" s="557"/>
      <c r="N59" s="559"/>
      <c r="P59" s="698"/>
    </row>
    <row r="60" spans="3:16" x14ac:dyDescent="0.25">
      <c r="C60" s="549">
        <f>BUILDING!D53</f>
        <v>0</v>
      </c>
      <c r="D60" s="550"/>
      <c r="E60" s="551"/>
      <c r="F60" s="552">
        <f>BUILDING!C53</f>
        <v>0</v>
      </c>
      <c r="G60" s="532"/>
      <c r="H60" s="557"/>
      <c r="I60" s="554">
        <f>BUILDING!H53</f>
        <v>0</v>
      </c>
      <c r="J60" s="532"/>
      <c r="K60" s="560"/>
      <c r="L60" s="557"/>
      <c r="M60" s="557"/>
      <c r="N60" s="559"/>
      <c r="P60" s="698"/>
    </row>
    <row r="61" spans="3:16" x14ac:dyDescent="0.25">
      <c r="C61" s="549">
        <f>BUILDING!D54</f>
        <v>0</v>
      </c>
      <c r="D61" s="550"/>
      <c r="E61" s="551"/>
      <c r="F61" s="552">
        <f>BUILDING!C54</f>
        <v>0</v>
      </c>
      <c r="G61" s="532"/>
      <c r="H61" s="557"/>
      <c r="I61" s="554">
        <f>BUILDING!H54</f>
        <v>0</v>
      </c>
      <c r="J61" s="532"/>
      <c r="K61" s="560"/>
      <c r="L61" s="557"/>
      <c r="M61" s="557"/>
      <c r="N61" s="559"/>
      <c r="P61" s="698"/>
    </row>
    <row r="62" spans="3:16" x14ac:dyDescent="0.25">
      <c r="C62" s="549">
        <f>BUILDING!D55</f>
        <v>0</v>
      </c>
      <c r="D62" s="550"/>
      <c r="E62" s="551"/>
      <c r="F62" s="552">
        <f>BUILDING!C55</f>
        <v>0</v>
      </c>
      <c r="G62" s="532"/>
      <c r="H62" s="557"/>
      <c r="I62" s="554">
        <f>BUILDING!H55</f>
        <v>0</v>
      </c>
      <c r="J62" s="532"/>
      <c r="K62" s="560"/>
      <c r="L62" s="557"/>
      <c r="M62" s="557"/>
      <c r="N62" s="559"/>
      <c r="P62" s="698"/>
    </row>
    <row r="63" spans="3:16" x14ac:dyDescent="0.25">
      <c r="C63" s="549">
        <f>BUILDING!D56</f>
        <v>0</v>
      </c>
      <c r="D63" s="550"/>
      <c r="E63" s="551"/>
      <c r="F63" s="552">
        <f>BUILDING!C56</f>
        <v>0</v>
      </c>
      <c r="G63" s="532"/>
      <c r="H63" s="557"/>
      <c r="I63" s="554">
        <f>BUILDING!H56</f>
        <v>0</v>
      </c>
      <c r="J63" s="532"/>
      <c r="K63" s="560"/>
      <c r="L63" s="557"/>
      <c r="M63" s="557"/>
      <c r="N63" s="559"/>
      <c r="P63" s="698"/>
    </row>
    <row r="64" spans="3:16" x14ac:dyDescent="0.25">
      <c r="C64" s="549">
        <f>BUILDING!D57</f>
        <v>0</v>
      </c>
      <c r="D64" s="550"/>
      <c r="E64" s="551"/>
      <c r="F64" s="552">
        <f>BUILDING!C57</f>
        <v>0</v>
      </c>
      <c r="G64" s="532"/>
      <c r="H64" s="557"/>
      <c r="I64" s="554">
        <f>BUILDING!H57</f>
        <v>0</v>
      </c>
      <c r="J64" s="532"/>
      <c r="K64" s="560"/>
      <c r="L64" s="557"/>
      <c r="M64" s="557"/>
      <c r="N64" s="559"/>
      <c r="P64" s="698"/>
    </row>
    <row r="65" spans="3:16" x14ac:dyDescent="0.25">
      <c r="C65" s="549">
        <f>BUILDING!D58</f>
        <v>0</v>
      </c>
      <c r="D65" s="550"/>
      <c r="E65" s="551"/>
      <c r="F65" s="552">
        <f>BUILDING!C58</f>
        <v>0</v>
      </c>
      <c r="G65" s="532"/>
      <c r="H65" s="557"/>
      <c r="I65" s="554">
        <f>BUILDING!H58</f>
        <v>0</v>
      </c>
      <c r="J65" s="532"/>
      <c r="K65" s="560"/>
      <c r="L65" s="557"/>
      <c r="M65" s="557"/>
      <c r="N65" s="559"/>
      <c r="P65" s="698"/>
    </row>
    <row r="66" spans="3:16" x14ac:dyDescent="0.25">
      <c r="C66" s="549">
        <f>BUILDING!D59</f>
        <v>0</v>
      </c>
      <c r="D66" s="550"/>
      <c r="E66" s="551"/>
      <c r="F66" s="552">
        <f>BUILDING!C59</f>
        <v>0</v>
      </c>
      <c r="G66" s="532"/>
      <c r="H66" s="557"/>
      <c r="I66" s="554">
        <f>BUILDING!H59</f>
        <v>0</v>
      </c>
      <c r="J66" s="532"/>
      <c r="K66" s="560"/>
      <c r="L66" s="557"/>
      <c r="M66" s="557"/>
      <c r="N66" s="559"/>
      <c r="P66" s="698"/>
    </row>
    <row r="67" spans="3:16" x14ac:dyDescent="0.25">
      <c r="C67" s="549">
        <f>BUILDING!D60</f>
        <v>0</v>
      </c>
      <c r="D67" s="550"/>
      <c r="E67" s="551"/>
      <c r="F67" s="552">
        <f>BUILDING!C60</f>
        <v>0</v>
      </c>
      <c r="G67" s="532"/>
      <c r="H67" s="557"/>
      <c r="I67" s="554">
        <f>BUILDING!H60</f>
        <v>0</v>
      </c>
      <c r="J67" s="532"/>
      <c r="K67" s="560"/>
      <c r="L67" s="557"/>
      <c r="M67" s="557"/>
      <c r="N67" s="559"/>
      <c r="P67" s="698"/>
    </row>
    <row r="68" spans="3:16" x14ac:dyDescent="0.25">
      <c r="C68" s="549">
        <f>BUILDING!D61</f>
        <v>0</v>
      </c>
      <c r="D68" s="550"/>
      <c r="E68" s="551"/>
      <c r="F68" s="552">
        <f>BUILDING!C61</f>
        <v>0</v>
      </c>
      <c r="G68" s="532"/>
      <c r="H68" s="557"/>
      <c r="I68" s="554">
        <f>BUILDING!H61</f>
        <v>0</v>
      </c>
      <c r="J68" s="532"/>
      <c r="K68" s="560"/>
      <c r="L68" s="557"/>
      <c r="M68" s="557"/>
      <c r="N68" s="559"/>
      <c r="P68" s="698"/>
    </row>
    <row r="69" spans="3:16" x14ac:dyDescent="0.25">
      <c r="C69" s="549">
        <f>BUILDING!D62</f>
        <v>0</v>
      </c>
      <c r="D69" s="550"/>
      <c r="E69" s="551"/>
      <c r="F69" s="552">
        <f>BUILDING!C62</f>
        <v>0</v>
      </c>
      <c r="G69" s="532"/>
      <c r="H69" s="557"/>
      <c r="I69" s="554">
        <f>BUILDING!H62</f>
        <v>0</v>
      </c>
      <c r="J69" s="532"/>
      <c r="K69" s="560"/>
      <c r="L69" s="557"/>
      <c r="M69" s="557"/>
      <c r="N69" s="559"/>
      <c r="P69" s="698"/>
    </row>
    <row r="70" spans="3:16" x14ac:dyDescent="0.25">
      <c r="C70" s="549">
        <f>BUILDING!D63</f>
        <v>0</v>
      </c>
      <c r="D70" s="550"/>
      <c r="E70" s="551"/>
      <c r="F70" s="552">
        <f>BUILDING!C63</f>
        <v>0</v>
      </c>
      <c r="G70" s="532"/>
      <c r="H70" s="557"/>
      <c r="I70" s="554">
        <f>BUILDING!H63</f>
        <v>0</v>
      </c>
      <c r="J70" s="532"/>
      <c r="K70" s="560"/>
      <c r="L70" s="557"/>
      <c r="M70" s="557"/>
      <c r="N70" s="559"/>
      <c r="P70" s="698"/>
    </row>
    <row r="71" spans="3:16" x14ac:dyDescent="0.25">
      <c r="C71" s="549">
        <f>BUILDING!D64</f>
        <v>0</v>
      </c>
      <c r="D71" s="550"/>
      <c r="E71" s="551"/>
      <c r="F71" s="552">
        <f>BUILDING!C64</f>
        <v>0</v>
      </c>
      <c r="G71" s="532"/>
      <c r="H71" s="557"/>
      <c r="I71" s="554">
        <f>BUILDING!H64</f>
        <v>0</v>
      </c>
      <c r="J71" s="532"/>
      <c r="K71" s="560"/>
      <c r="L71" s="557"/>
      <c r="M71" s="557"/>
      <c r="N71" s="559"/>
      <c r="P71" s="698"/>
    </row>
    <row r="72" spans="3:16" x14ac:dyDescent="0.25">
      <c r="C72" s="549">
        <f>BUILDING!D65</f>
        <v>0</v>
      </c>
      <c r="D72" s="550"/>
      <c r="E72" s="551"/>
      <c r="F72" s="552">
        <f>BUILDING!C65</f>
        <v>0</v>
      </c>
      <c r="G72" s="532"/>
      <c r="H72" s="557"/>
      <c r="I72" s="554">
        <f>BUILDING!H65</f>
        <v>0</v>
      </c>
      <c r="J72" s="532"/>
      <c r="K72" s="560"/>
      <c r="L72" s="557"/>
      <c r="M72" s="557"/>
      <c r="N72" s="559"/>
      <c r="P72" s="698"/>
    </row>
    <row r="73" spans="3:16" x14ac:dyDescent="0.25">
      <c r="C73" s="549">
        <f>BUILDING!D66</f>
        <v>0</v>
      </c>
      <c r="D73" s="550"/>
      <c r="E73" s="551"/>
      <c r="F73" s="552">
        <f>BUILDING!C66</f>
        <v>0</v>
      </c>
      <c r="G73" s="532"/>
      <c r="H73" s="557"/>
      <c r="I73" s="554">
        <f>BUILDING!H66</f>
        <v>0</v>
      </c>
      <c r="J73" s="532"/>
      <c r="K73" s="560"/>
      <c r="L73" s="557"/>
      <c r="M73" s="557"/>
      <c r="N73" s="559"/>
      <c r="P73" s="698"/>
    </row>
    <row r="74" spans="3:16" x14ac:dyDescent="0.25">
      <c r="C74" s="549">
        <f>BUILDING!D67</f>
        <v>0</v>
      </c>
      <c r="D74" s="550"/>
      <c r="E74" s="551"/>
      <c r="F74" s="552">
        <f>BUILDING!C67</f>
        <v>0</v>
      </c>
      <c r="G74" s="532"/>
      <c r="H74" s="557"/>
      <c r="I74" s="554">
        <f>BUILDING!H67</f>
        <v>0</v>
      </c>
      <c r="J74" s="532"/>
      <c r="K74" s="560"/>
      <c r="L74" s="557"/>
      <c r="M74" s="557"/>
      <c r="N74" s="559"/>
      <c r="P74" s="698"/>
    </row>
    <row r="75" spans="3:16" x14ac:dyDescent="0.25">
      <c r="C75" s="549">
        <f>BUILDING!D68</f>
        <v>0</v>
      </c>
      <c r="D75" s="550"/>
      <c r="E75" s="551"/>
      <c r="F75" s="552">
        <f>BUILDING!C68</f>
        <v>0</v>
      </c>
      <c r="G75" s="532"/>
      <c r="H75" s="557"/>
      <c r="I75" s="554">
        <f>BUILDING!H68</f>
        <v>0</v>
      </c>
      <c r="J75" s="532"/>
      <c r="K75" s="560"/>
      <c r="L75" s="557"/>
      <c r="M75" s="557"/>
      <c r="N75" s="559"/>
      <c r="P75" s="698"/>
    </row>
    <row r="76" spans="3:16" x14ac:dyDescent="0.25">
      <c r="C76" s="549">
        <f>BUILDING!D69</f>
        <v>0</v>
      </c>
      <c r="D76" s="550"/>
      <c r="E76" s="551"/>
      <c r="F76" s="552">
        <f>BUILDING!C69</f>
        <v>0</v>
      </c>
      <c r="G76" s="532"/>
      <c r="H76" s="557"/>
      <c r="I76" s="554">
        <f>BUILDING!H69</f>
        <v>0</v>
      </c>
      <c r="J76" s="532"/>
      <c r="K76" s="560"/>
      <c r="L76" s="557"/>
      <c r="M76" s="557"/>
      <c r="N76" s="559"/>
      <c r="P76" s="698"/>
    </row>
    <row r="77" spans="3:16" x14ac:dyDescent="0.25">
      <c r="C77" s="549">
        <f>BUILDING!D70</f>
        <v>0</v>
      </c>
      <c r="D77" s="550"/>
      <c r="E77" s="551"/>
      <c r="F77" s="552">
        <f>BUILDING!C70</f>
        <v>0</v>
      </c>
      <c r="G77" s="532"/>
      <c r="H77" s="557"/>
      <c r="I77" s="554">
        <f>BUILDING!H70</f>
        <v>0</v>
      </c>
      <c r="J77" s="532"/>
      <c r="K77" s="560"/>
      <c r="L77" s="557"/>
      <c r="M77" s="557"/>
      <c r="N77" s="559"/>
      <c r="P77" s="698"/>
    </row>
    <row r="78" spans="3:16" x14ac:dyDescent="0.25">
      <c r="C78" s="549">
        <f>BUILDING!D71</f>
        <v>0</v>
      </c>
      <c r="D78" s="550"/>
      <c r="E78" s="551"/>
      <c r="F78" s="552">
        <f>BUILDING!C71</f>
        <v>0</v>
      </c>
      <c r="G78" s="532"/>
      <c r="H78" s="557"/>
      <c r="I78" s="554">
        <f>BUILDING!H71</f>
        <v>0</v>
      </c>
      <c r="J78" s="532"/>
      <c r="K78" s="560"/>
      <c r="L78" s="557"/>
      <c r="M78" s="557"/>
      <c r="N78" s="559"/>
      <c r="P78" s="698"/>
    </row>
    <row r="79" spans="3:16" x14ac:dyDescent="0.25">
      <c r="C79" s="549">
        <f>BUILDING!D72</f>
        <v>0</v>
      </c>
      <c r="D79" s="550"/>
      <c r="E79" s="551"/>
      <c r="F79" s="552">
        <f>BUILDING!C72</f>
        <v>0</v>
      </c>
      <c r="G79" s="532"/>
      <c r="H79" s="557"/>
      <c r="I79" s="554">
        <f>BUILDING!H72</f>
        <v>0</v>
      </c>
      <c r="J79" s="532"/>
      <c r="K79" s="560"/>
      <c r="L79" s="557"/>
      <c r="M79" s="557"/>
      <c r="N79" s="559"/>
      <c r="P79" s="698"/>
    </row>
    <row r="80" spans="3:16" x14ac:dyDescent="0.25">
      <c r="C80" s="549">
        <f>BUILDING!D73</f>
        <v>0</v>
      </c>
      <c r="D80" s="550"/>
      <c r="E80" s="551"/>
      <c r="F80" s="552">
        <f>BUILDING!C73</f>
        <v>0</v>
      </c>
      <c r="G80" s="532"/>
      <c r="H80" s="557"/>
      <c r="I80" s="554">
        <f>BUILDING!H73</f>
        <v>0</v>
      </c>
      <c r="J80" s="532"/>
      <c r="K80" s="560"/>
      <c r="L80" s="557"/>
      <c r="M80" s="557"/>
      <c r="N80" s="559"/>
      <c r="P80" s="698"/>
    </row>
    <row r="81" spans="3:16" x14ac:dyDescent="0.25">
      <c r="C81" s="549">
        <f>BUILDING!D74</f>
        <v>0</v>
      </c>
      <c r="D81" s="550"/>
      <c r="E81" s="551"/>
      <c r="F81" s="552">
        <f>BUILDING!C74</f>
        <v>0</v>
      </c>
      <c r="G81" s="532"/>
      <c r="H81" s="557"/>
      <c r="I81" s="554">
        <f>BUILDING!H74</f>
        <v>0</v>
      </c>
      <c r="J81" s="532"/>
      <c r="K81" s="560"/>
      <c r="L81" s="557"/>
      <c r="M81" s="557"/>
      <c r="N81" s="559"/>
      <c r="P81" s="698"/>
    </row>
    <row r="82" spans="3:16" x14ac:dyDescent="0.25">
      <c r="C82" s="549">
        <f>BUILDING!D75</f>
        <v>0</v>
      </c>
      <c r="D82" s="550"/>
      <c r="E82" s="551"/>
      <c r="F82" s="552">
        <f>BUILDING!C75</f>
        <v>0</v>
      </c>
      <c r="G82" s="532"/>
      <c r="H82" s="557"/>
      <c r="I82" s="554">
        <f>BUILDING!H75</f>
        <v>0</v>
      </c>
      <c r="J82" s="532"/>
      <c r="K82" s="560"/>
      <c r="L82" s="557"/>
      <c r="M82" s="557"/>
      <c r="N82" s="559"/>
      <c r="P82" s="698"/>
    </row>
    <row r="83" spans="3:16" x14ac:dyDescent="0.25">
      <c r="C83" s="549">
        <f>BUILDING!D76</f>
        <v>0</v>
      </c>
      <c r="D83" s="550"/>
      <c r="E83" s="551"/>
      <c r="F83" s="552">
        <f>BUILDING!C76</f>
        <v>0</v>
      </c>
      <c r="G83" s="532"/>
      <c r="H83" s="557"/>
      <c r="I83" s="554">
        <f>BUILDING!H76</f>
        <v>0</v>
      </c>
      <c r="J83" s="532"/>
      <c r="K83" s="560"/>
      <c r="L83" s="557"/>
      <c r="M83" s="557"/>
      <c r="N83" s="559"/>
      <c r="P83" s="698"/>
    </row>
    <row r="84" spans="3:16" x14ac:dyDescent="0.25">
      <c r="C84" s="549">
        <f>BUILDING!D77</f>
        <v>0</v>
      </c>
      <c r="D84" s="550"/>
      <c r="E84" s="551"/>
      <c r="F84" s="552">
        <f>BUILDING!C77</f>
        <v>0</v>
      </c>
      <c r="G84" s="532"/>
      <c r="H84" s="557"/>
      <c r="I84" s="554">
        <f>BUILDING!H77</f>
        <v>0</v>
      </c>
      <c r="J84" s="532"/>
      <c r="K84" s="560"/>
      <c r="L84" s="557"/>
      <c r="M84" s="557"/>
      <c r="N84" s="559"/>
      <c r="P84" s="698"/>
    </row>
    <row r="85" spans="3:16" x14ac:dyDescent="0.25">
      <c r="C85" s="549">
        <f>BUILDING!D78</f>
        <v>0</v>
      </c>
      <c r="D85" s="550"/>
      <c r="E85" s="551"/>
      <c r="F85" s="552">
        <f>BUILDING!C78</f>
        <v>0</v>
      </c>
      <c r="G85" s="532"/>
      <c r="H85" s="557"/>
      <c r="I85" s="554">
        <f>BUILDING!H78</f>
        <v>0</v>
      </c>
      <c r="J85" s="532"/>
      <c r="K85" s="560"/>
      <c r="L85" s="557"/>
      <c r="M85" s="557"/>
      <c r="N85" s="559"/>
      <c r="P85" s="698"/>
    </row>
    <row r="86" spans="3:16" x14ac:dyDescent="0.25">
      <c r="C86" s="549">
        <f>BUILDING!D79</f>
        <v>0</v>
      </c>
      <c r="D86" s="550"/>
      <c r="E86" s="551"/>
      <c r="F86" s="552">
        <f>BUILDING!C79</f>
        <v>0</v>
      </c>
      <c r="G86" s="532"/>
      <c r="H86" s="557"/>
      <c r="I86" s="554">
        <f>BUILDING!H79</f>
        <v>0</v>
      </c>
      <c r="J86" s="532"/>
      <c r="K86" s="560"/>
      <c r="L86" s="557"/>
      <c r="M86" s="557"/>
      <c r="N86" s="559"/>
      <c r="P86" s="698"/>
    </row>
    <row r="87" spans="3:16" x14ac:dyDescent="0.25">
      <c r="C87" s="549">
        <f>BUILDING!D80</f>
        <v>0</v>
      </c>
      <c r="D87" s="550"/>
      <c r="E87" s="551"/>
      <c r="F87" s="552">
        <f>BUILDING!C80</f>
        <v>0</v>
      </c>
      <c r="G87" s="532"/>
      <c r="H87" s="557"/>
      <c r="I87" s="554">
        <f>BUILDING!H80</f>
        <v>0</v>
      </c>
      <c r="J87" s="532"/>
      <c r="K87" s="560"/>
      <c r="L87" s="557"/>
      <c r="M87" s="557"/>
      <c r="N87" s="559"/>
      <c r="P87" s="698"/>
    </row>
    <row r="88" spans="3:16" x14ac:dyDescent="0.25">
      <c r="C88" s="549">
        <f>BUILDING!D81</f>
        <v>0</v>
      </c>
      <c r="D88" s="550"/>
      <c r="E88" s="551"/>
      <c r="F88" s="552">
        <f>BUILDING!C81</f>
        <v>0</v>
      </c>
      <c r="G88" s="532"/>
      <c r="H88" s="557"/>
      <c r="I88" s="554">
        <f>BUILDING!H81</f>
        <v>0</v>
      </c>
      <c r="J88" s="532"/>
      <c r="K88" s="560"/>
      <c r="L88" s="557"/>
      <c r="M88" s="557"/>
      <c r="N88" s="559"/>
      <c r="P88" s="698"/>
    </row>
    <row r="89" spans="3:16" x14ac:dyDescent="0.25">
      <c r="C89" s="549">
        <f>BUILDING!D82</f>
        <v>0</v>
      </c>
      <c r="D89" s="550"/>
      <c r="E89" s="551"/>
      <c r="F89" s="552">
        <f>BUILDING!C82</f>
        <v>0</v>
      </c>
      <c r="G89" s="532"/>
      <c r="H89" s="557"/>
      <c r="I89" s="554">
        <f>BUILDING!H82</f>
        <v>0</v>
      </c>
      <c r="J89" s="532"/>
      <c r="K89" s="560"/>
      <c r="L89" s="557"/>
      <c r="M89" s="557"/>
      <c r="N89" s="559"/>
      <c r="P89" s="698"/>
    </row>
    <row r="90" spans="3:16" x14ac:dyDescent="0.25">
      <c r="C90" s="549">
        <f>BUILDING!D83</f>
        <v>0</v>
      </c>
      <c r="D90" s="550"/>
      <c r="E90" s="551"/>
      <c r="F90" s="552">
        <f>BUILDING!C83</f>
        <v>0</v>
      </c>
      <c r="G90" s="532"/>
      <c r="H90" s="557"/>
      <c r="I90" s="554">
        <f>BUILDING!H83</f>
        <v>0</v>
      </c>
      <c r="J90" s="532"/>
      <c r="K90" s="560"/>
      <c r="L90" s="557"/>
      <c r="M90" s="557"/>
      <c r="N90" s="559"/>
      <c r="P90" s="698"/>
    </row>
    <row r="91" spans="3:16" x14ac:dyDescent="0.25">
      <c r="C91" s="549">
        <f>BUILDING!D84</f>
        <v>0</v>
      </c>
      <c r="D91" s="550"/>
      <c r="E91" s="551"/>
      <c r="F91" s="552">
        <f>BUILDING!C84</f>
        <v>0</v>
      </c>
      <c r="G91" s="532"/>
      <c r="H91" s="557"/>
      <c r="I91" s="554">
        <f>BUILDING!H84</f>
        <v>0</v>
      </c>
      <c r="J91" s="532"/>
      <c r="K91" s="560"/>
      <c r="L91" s="557"/>
      <c r="M91" s="557"/>
      <c r="N91" s="559"/>
      <c r="P91" s="698"/>
    </row>
    <row r="92" spans="3:16" x14ac:dyDescent="0.25">
      <c r="C92" s="549">
        <f>BUILDING!D85</f>
        <v>0</v>
      </c>
      <c r="D92" s="550"/>
      <c r="E92" s="551"/>
      <c r="F92" s="552">
        <f>BUILDING!C85</f>
        <v>0</v>
      </c>
      <c r="G92" s="532"/>
      <c r="H92" s="557"/>
      <c r="I92" s="554">
        <f>BUILDING!H85</f>
        <v>0</v>
      </c>
      <c r="J92" s="532"/>
      <c r="K92" s="560"/>
      <c r="L92" s="557"/>
      <c r="M92" s="557"/>
      <c r="N92" s="559"/>
      <c r="P92" s="698"/>
    </row>
    <row r="93" spans="3:16" x14ac:dyDescent="0.25">
      <c r="C93" s="549">
        <f>BUILDING!D86</f>
        <v>0</v>
      </c>
      <c r="D93" s="550"/>
      <c r="E93" s="551"/>
      <c r="F93" s="552">
        <f>BUILDING!C86</f>
        <v>0</v>
      </c>
      <c r="G93" s="532"/>
      <c r="H93" s="557"/>
      <c r="I93" s="554">
        <f>BUILDING!H86</f>
        <v>0</v>
      </c>
      <c r="J93" s="532"/>
      <c r="K93" s="560"/>
      <c r="L93" s="557"/>
      <c r="M93" s="557"/>
      <c r="N93" s="559"/>
      <c r="P93" s="698"/>
    </row>
    <row r="94" spans="3:16" x14ac:dyDescent="0.25">
      <c r="C94" s="549">
        <f>BUILDING!D87</f>
        <v>0</v>
      </c>
      <c r="D94" s="550"/>
      <c r="E94" s="551"/>
      <c r="F94" s="552">
        <f>BUILDING!C87</f>
        <v>0</v>
      </c>
      <c r="G94" s="532"/>
      <c r="H94" s="557"/>
      <c r="I94" s="554">
        <f>BUILDING!H87</f>
        <v>0</v>
      </c>
      <c r="J94" s="532"/>
      <c r="K94" s="560"/>
      <c r="L94" s="557"/>
      <c r="M94" s="557"/>
      <c r="N94" s="559"/>
      <c r="P94" s="698"/>
    </row>
    <row r="95" spans="3:16" x14ac:dyDescent="0.25">
      <c r="C95" s="549">
        <f>BUILDING!D88</f>
        <v>0</v>
      </c>
      <c r="D95" s="550"/>
      <c r="E95" s="551"/>
      <c r="F95" s="552">
        <f>BUILDING!C88</f>
        <v>0</v>
      </c>
      <c r="G95" s="532"/>
      <c r="H95" s="557"/>
      <c r="I95" s="554">
        <f>BUILDING!H88</f>
        <v>0</v>
      </c>
      <c r="J95" s="532"/>
      <c r="K95" s="560"/>
      <c r="L95" s="557"/>
      <c r="M95" s="557"/>
      <c r="N95" s="559"/>
      <c r="P95" s="698"/>
    </row>
    <row r="96" spans="3:16" x14ac:dyDescent="0.25">
      <c r="C96" s="549">
        <f>BUILDING!D89</f>
        <v>0</v>
      </c>
      <c r="D96" s="550"/>
      <c r="E96" s="551"/>
      <c r="F96" s="552">
        <f>BUILDING!C89</f>
        <v>0</v>
      </c>
      <c r="G96" s="532"/>
      <c r="H96" s="557"/>
      <c r="I96" s="554">
        <f>BUILDING!H89</f>
        <v>0</v>
      </c>
      <c r="J96" s="532"/>
      <c r="K96" s="560"/>
      <c r="L96" s="557"/>
      <c r="M96" s="557"/>
      <c r="N96" s="559"/>
      <c r="P96" s="698"/>
    </row>
    <row r="97" spans="3:16" x14ac:dyDescent="0.25">
      <c r="C97" s="549">
        <f>BUILDING!D90</f>
        <v>0</v>
      </c>
      <c r="D97" s="550"/>
      <c r="E97" s="551"/>
      <c r="F97" s="552">
        <f>BUILDING!C90</f>
        <v>0</v>
      </c>
      <c r="G97" s="532"/>
      <c r="H97" s="557"/>
      <c r="I97" s="554">
        <f>BUILDING!H90</f>
        <v>0</v>
      </c>
      <c r="J97" s="532"/>
      <c r="K97" s="560"/>
      <c r="L97" s="557"/>
      <c r="M97" s="557"/>
      <c r="N97" s="559"/>
      <c r="P97" s="698"/>
    </row>
    <row r="98" spans="3:16" x14ac:dyDescent="0.25">
      <c r="C98" s="549">
        <f>BUILDING!D91</f>
        <v>0</v>
      </c>
      <c r="D98" s="550"/>
      <c r="E98" s="551"/>
      <c r="F98" s="552">
        <f>BUILDING!C91</f>
        <v>0</v>
      </c>
      <c r="G98" s="532"/>
      <c r="H98" s="557"/>
      <c r="I98" s="554">
        <f>BUILDING!H91</f>
        <v>0</v>
      </c>
      <c r="J98" s="532"/>
      <c r="K98" s="560"/>
      <c r="L98" s="557"/>
      <c r="M98" s="557"/>
      <c r="N98" s="559"/>
      <c r="P98" s="698"/>
    </row>
    <row r="99" spans="3:16" x14ac:dyDescent="0.25">
      <c r="C99" s="549">
        <f>BUILDING!D92</f>
        <v>0</v>
      </c>
      <c r="D99" s="550"/>
      <c r="E99" s="551"/>
      <c r="F99" s="552">
        <f>BUILDING!C92</f>
        <v>0</v>
      </c>
      <c r="G99" s="532"/>
      <c r="H99" s="557"/>
      <c r="I99" s="554">
        <f>BUILDING!H92</f>
        <v>0</v>
      </c>
      <c r="J99" s="532"/>
      <c r="K99" s="560"/>
      <c r="L99" s="557"/>
      <c r="M99" s="557"/>
      <c r="N99" s="559"/>
      <c r="P99" s="698"/>
    </row>
    <row r="100" spans="3:16" x14ac:dyDescent="0.25">
      <c r="C100" s="549">
        <f>BUILDING!D93</f>
        <v>0</v>
      </c>
      <c r="D100" s="550"/>
      <c r="E100" s="551"/>
      <c r="F100" s="552">
        <f>BUILDING!C93</f>
        <v>0</v>
      </c>
      <c r="G100" s="532"/>
      <c r="H100" s="557"/>
      <c r="I100" s="554">
        <f>BUILDING!H93</f>
        <v>0</v>
      </c>
      <c r="J100" s="532"/>
      <c r="K100" s="560"/>
      <c r="L100" s="557"/>
      <c r="M100" s="557"/>
      <c r="N100" s="559"/>
      <c r="P100" s="698"/>
    </row>
    <row r="101" spans="3:16" x14ac:dyDescent="0.25">
      <c r="C101" s="549">
        <f>BUILDING!D94</f>
        <v>0</v>
      </c>
      <c r="D101" s="550"/>
      <c r="E101" s="551"/>
      <c r="F101" s="552">
        <f>BUILDING!C94</f>
        <v>0</v>
      </c>
      <c r="G101" s="532"/>
      <c r="H101" s="557"/>
      <c r="I101" s="554">
        <f>BUILDING!H94</f>
        <v>0</v>
      </c>
      <c r="J101" s="532"/>
      <c r="K101" s="560"/>
      <c r="L101" s="557"/>
      <c r="M101" s="557"/>
      <c r="N101" s="559"/>
      <c r="P101" s="698"/>
    </row>
    <row r="102" spans="3:16" x14ac:dyDescent="0.25">
      <c r="C102" s="549">
        <f>BUILDING!D95</f>
        <v>0</v>
      </c>
      <c r="D102" s="550"/>
      <c r="E102" s="551"/>
      <c r="F102" s="552">
        <f>BUILDING!C95</f>
        <v>0</v>
      </c>
      <c r="G102" s="532"/>
      <c r="H102" s="557"/>
      <c r="I102" s="554">
        <f>BUILDING!H95</f>
        <v>0</v>
      </c>
      <c r="J102" s="532"/>
      <c r="K102" s="560"/>
      <c r="L102" s="557"/>
      <c r="M102" s="557"/>
      <c r="N102" s="559"/>
      <c r="P102" s="698"/>
    </row>
    <row r="103" spans="3:16" x14ac:dyDescent="0.25">
      <c r="C103" s="549">
        <f>BUILDING!D96</f>
        <v>0</v>
      </c>
      <c r="D103" s="550"/>
      <c r="E103" s="551"/>
      <c r="F103" s="552">
        <f>BUILDING!C96</f>
        <v>0</v>
      </c>
      <c r="G103" s="532"/>
      <c r="H103" s="557"/>
      <c r="I103" s="554">
        <f>BUILDING!H96</f>
        <v>0</v>
      </c>
      <c r="J103" s="532"/>
      <c r="K103" s="560"/>
      <c r="L103" s="557"/>
      <c r="M103" s="557"/>
      <c r="N103" s="559"/>
      <c r="P103" s="698"/>
    </row>
    <row r="104" spans="3:16" x14ac:dyDescent="0.25">
      <c r="C104" s="549">
        <f>BUILDING!D97</f>
        <v>0</v>
      </c>
      <c r="D104" s="550"/>
      <c r="E104" s="551"/>
      <c r="F104" s="552">
        <f>BUILDING!C97</f>
        <v>0</v>
      </c>
      <c r="G104" s="532"/>
      <c r="H104" s="557"/>
      <c r="I104" s="554">
        <f>BUILDING!H97</f>
        <v>0</v>
      </c>
      <c r="J104" s="532"/>
      <c r="K104" s="560"/>
      <c r="L104" s="557"/>
      <c r="M104" s="557"/>
      <c r="N104" s="559"/>
      <c r="P104" s="698"/>
    </row>
    <row r="105" spans="3:16" x14ac:dyDescent="0.25">
      <c r="C105" s="549">
        <f>BUILDING!D98</f>
        <v>0</v>
      </c>
      <c r="D105" s="550"/>
      <c r="E105" s="551"/>
      <c r="F105" s="552">
        <f>BUILDING!C98</f>
        <v>0</v>
      </c>
      <c r="G105" s="532"/>
      <c r="H105" s="557"/>
      <c r="I105" s="554">
        <f>BUILDING!H98</f>
        <v>0</v>
      </c>
      <c r="J105" s="532"/>
      <c r="K105" s="560"/>
      <c r="L105" s="557"/>
      <c r="M105" s="557"/>
      <c r="N105" s="559"/>
      <c r="P105" s="698"/>
    </row>
    <row r="106" spans="3:16" x14ac:dyDescent="0.25">
      <c r="C106" s="549">
        <f>BUILDING!D99</f>
        <v>0</v>
      </c>
      <c r="D106" s="550"/>
      <c r="E106" s="551"/>
      <c r="F106" s="552">
        <f>BUILDING!C99</f>
        <v>0</v>
      </c>
      <c r="G106" s="532"/>
      <c r="H106" s="557"/>
      <c r="I106" s="554">
        <f>BUILDING!H99</f>
        <v>0</v>
      </c>
      <c r="J106" s="532"/>
      <c r="K106" s="560"/>
      <c r="L106" s="557"/>
      <c r="M106" s="557"/>
      <c r="N106" s="559"/>
      <c r="P106" s="698"/>
    </row>
    <row r="107" spans="3:16" x14ac:dyDescent="0.25">
      <c r="C107" s="549">
        <f>BUILDING!D100</f>
        <v>0</v>
      </c>
      <c r="D107" s="550"/>
      <c r="E107" s="551"/>
      <c r="F107" s="552">
        <f>BUILDING!C100</f>
        <v>0</v>
      </c>
      <c r="G107" s="532"/>
      <c r="H107" s="557"/>
      <c r="I107" s="554">
        <f>BUILDING!H100</f>
        <v>0</v>
      </c>
      <c r="J107" s="532"/>
      <c r="K107" s="560"/>
      <c r="L107" s="557"/>
      <c r="M107" s="557"/>
      <c r="N107" s="559"/>
      <c r="P107" s="698"/>
    </row>
    <row r="108" spans="3:16" x14ac:dyDescent="0.25">
      <c r="C108" s="549">
        <f>BUILDING!D101</f>
        <v>0</v>
      </c>
      <c r="D108" s="550"/>
      <c r="E108" s="551"/>
      <c r="F108" s="552">
        <f>BUILDING!C101</f>
        <v>0</v>
      </c>
      <c r="G108" s="532"/>
      <c r="H108" s="557"/>
      <c r="I108" s="554">
        <f>BUILDING!H101</f>
        <v>0</v>
      </c>
      <c r="J108" s="532"/>
      <c r="K108" s="560"/>
      <c r="L108" s="557"/>
      <c r="M108" s="557"/>
      <c r="N108" s="559"/>
      <c r="P108" s="698"/>
    </row>
    <row r="109" spans="3:16" x14ac:dyDescent="0.25">
      <c r="C109" s="549">
        <f>BUILDING!D102</f>
        <v>0</v>
      </c>
      <c r="D109" s="550"/>
      <c r="E109" s="551"/>
      <c r="F109" s="552">
        <f>BUILDING!C102</f>
        <v>0</v>
      </c>
      <c r="G109" s="532"/>
      <c r="H109" s="557"/>
      <c r="I109" s="554">
        <f>BUILDING!H102</f>
        <v>0</v>
      </c>
      <c r="J109" s="532"/>
      <c r="K109" s="560"/>
      <c r="L109" s="557"/>
      <c r="M109" s="557"/>
      <c r="N109" s="559"/>
      <c r="P109" s="698"/>
    </row>
    <row r="110" spans="3:16" x14ac:dyDescent="0.25">
      <c r="C110" s="549">
        <f>BUILDING!D103</f>
        <v>0</v>
      </c>
      <c r="D110" s="550"/>
      <c r="E110" s="551"/>
      <c r="F110" s="552">
        <f>BUILDING!C103</f>
        <v>0</v>
      </c>
      <c r="G110" s="532"/>
      <c r="H110" s="557"/>
      <c r="I110" s="554">
        <f>BUILDING!H103</f>
        <v>0</v>
      </c>
      <c r="J110" s="532"/>
      <c r="K110" s="560"/>
      <c r="L110" s="557"/>
      <c r="M110" s="557"/>
      <c r="N110" s="559"/>
      <c r="P110" s="698"/>
    </row>
    <row r="111" spans="3:16" x14ac:dyDescent="0.25">
      <c r="C111" s="549">
        <f>BUILDING!D104</f>
        <v>0</v>
      </c>
      <c r="D111" s="550"/>
      <c r="E111" s="551"/>
      <c r="F111" s="552">
        <f>BUILDING!C104</f>
        <v>0</v>
      </c>
      <c r="G111" s="532"/>
      <c r="H111" s="557"/>
      <c r="I111" s="554">
        <f>BUILDING!H104</f>
        <v>0</v>
      </c>
      <c r="J111" s="532"/>
      <c r="K111" s="560"/>
      <c r="L111" s="557"/>
      <c r="M111" s="557"/>
      <c r="N111" s="559"/>
      <c r="P111" s="698"/>
    </row>
    <row r="112" spans="3:16" x14ac:dyDescent="0.25">
      <c r="C112" s="549">
        <f>BUILDING!D105</f>
        <v>0</v>
      </c>
      <c r="D112" s="550"/>
      <c r="E112" s="551"/>
      <c r="F112" s="552">
        <f>BUILDING!C105</f>
        <v>0</v>
      </c>
      <c r="G112" s="532"/>
      <c r="H112" s="557"/>
      <c r="I112" s="554">
        <f>BUILDING!H105</f>
        <v>0</v>
      </c>
      <c r="J112" s="532"/>
      <c r="K112" s="560"/>
      <c r="L112" s="557"/>
      <c r="M112" s="557"/>
      <c r="N112" s="559"/>
      <c r="P112" s="698"/>
    </row>
    <row r="113" spans="3:16" x14ac:dyDescent="0.25">
      <c r="C113" s="549">
        <f>BUILDING!D106</f>
        <v>0</v>
      </c>
      <c r="D113" s="550"/>
      <c r="E113" s="551"/>
      <c r="F113" s="552">
        <f>BUILDING!C106</f>
        <v>0</v>
      </c>
      <c r="G113" s="532"/>
      <c r="H113" s="557"/>
      <c r="I113" s="554">
        <f>BUILDING!H106</f>
        <v>0</v>
      </c>
      <c r="J113" s="532"/>
      <c r="K113" s="560"/>
      <c r="L113" s="557"/>
      <c r="M113" s="557"/>
      <c r="N113" s="559"/>
      <c r="P113" s="698"/>
    </row>
    <row r="114" spans="3:16" x14ac:dyDescent="0.25">
      <c r="C114" s="549">
        <f>BUILDING!D107</f>
        <v>0</v>
      </c>
      <c r="D114" s="550"/>
      <c r="E114" s="551"/>
      <c r="F114" s="552">
        <f>BUILDING!C107</f>
        <v>0</v>
      </c>
      <c r="G114" s="532"/>
      <c r="H114" s="557"/>
      <c r="I114" s="554">
        <f>BUILDING!H107</f>
        <v>0</v>
      </c>
      <c r="J114" s="532"/>
      <c r="K114" s="560"/>
      <c r="L114" s="557"/>
      <c r="M114" s="557"/>
      <c r="N114" s="559"/>
      <c r="P114" s="698"/>
    </row>
    <row r="115" spans="3:16" x14ac:dyDescent="0.25">
      <c r="C115" s="549">
        <f>BUILDING!D108</f>
        <v>0</v>
      </c>
      <c r="D115" s="550"/>
      <c r="E115" s="551"/>
      <c r="F115" s="552">
        <f>BUILDING!C108</f>
        <v>0</v>
      </c>
      <c r="G115" s="532"/>
      <c r="H115" s="557"/>
      <c r="I115" s="554">
        <f>BUILDING!H108</f>
        <v>0</v>
      </c>
      <c r="J115" s="532"/>
      <c r="K115" s="560"/>
      <c r="L115" s="557"/>
      <c r="M115" s="557"/>
      <c r="N115" s="559"/>
      <c r="P115" s="698"/>
    </row>
    <row r="116" spans="3:16" x14ac:dyDescent="0.25">
      <c r="C116" s="549">
        <f>BUILDING!D109</f>
        <v>0</v>
      </c>
      <c r="D116" s="550"/>
      <c r="E116" s="551"/>
      <c r="F116" s="552">
        <f>BUILDING!C109</f>
        <v>0</v>
      </c>
      <c r="G116" s="532"/>
      <c r="H116" s="557"/>
      <c r="I116" s="554">
        <f>BUILDING!H109</f>
        <v>0</v>
      </c>
      <c r="J116" s="532"/>
      <c r="K116" s="560"/>
      <c r="L116" s="557"/>
      <c r="M116" s="557"/>
      <c r="N116" s="559"/>
      <c r="P116" s="698"/>
    </row>
    <row r="117" spans="3:16" x14ac:dyDescent="0.25">
      <c r="C117" s="47" t="s">
        <v>240</v>
      </c>
      <c r="I117" s="561">
        <f>SUM(I17:I116)</f>
        <v>0</v>
      </c>
      <c r="J117" s="562">
        <f>SUM(J17:J116)</f>
        <v>0</v>
      </c>
      <c r="P117" s="698"/>
    </row>
    <row r="118" spans="3:16" x14ac:dyDescent="0.25">
      <c r="C118" s="44"/>
      <c r="J118" s="71"/>
      <c r="P118" s="698"/>
    </row>
    <row r="119" spans="3:16" x14ac:dyDescent="0.25">
      <c r="C119" s="43" t="s">
        <v>843</v>
      </c>
      <c r="J119" s="563"/>
      <c r="K119" s="863" t="s">
        <v>2203</v>
      </c>
      <c r="P119" s="698"/>
    </row>
    <row r="120" spans="3:16" x14ac:dyDescent="0.25">
      <c r="C120" s="59" t="s">
        <v>844</v>
      </c>
      <c r="J120" s="71"/>
      <c r="P120" s="698"/>
    </row>
    <row r="121" spans="3:16" x14ac:dyDescent="0.25">
      <c r="C121" s="44"/>
      <c r="P121" s="698"/>
    </row>
    <row r="122" spans="3:16" x14ac:dyDescent="0.25">
      <c r="C122" s="43" t="s">
        <v>845</v>
      </c>
      <c r="P122" s="698"/>
    </row>
    <row r="123" spans="3:16" ht="16.95" customHeight="1" x14ac:dyDescent="0.25">
      <c r="C123" s="57" t="s">
        <v>846</v>
      </c>
      <c r="F123" s="564"/>
      <c r="P123" s="699" t="s">
        <v>16</v>
      </c>
    </row>
    <row r="124" spans="3:16" ht="16.95" customHeight="1" x14ac:dyDescent="0.25">
      <c r="C124" s="7" t="s">
        <v>2204</v>
      </c>
      <c r="P124" s="698"/>
    </row>
    <row r="125" spans="3:16" ht="16.95" customHeight="1" x14ac:dyDescent="0.3">
      <c r="C125" s="543"/>
      <c r="D125" s="44" t="s">
        <v>847</v>
      </c>
      <c r="E125" s="44"/>
      <c r="F125" s="44"/>
      <c r="G125" s="9" t="s">
        <v>848</v>
      </c>
      <c r="H125" s="360"/>
      <c r="I125" s="73" t="s">
        <v>849</v>
      </c>
      <c r="J125" s="565">
        <f>H125*6000</f>
        <v>0</v>
      </c>
      <c r="K125" s="74"/>
      <c r="M125" s="75"/>
      <c r="N125" s="75"/>
      <c r="P125" s="698"/>
    </row>
    <row r="126" spans="3:16" ht="16.95" customHeight="1" x14ac:dyDescent="0.25">
      <c r="C126" s="543"/>
      <c r="D126" s="44" t="s">
        <v>850</v>
      </c>
      <c r="E126" s="44"/>
      <c r="F126" s="44"/>
      <c r="G126" s="9" t="s">
        <v>851</v>
      </c>
      <c r="H126" s="360"/>
      <c r="I126" s="73" t="s">
        <v>852</v>
      </c>
      <c r="J126" s="566">
        <f>H126*0.2</f>
        <v>0</v>
      </c>
      <c r="K126" s="75"/>
      <c r="M126" s="75"/>
      <c r="N126" s="75"/>
      <c r="P126" s="698"/>
    </row>
    <row r="127" spans="3:16" ht="18.600000000000001" x14ac:dyDescent="0.3">
      <c r="C127" s="72" t="s">
        <v>853</v>
      </c>
      <c r="P127" s="698"/>
    </row>
    <row r="128" spans="3:16" x14ac:dyDescent="0.25">
      <c r="C128" s="44"/>
      <c r="P128" s="698"/>
    </row>
    <row r="129" spans="3:14" x14ac:dyDescent="0.25">
      <c r="C129" s="336" t="s">
        <v>854</v>
      </c>
      <c r="D129" s="234"/>
      <c r="E129" s="234"/>
      <c r="F129" s="234"/>
      <c r="G129" s="234"/>
      <c r="H129" s="234"/>
      <c r="I129" s="234"/>
      <c r="J129" s="234"/>
      <c r="K129" s="234"/>
      <c r="L129" s="234"/>
      <c r="M129" s="234"/>
      <c r="N129" s="234"/>
    </row>
    <row r="130" spans="3:14" x14ac:dyDescent="0.25">
      <c r="C130" s="44"/>
    </row>
    <row r="131" spans="3:14" x14ac:dyDescent="0.25">
      <c r="C131" s="43" t="s">
        <v>2205</v>
      </c>
    </row>
    <row r="132" spans="3:14" x14ac:dyDescent="0.25">
      <c r="C132" s="543"/>
      <c r="D132" s="44" t="s">
        <v>855</v>
      </c>
      <c r="E132" s="44"/>
      <c r="F132" s="44"/>
    </row>
    <row r="133" spans="3:14" x14ac:dyDescent="0.25">
      <c r="C133" s="543"/>
      <c r="D133" s="44" t="s">
        <v>856</v>
      </c>
      <c r="E133" s="44"/>
      <c r="F133" s="44"/>
    </row>
    <row r="134" spans="3:14" x14ac:dyDescent="0.25">
      <c r="C134" s="543"/>
      <c r="D134" s="44" t="s">
        <v>857</v>
      </c>
      <c r="E134" s="44"/>
      <c r="F134" s="44"/>
    </row>
    <row r="135" spans="3:14" x14ac:dyDescent="0.25">
      <c r="C135" s="77"/>
      <c r="D135" s="44"/>
      <c r="E135" s="44"/>
      <c r="F135" s="44"/>
    </row>
    <row r="136" spans="3:14" x14ac:dyDescent="0.25">
      <c r="C136" s="43" t="s">
        <v>858</v>
      </c>
    </row>
    <row r="137" spans="3:14" x14ac:dyDescent="0.25">
      <c r="C137" s="44" t="s">
        <v>2206</v>
      </c>
    </row>
    <row r="138" spans="3:14" x14ac:dyDescent="0.25">
      <c r="C138" s="1966"/>
      <c r="D138" s="1967"/>
      <c r="E138" s="44" t="s">
        <v>308</v>
      </c>
    </row>
    <row r="139" spans="3:14" x14ac:dyDescent="0.25">
      <c r="C139" s="1966"/>
      <c r="D139" s="1967"/>
      <c r="E139" s="44" t="s">
        <v>324</v>
      </c>
    </row>
    <row r="141" spans="3:14" x14ac:dyDescent="0.25">
      <c r="C141" s="518" t="s">
        <v>859</v>
      </c>
      <c r="D141" s="234"/>
      <c r="E141" s="234"/>
      <c r="F141" s="234"/>
      <c r="G141" s="234"/>
      <c r="H141" s="234"/>
      <c r="I141" s="234"/>
      <c r="J141" s="234"/>
      <c r="K141" s="234"/>
      <c r="L141" s="234"/>
      <c r="M141" s="234"/>
      <c r="N141" s="234"/>
    </row>
    <row r="142" spans="3:14" x14ac:dyDescent="0.25">
      <c r="C142" s="47"/>
    </row>
    <row r="143" spans="3:14" x14ac:dyDescent="0.25">
      <c r="C143" s="43" t="s">
        <v>860</v>
      </c>
      <c r="E143" s="1565">
        <f>'DEV TEAM'!E249</f>
        <v>0</v>
      </c>
    </row>
    <row r="144" spans="3:14" x14ac:dyDescent="0.25">
      <c r="C144" s="73" t="s">
        <v>861</v>
      </c>
      <c r="E144" s="1565">
        <f>'DEV TEAM'!E252</f>
        <v>0</v>
      </c>
      <c r="J144" s="29" t="s">
        <v>862</v>
      </c>
      <c r="K144" s="1974">
        <f>'DEV TEAM'!I252</f>
        <v>0</v>
      </c>
      <c r="L144" s="1975"/>
    </row>
    <row r="145" spans="3:16" x14ac:dyDescent="0.25">
      <c r="P145" s="698"/>
    </row>
    <row r="146" spans="3:16" x14ac:dyDescent="0.25">
      <c r="C146" s="43" t="s">
        <v>2218</v>
      </c>
      <c r="F146" s="43" t="s">
        <v>2207</v>
      </c>
      <c r="P146" s="698"/>
    </row>
    <row r="147" spans="3:16" ht="24" x14ac:dyDescent="0.25">
      <c r="C147" s="543"/>
      <c r="D147" s="44" t="s">
        <v>306</v>
      </c>
      <c r="E147" s="44"/>
      <c r="F147" s="567" t="s">
        <v>864</v>
      </c>
      <c r="G147" s="567" t="s">
        <v>865</v>
      </c>
      <c r="H147" s="864" t="s">
        <v>2208</v>
      </c>
      <c r="P147" s="699" t="s">
        <v>16</v>
      </c>
    </row>
    <row r="148" spans="3:16" x14ac:dyDescent="0.25">
      <c r="C148" s="543"/>
      <c r="D148" s="44" t="s">
        <v>322</v>
      </c>
      <c r="E148" s="44"/>
      <c r="F148" s="568"/>
      <c r="G148" s="569"/>
      <c r="H148" s="557"/>
      <c r="P148" s="698"/>
    </row>
    <row r="149" spans="3:16" x14ac:dyDescent="0.25">
      <c r="F149" s="568"/>
      <c r="G149" s="570"/>
      <c r="H149" s="557"/>
      <c r="P149" s="698" t="s">
        <v>2209</v>
      </c>
    </row>
    <row r="150" spans="3:16" ht="13.8" x14ac:dyDescent="0.3">
      <c r="C150" s="43" t="s">
        <v>2219</v>
      </c>
      <c r="F150" s="568"/>
      <c r="G150" s="570"/>
      <c r="H150" s="557"/>
      <c r="P150" s="698" t="s">
        <v>2644</v>
      </c>
    </row>
    <row r="151" spans="3:16" x14ac:dyDescent="0.25">
      <c r="C151" s="543"/>
      <c r="D151" s="44" t="s">
        <v>307</v>
      </c>
      <c r="E151" s="44"/>
      <c r="F151" s="568"/>
      <c r="G151" s="570"/>
      <c r="H151" s="557"/>
      <c r="P151" s="698" t="s">
        <v>2210</v>
      </c>
    </row>
    <row r="152" spans="3:16" x14ac:dyDescent="0.25">
      <c r="C152" s="543"/>
      <c r="D152" s="44" t="s">
        <v>323</v>
      </c>
      <c r="E152" s="44"/>
      <c r="F152" s="568"/>
      <c r="G152" s="570"/>
      <c r="H152" s="557"/>
      <c r="P152" s="698" t="s">
        <v>2211</v>
      </c>
    </row>
    <row r="153" spans="3:16" x14ac:dyDescent="0.25">
      <c r="C153" s="543"/>
      <c r="D153" s="44" t="s">
        <v>337</v>
      </c>
      <c r="E153" s="44"/>
      <c r="F153" s="568"/>
      <c r="G153" s="570"/>
      <c r="H153" s="557"/>
      <c r="P153" s="698" t="s">
        <v>2212</v>
      </c>
    </row>
    <row r="154" spans="3:16" x14ac:dyDescent="0.25">
      <c r="C154" s="44"/>
      <c r="D154" s="44"/>
      <c r="E154" s="44"/>
      <c r="F154" s="568"/>
      <c r="G154" s="570"/>
      <c r="H154" s="557"/>
      <c r="P154" s="698" t="s">
        <v>2213</v>
      </c>
    </row>
    <row r="155" spans="3:16" x14ac:dyDescent="0.25">
      <c r="C155" s="44"/>
      <c r="D155" s="44"/>
      <c r="E155" s="44"/>
      <c r="F155" s="568"/>
      <c r="G155" s="570"/>
      <c r="H155" s="557"/>
      <c r="P155" s="698" t="s">
        <v>2214</v>
      </c>
    </row>
    <row r="156" spans="3:16" x14ac:dyDescent="0.25">
      <c r="C156" s="44"/>
      <c r="D156" s="44"/>
      <c r="E156" s="44"/>
      <c r="F156" s="568"/>
      <c r="G156" s="570"/>
      <c r="H156" s="557"/>
      <c r="P156" s="698" t="s">
        <v>2215</v>
      </c>
    </row>
    <row r="157" spans="3:16" x14ac:dyDescent="0.25">
      <c r="C157" s="44"/>
      <c r="D157" s="44"/>
      <c r="E157" s="44"/>
      <c r="F157" s="568"/>
      <c r="G157" s="570"/>
      <c r="H157" s="557"/>
      <c r="P157" s="704" t="s">
        <v>2216</v>
      </c>
    </row>
    <row r="158" spans="3:16" x14ac:dyDescent="0.25">
      <c r="P158" s="698" t="s">
        <v>2217</v>
      </c>
    </row>
    <row r="159" spans="3:16" x14ac:dyDescent="0.25">
      <c r="C159" s="336" t="s">
        <v>866</v>
      </c>
      <c r="D159" s="234"/>
      <c r="E159" s="234"/>
      <c r="F159" s="234"/>
      <c r="G159" s="234"/>
      <c r="H159" s="234"/>
      <c r="I159" s="234"/>
      <c r="J159" s="234"/>
      <c r="K159" s="234"/>
      <c r="L159" s="234"/>
      <c r="M159" s="234"/>
      <c r="N159" s="234"/>
      <c r="P159" s="698"/>
    </row>
    <row r="160" spans="3:16" x14ac:dyDescent="0.25">
      <c r="C160" s="44"/>
      <c r="P160" s="698"/>
    </row>
    <row r="161" spans="3:16" x14ac:dyDescent="0.25">
      <c r="C161" s="210" t="s">
        <v>867</v>
      </c>
      <c r="P161" s="700"/>
    </row>
    <row r="162" spans="3:16" ht="27.6" x14ac:dyDescent="0.3">
      <c r="C162" s="571" t="s">
        <v>868</v>
      </c>
      <c r="D162" s="572"/>
      <c r="E162" s="572"/>
      <c r="F162" s="572"/>
      <c r="G162" s="572"/>
      <c r="H162" s="572"/>
      <c r="I162" s="573" t="s">
        <v>869</v>
      </c>
      <c r="J162" s="574" t="s">
        <v>870</v>
      </c>
      <c r="K162" s="78"/>
      <c r="L162" s="151" t="s">
        <v>2458</v>
      </c>
      <c r="M162" s="151"/>
      <c r="N162" s="151" t="s">
        <v>2753</v>
      </c>
      <c r="P162" s="701"/>
    </row>
    <row r="163" spans="3:16" x14ac:dyDescent="0.25">
      <c r="C163" s="575" t="s">
        <v>871</v>
      </c>
      <c r="D163" s="576"/>
      <c r="E163" s="576"/>
      <c r="F163" s="576"/>
      <c r="G163" s="576"/>
      <c r="H163" s="576"/>
      <c r="I163" s="577">
        <f>USES!M164</f>
        <v>0</v>
      </c>
      <c r="J163" s="578">
        <f>USES!N164</f>
        <v>0</v>
      </c>
      <c r="K163" s="78"/>
      <c r="L163" s="726">
        <f>IF(GENERAL!$D9="4% Project",SUM(I163:J163),IF(GENERAL!$D9="4% Twinning Project",SUM(I163:J163),0))</f>
        <v>0</v>
      </c>
      <c r="M163" s="733" t="s">
        <v>2009</v>
      </c>
      <c r="N163" s="726">
        <f>IF(GENERAL!$D9="4% Project",SUM(K163:L163),IF(GENERAL!$D9="4% Twinning Project",SUM(K163:L163),0))</f>
        <v>0</v>
      </c>
      <c r="P163" s="698"/>
    </row>
    <row r="164" spans="3:16" ht="13.8" thickBot="1" x14ac:dyDescent="0.3">
      <c r="C164" s="579" t="s">
        <v>872</v>
      </c>
      <c r="D164" s="576"/>
      <c r="E164" s="576"/>
      <c r="F164" s="576"/>
      <c r="G164" s="1566"/>
      <c r="H164" s="576"/>
      <c r="I164" s="580"/>
      <c r="J164" s="581">
        <f>(-G212)</f>
        <v>0</v>
      </c>
      <c r="K164" s="78"/>
      <c r="L164" s="727">
        <f>IF(GENERAL!$D$9="4% Project",USES!J119,IF(GENERAL!$D$9="4% Twinning Project",USES!J119,0))</f>
        <v>0</v>
      </c>
      <c r="M164" s="734" t="s">
        <v>2010</v>
      </c>
      <c r="N164" s="727">
        <f>IF(GENERAL!$D$9="4% Project",USES!J119,IF(GENERAL!$D$9="4% Twinning Project",USES!J119,0))</f>
        <v>0</v>
      </c>
      <c r="P164" s="698"/>
    </row>
    <row r="165" spans="3:16" ht="13.8" thickBot="1" x14ac:dyDescent="0.3">
      <c r="C165" s="579" t="s">
        <v>873</v>
      </c>
      <c r="D165" s="576"/>
      <c r="E165" s="576"/>
      <c r="F165" s="576"/>
      <c r="G165" s="787" t="s">
        <v>80</v>
      </c>
      <c r="H165" s="576"/>
      <c r="I165" s="582"/>
      <c r="J165" s="582"/>
      <c r="K165" s="78"/>
      <c r="L165" s="728">
        <f>SUM(L163:L164)</f>
        <v>0</v>
      </c>
      <c r="M165" s="730"/>
      <c r="N165" s="728">
        <f>SUM(N163:N164)</f>
        <v>0</v>
      </c>
      <c r="P165" s="702"/>
    </row>
    <row r="166" spans="3:16" ht="13.8" thickBot="1" x14ac:dyDescent="0.3">
      <c r="C166" s="579" t="s">
        <v>873</v>
      </c>
      <c r="D166" s="576"/>
      <c r="E166" s="576"/>
      <c r="F166" s="576"/>
      <c r="G166" s="1568" t="s">
        <v>80</v>
      </c>
      <c r="H166" s="576"/>
      <c r="I166" s="582"/>
      <c r="J166" s="582"/>
      <c r="K166" s="78"/>
      <c r="L166" s="729">
        <v>0.3</v>
      </c>
      <c r="M166" s="731"/>
      <c r="N166" s="732">
        <v>0.5</v>
      </c>
      <c r="P166" s="703" t="s">
        <v>874</v>
      </c>
    </row>
    <row r="167" spans="3:16" x14ac:dyDescent="0.25">
      <c r="C167" s="579" t="s">
        <v>875</v>
      </c>
      <c r="D167" s="576"/>
      <c r="E167" s="576"/>
      <c r="F167" s="576"/>
      <c r="G167" s="1567"/>
      <c r="H167" s="576"/>
      <c r="I167" s="583"/>
      <c r="J167" s="582"/>
      <c r="K167" s="78"/>
      <c r="L167" s="725">
        <f>CEILING((L165*L166),5000)</f>
        <v>0</v>
      </c>
      <c r="M167" s="725"/>
      <c r="N167" s="725">
        <f>CEILING((N165*N166),5000)</f>
        <v>0</v>
      </c>
      <c r="P167" s="698"/>
    </row>
    <row r="168" spans="3:16" ht="13.8" thickBot="1" x14ac:dyDescent="0.3">
      <c r="C168" s="579" t="s">
        <v>876</v>
      </c>
      <c r="D168" s="576"/>
      <c r="E168" s="576"/>
      <c r="F168" s="576"/>
      <c r="G168" s="576"/>
      <c r="H168" s="576"/>
      <c r="I168" s="584"/>
      <c r="J168" s="865">
        <f>-G226</f>
        <v>0</v>
      </c>
      <c r="K168" s="78"/>
      <c r="P168" s="702"/>
    </row>
    <row r="169" spans="3:16" ht="13.8" thickBot="1" x14ac:dyDescent="0.3">
      <c r="C169" s="579" t="s">
        <v>877</v>
      </c>
      <c r="D169" s="585"/>
      <c r="E169" s="576"/>
      <c r="F169" s="576"/>
      <c r="G169" s="585"/>
      <c r="H169" s="585"/>
      <c r="I169" s="584"/>
      <c r="J169" s="865">
        <f>-H226</f>
        <v>0</v>
      </c>
      <c r="K169" s="78"/>
      <c r="M169" s="745" t="s">
        <v>2457</v>
      </c>
      <c r="N169" s="787"/>
      <c r="P169" s="704"/>
    </row>
    <row r="170" spans="3:16" x14ac:dyDescent="0.25">
      <c r="C170" s="575" t="s">
        <v>878</v>
      </c>
      <c r="D170" s="576"/>
      <c r="E170" s="576"/>
      <c r="F170" s="576"/>
      <c r="G170" s="576"/>
      <c r="H170" s="576"/>
      <c r="I170" s="586">
        <f>I163+(SUM(I164:I169))</f>
        <v>0</v>
      </c>
      <c r="J170" s="586">
        <f>J163+(SUM(J164:J169))</f>
        <v>0</v>
      </c>
      <c r="K170" s="78"/>
      <c r="P170" s="704"/>
    </row>
    <row r="171" spans="3:16" ht="13.8" thickBot="1" x14ac:dyDescent="0.3">
      <c r="C171" s="587" t="s">
        <v>879</v>
      </c>
      <c r="D171" s="588"/>
      <c r="E171" s="588"/>
      <c r="F171" s="588"/>
      <c r="G171" s="588"/>
      <c r="H171" s="588"/>
      <c r="I171" s="589"/>
      <c r="J171" s="1972"/>
      <c r="K171" s="78"/>
      <c r="L171" s="1976" t="s">
        <v>2754</v>
      </c>
      <c r="M171" s="1976"/>
      <c r="N171" s="1976"/>
      <c r="P171" s="698"/>
    </row>
    <row r="172" spans="3:16" ht="13.8" thickBot="1" x14ac:dyDescent="0.3">
      <c r="C172" s="590" t="s">
        <v>880</v>
      </c>
      <c r="D172" s="234"/>
      <c r="G172" s="787" t="s">
        <v>2767</v>
      </c>
      <c r="I172" s="591"/>
      <c r="J172" s="1973"/>
      <c r="K172" s="78"/>
      <c r="L172" s="1976"/>
      <c r="M172" s="1976"/>
      <c r="N172" s="1976"/>
      <c r="P172" s="704"/>
    </row>
    <row r="173" spans="3:16" ht="13.8" thickBot="1" x14ac:dyDescent="0.3">
      <c r="C173" s="575" t="s">
        <v>881</v>
      </c>
      <c r="D173" s="576"/>
      <c r="E173" s="576"/>
      <c r="F173" s="576"/>
      <c r="H173" s="576"/>
      <c r="I173" s="586">
        <f>I163-(SUM(I164:I169))</f>
        <v>0</v>
      </c>
      <c r="J173" s="586">
        <f>J170*J171</f>
        <v>0</v>
      </c>
      <c r="K173" s="78"/>
      <c r="P173" s="704"/>
    </row>
    <row r="174" spans="3:16" ht="13.8" thickBot="1" x14ac:dyDescent="0.3">
      <c r="C174" s="575" t="s">
        <v>882</v>
      </c>
      <c r="D174" s="576"/>
      <c r="E174" s="576"/>
      <c r="F174" s="872" t="s">
        <v>2719</v>
      </c>
      <c r="G174" s="787"/>
      <c r="H174" s="576"/>
      <c r="I174" s="592">
        <f>MIN($C$222,$F$222)</f>
        <v>0</v>
      </c>
      <c r="J174" s="592">
        <f>MIN($C$222,$F$222)</f>
        <v>0</v>
      </c>
      <c r="K174" s="78"/>
      <c r="P174" s="703" t="s">
        <v>883</v>
      </c>
    </row>
    <row r="175" spans="3:16" x14ac:dyDescent="0.25">
      <c r="C175" s="575" t="s">
        <v>884</v>
      </c>
      <c r="D175" s="576"/>
      <c r="E175" s="576"/>
      <c r="F175" s="576"/>
      <c r="G175" s="1567"/>
      <c r="H175" s="576"/>
      <c r="I175" s="586">
        <f>I173*I174</f>
        <v>0</v>
      </c>
      <c r="J175" s="586">
        <f>J173*J174</f>
        <v>0</v>
      </c>
      <c r="K175" s="78"/>
      <c r="P175" s="704"/>
    </row>
    <row r="176" spans="3:16" x14ac:dyDescent="0.25">
      <c r="C176" s="575" t="s">
        <v>885</v>
      </c>
      <c r="D176" s="576"/>
      <c r="E176" s="576"/>
      <c r="F176" s="576"/>
      <c r="G176" s="576"/>
      <c r="H176" s="576"/>
      <c r="I176" s="593"/>
      <c r="J176" s="594">
        <f>IF(GENERAL!$D$9="4% Project",4%,IF(GENERAL!$D$9="4% Twinning Project",4%,9%))</f>
        <v>0.04</v>
      </c>
      <c r="K176" s="78"/>
      <c r="M176" s="78"/>
      <c r="O176" s="24"/>
      <c r="P176" s="704"/>
    </row>
    <row r="177" spans="3:17" x14ac:dyDescent="0.25">
      <c r="C177" s="47" t="s">
        <v>2454</v>
      </c>
      <c r="I177" s="595">
        <f>I175*I176</f>
        <v>0</v>
      </c>
      <c r="J177" s="595">
        <f>J175*J176</f>
        <v>0</v>
      </c>
      <c r="K177" s="78"/>
      <c r="M177" s="78"/>
      <c r="P177" s="704"/>
    </row>
    <row r="178" spans="3:17" x14ac:dyDescent="0.25">
      <c r="C178" s="47"/>
      <c r="I178" s="241"/>
      <c r="J178" s="241"/>
      <c r="K178" s="78"/>
      <c r="M178" s="78"/>
      <c r="P178" s="704"/>
    </row>
    <row r="179" spans="3:17" ht="13.8" thickBot="1" x14ac:dyDescent="0.3">
      <c r="C179" s="43" t="s">
        <v>886</v>
      </c>
      <c r="K179" s="78"/>
      <c r="P179" s="698"/>
    </row>
    <row r="180" spans="3:17" ht="13.8" x14ac:dyDescent="0.3">
      <c r="C180" s="571" t="s">
        <v>868</v>
      </c>
      <c r="D180" s="596"/>
      <c r="E180" s="596"/>
      <c r="F180" s="596"/>
      <c r="G180" s="596"/>
      <c r="H180" s="596"/>
      <c r="I180" s="596"/>
      <c r="J180" s="1826" t="s">
        <v>706</v>
      </c>
      <c r="K180" s="1828" t="s">
        <v>2791</v>
      </c>
      <c r="L180" s="1829"/>
      <c r="M180" s="1829"/>
      <c r="N180" s="1829"/>
      <c r="O180" s="1830"/>
      <c r="P180" s="703" t="s">
        <v>887</v>
      </c>
    </row>
    <row r="181" spans="3:17" ht="13.8" thickBot="1" x14ac:dyDescent="0.3">
      <c r="C181" s="575" t="s">
        <v>888</v>
      </c>
      <c r="D181" s="576"/>
      <c r="E181" s="576"/>
      <c r="F181" s="598"/>
      <c r="G181" s="598"/>
      <c r="H181" s="598"/>
      <c r="I181" s="599" t="s">
        <v>2793</v>
      </c>
      <c r="J181" s="1827"/>
      <c r="K181" s="1831" t="s">
        <v>2792</v>
      </c>
      <c r="L181" s="1832"/>
      <c r="M181" s="1833"/>
      <c r="N181" s="1834"/>
      <c r="O181" s="1835"/>
    </row>
    <row r="182" spans="3:17" x14ac:dyDescent="0.25">
      <c r="C182" s="575" t="s">
        <v>889</v>
      </c>
      <c r="D182" s="576"/>
      <c r="E182" s="576"/>
      <c r="F182" s="576"/>
      <c r="G182" s="576"/>
      <c r="H182" s="576"/>
      <c r="I182" s="576"/>
      <c r="J182" s="600" t="s">
        <v>890</v>
      </c>
      <c r="K182" s="78"/>
      <c r="O182" s="24"/>
    </row>
    <row r="183" spans="3:17" x14ac:dyDescent="0.25">
      <c r="C183" s="575" t="s">
        <v>891</v>
      </c>
      <c r="D183" s="576"/>
      <c r="E183" s="576"/>
      <c r="F183" s="576"/>
      <c r="G183" s="576"/>
      <c r="H183" s="576"/>
      <c r="I183" s="576"/>
      <c r="J183" s="1580">
        <f>J181*10</f>
        <v>0</v>
      </c>
      <c r="K183" s="78"/>
      <c r="L183" s="1968">
        <f>IFERROR(J185/J183,0)</f>
        <v>0</v>
      </c>
      <c r="M183" s="1970" t="s">
        <v>892</v>
      </c>
      <c r="Q183" s="7" t="s">
        <v>2574</v>
      </c>
    </row>
    <row r="184" spans="3:17" x14ac:dyDescent="0.25">
      <c r="C184" s="575" t="s">
        <v>893</v>
      </c>
      <c r="D184" s="576"/>
      <c r="E184" s="576"/>
      <c r="F184" s="576"/>
      <c r="G184" s="576"/>
      <c r="H184" s="576"/>
      <c r="I184" s="576"/>
      <c r="J184" s="1320"/>
      <c r="K184" s="78"/>
      <c r="L184" s="1969"/>
      <c r="M184" s="1971"/>
      <c r="Q184" s="7" t="s">
        <v>2575</v>
      </c>
    </row>
    <row r="185" spans="3:17" x14ac:dyDescent="0.25">
      <c r="C185" s="575" t="s">
        <v>894</v>
      </c>
      <c r="D185" s="576"/>
      <c r="E185" s="576"/>
      <c r="F185" s="576"/>
      <c r="G185" s="576"/>
      <c r="H185" s="576"/>
      <c r="I185" s="576"/>
      <c r="J185" s="1579">
        <f>J183*J184</f>
        <v>0</v>
      </c>
      <c r="K185" s="78"/>
    </row>
    <row r="186" spans="3:17" x14ac:dyDescent="0.25">
      <c r="C186" s="575" t="s">
        <v>895</v>
      </c>
      <c r="J186" s="601"/>
      <c r="K186" s="78"/>
    </row>
    <row r="187" spans="3:17" x14ac:dyDescent="0.25">
      <c r="C187" s="575" t="s">
        <v>896</v>
      </c>
      <c r="D187" s="576"/>
      <c r="E187" s="576"/>
      <c r="F187" s="576"/>
      <c r="G187" s="576"/>
      <c r="H187" s="576"/>
      <c r="I187" s="576"/>
      <c r="J187" s="601"/>
      <c r="K187" s="78"/>
    </row>
    <row r="188" spans="3:17" x14ac:dyDescent="0.25">
      <c r="C188" s="47" t="s">
        <v>897</v>
      </c>
      <c r="J188" s="1578">
        <f>J186+J185</f>
        <v>0</v>
      </c>
      <c r="K188" s="78"/>
    </row>
    <row r="189" spans="3:17" x14ac:dyDescent="0.25">
      <c r="C189" s="44"/>
      <c r="K189" s="78"/>
    </row>
    <row r="190" spans="3:17" x14ac:dyDescent="0.25">
      <c r="C190" s="43" t="s">
        <v>898</v>
      </c>
      <c r="K190" s="78"/>
    </row>
    <row r="191" spans="3:17" ht="13.8" x14ac:dyDescent="0.3">
      <c r="C191" s="571" t="s">
        <v>868</v>
      </c>
      <c r="D191" s="596"/>
      <c r="E191" s="596"/>
      <c r="F191" s="596"/>
      <c r="G191" s="596"/>
      <c r="H191" s="596"/>
      <c r="I191" s="596"/>
      <c r="J191" s="597" t="s">
        <v>706</v>
      </c>
      <c r="K191" s="78"/>
      <c r="M191" s="78"/>
    </row>
    <row r="192" spans="3:17" ht="13.8" x14ac:dyDescent="0.3">
      <c r="C192" s="575" t="s">
        <v>899</v>
      </c>
      <c r="D192" s="576"/>
      <c r="E192" s="576"/>
      <c r="F192" s="576"/>
      <c r="G192" s="576"/>
      <c r="H192" s="576"/>
      <c r="I192" s="576"/>
      <c r="J192" s="1508">
        <f>J188</f>
        <v>0</v>
      </c>
      <c r="K192" s="78"/>
      <c r="M192" s="78"/>
    </row>
    <row r="193" spans="3:13" x14ac:dyDescent="0.25">
      <c r="C193" s="575" t="s">
        <v>895</v>
      </c>
      <c r="D193" s="576"/>
      <c r="E193" s="576"/>
      <c r="F193" s="576"/>
      <c r="G193" s="576"/>
      <c r="H193" s="576"/>
      <c r="I193" s="576"/>
      <c r="J193" s="1574">
        <f>G228</f>
        <v>0</v>
      </c>
      <c r="K193" s="78"/>
      <c r="M193" s="78"/>
    </row>
    <row r="194" spans="3:13" x14ac:dyDescent="0.25">
      <c r="C194" s="575" t="s">
        <v>900</v>
      </c>
      <c r="D194" s="602"/>
      <c r="E194" s="602"/>
      <c r="F194" s="602"/>
      <c r="G194" s="602"/>
      <c r="H194" s="602"/>
      <c r="I194" s="602"/>
      <c r="J194" s="1575">
        <f>H228</f>
        <v>0</v>
      </c>
      <c r="K194" s="78"/>
      <c r="M194" s="78"/>
    </row>
    <row r="195" spans="3:13" x14ac:dyDescent="0.25">
      <c r="C195" s="575" t="s">
        <v>901</v>
      </c>
      <c r="D195" s="576"/>
      <c r="E195" s="576"/>
      <c r="F195" s="576"/>
      <c r="G195" s="576"/>
      <c r="H195" s="576"/>
      <c r="I195" s="576"/>
      <c r="J195" s="1576">
        <f>J192-J193</f>
        <v>0</v>
      </c>
      <c r="K195" s="78"/>
      <c r="M195" s="78"/>
    </row>
    <row r="196" spans="3:13" x14ac:dyDescent="0.25">
      <c r="C196" s="575" t="s">
        <v>893</v>
      </c>
      <c r="D196" s="576"/>
      <c r="E196" s="576"/>
      <c r="F196" s="576"/>
      <c r="G196" s="576"/>
      <c r="H196" s="576"/>
      <c r="I196" s="576"/>
      <c r="J196" s="603">
        <f>J184</f>
        <v>0</v>
      </c>
      <c r="K196" s="78"/>
      <c r="M196" s="78"/>
    </row>
    <row r="197" spans="3:13" x14ac:dyDescent="0.25">
      <c r="C197" s="575" t="s">
        <v>891</v>
      </c>
      <c r="D197" s="576"/>
      <c r="E197" s="576"/>
      <c r="F197" s="576"/>
      <c r="G197" s="576"/>
      <c r="H197" s="576"/>
      <c r="I197" s="576"/>
      <c r="J197" s="1577">
        <f>J183</f>
        <v>0</v>
      </c>
      <c r="K197" s="78"/>
      <c r="M197" s="78"/>
    </row>
    <row r="198" spans="3:13" x14ac:dyDescent="0.25">
      <c r="C198" s="575" t="s">
        <v>902</v>
      </c>
      <c r="D198" s="576"/>
      <c r="E198" s="576"/>
      <c r="F198" s="576"/>
      <c r="G198" s="576"/>
      <c r="H198" s="576"/>
      <c r="I198" s="576"/>
      <c r="J198" s="33" t="s">
        <v>903</v>
      </c>
      <c r="K198" s="78"/>
      <c r="M198" s="78"/>
    </row>
    <row r="199" spans="3:13" x14ac:dyDescent="0.25">
      <c r="C199" s="47" t="s">
        <v>904</v>
      </c>
      <c r="J199" s="1573">
        <f>(J197/10)</f>
        <v>0</v>
      </c>
      <c r="K199" s="78"/>
      <c r="M199" s="78"/>
    </row>
    <row r="200" spans="3:13" x14ac:dyDescent="0.25">
      <c r="C200" s="44"/>
    </row>
    <row r="201" spans="3:13" x14ac:dyDescent="0.25">
      <c r="C201" s="43" t="s">
        <v>905</v>
      </c>
    </row>
    <row r="202" spans="3:13" x14ac:dyDescent="0.25">
      <c r="C202" s="57" t="s">
        <v>906</v>
      </c>
    </row>
    <row r="203" spans="3:13" x14ac:dyDescent="0.25">
      <c r="C203" s="57"/>
      <c r="F203" s="604"/>
      <c r="G203" s="605" t="s">
        <v>907</v>
      </c>
      <c r="K203" s="79"/>
    </row>
    <row r="204" spans="3:13" x14ac:dyDescent="0.25">
      <c r="C204" s="59"/>
      <c r="D204" s="80"/>
      <c r="E204" s="80"/>
      <c r="F204" s="606" t="s">
        <v>706</v>
      </c>
      <c r="G204" s="607" t="s">
        <v>908</v>
      </c>
      <c r="I204" s="80"/>
      <c r="K204" s="79"/>
    </row>
    <row r="205" spans="3:13" x14ac:dyDescent="0.25">
      <c r="C205" s="44" t="s">
        <v>909</v>
      </c>
      <c r="F205" s="294"/>
      <c r="G205" s="81"/>
      <c r="K205" s="79"/>
    </row>
    <row r="206" spans="3:13" x14ac:dyDescent="0.25">
      <c r="C206" s="44" t="s">
        <v>910</v>
      </c>
      <c r="F206" s="608"/>
      <c r="G206" s="360"/>
      <c r="K206" s="79"/>
    </row>
    <row r="207" spans="3:13" x14ac:dyDescent="0.25">
      <c r="C207" s="44" t="s">
        <v>533</v>
      </c>
      <c r="F207" s="608"/>
      <c r="G207" s="360"/>
      <c r="K207" s="79"/>
    </row>
    <row r="208" spans="3:13" x14ac:dyDescent="0.25">
      <c r="C208" s="44" t="s">
        <v>911</v>
      </c>
      <c r="F208" s="608"/>
      <c r="G208" s="360"/>
      <c r="K208" s="79"/>
    </row>
    <row r="209" spans="3:11" x14ac:dyDescent="0.25">
      <c r="C209" s="44" t="s">
        <v>912</v>
      </c>
      <c r="F209" s="608"/>
      <c r="G209" s="360"/>
      <c r="K209" s="79"/>
    </row>
    <row r="210" spans="3:11" ht="13.8" thickBot="1" x14ac:dyDescent="0.3">
      <c r="C210" s="44" t="s">
        <v>913</v>
      </c>
      <c r="F210" s="608"/>
      <c r="G210" s="360"/>
      <c r="K210" s="79"/>
    </row>
    <row r="211" spans="3:11" ht="13.8" thickBot="1" x14ac:dyDescent="0.3">
      <c r="C211" s="44" t="s">
        <v>280</v>
      </c>
      <c r="D211" s="787" t="s">
        <v>80</v>
      </c>
      <c r="F211" s="608"/>
      <c r="G211" s="360"/>
      <c r="K211" s="79"/>
    </row>
    <row r="212" spans="3:11" x14ac:dyDescent="0.25">
      <c r="C212" s="47" t="s">
        <v>914</v>
      </c>
      <c r="F212" s="1572">
        <f>+SUM(F205:F211)</f>
        <v>0</v>
      </c>
      <c r="G212" s="436">
        <f>+SUM(G205:G211)</f>
        <v>0</v>
      </c>
      <c r="K212" s="79"/>
    </row>
    <row r="213" spans="3:11" x14ac:dyDescent="0.25">
      <c r="C213" s="44"/>
    </row>
    <row r="214" spans="3:11" x14ac:dyDescent="0.25">
      <c r="C214" s="44"/>
    </row>
    <row r="215" spans="3:11" x14ac:dyDescent="0.25">
      <c r="C215" s="43" t="s">
        <v>915</v>
      </c>
    </row>
    <row r="216" spans="3:11" ht="13.8" x14ac:dyDescent="0.3">
      <c r="C216" s="44" t="s">
        <v>916</v>
      </c>
      <c r="G216" s="82"/>
    </row>
    <row r="217" spans="3:11" ht="4.95" customHeight="1" x14ac:dyDescent="0.25">
      <c r="G217" s="70"/>
    </row>
    <row r="218" spans="3:11" x14ac:dyDescent="0.25">
      <c r="C218" s="518" t="s">
        <v>917</v>
      </c>
      <c r="D218" s="518"/>
      <c r="E218" s="47"/>
      <c r="F218" s="518" t="s">
        <v>918</v>
      </c>
      <c r="G218" s="518"/>
      <c r="H218" s="234"/>
    </row>
    <row r="219" spans="3:11" ht="4.95" customHeight="1" x14ac:dyDescent="0.25"/>
    <row r="220" spans="3:11" x14ac:dyDescent="0.25">
      <c r="C220" s="273"/>
      <c r="D220" s="57" t="s">
        <v>919</v>
      </c>
      <c r="E220" s="57"/>
      <c r="F220" s="609"/>
      <c r="G220" s="44" t="s">
        <v>920</v>
      </c>
    </row>
    <row r="221" spans="3:11" x14ac:dyDescent="0.25">
      <c r="C221" s="273"/>
      <c r="D221" s="610" t="s">
        <v>190</v>
      </c>
      <c r="E221" s="57"/>
      <c r="F221" s="611"/>
      <c r="G221" s="373" t="s">
        <v>921</v>
      </c>
      <c r="H221" s="234"/>
    </row>
    <row r="222" spans="3:11" x14ac:dyDescent="0.25">
      <c r="C222" s="612" t="str">
        <f>IF(C220=0,"",C220/C221)</f>
        <v/>
      </c>
      <c r="D222" s="47" t="s">
        <v>917</v>
      </c>
      <c r="E222" s="47"/>
      <c r="F222" s="1571" t="str">
        <f>IF(F220=0,"",F220/F221)</f>
        <v/>
      </c>
      <c r="G222" s="47" t="s">
        <v>922</v>
      </c>
    </row>
    <row r="225" spans="3:11" x14ac:dyDescent="0.25">
      <c r="C225" s="47" t="s">
        <v>923</v>
      </c>
      <c r="G225" s="125" t="s">
        <v>924</v>
      </c>
      <c r="H225" s="125" t="s">
        <v>925</v>
      </c>
      <c r="I225" s="125" t="s">
        <v>926</v>
      </c>
      <c r="K225" s="83"/>
    </row>
    <row r="226" spans="3:11" x14ac:dyDescent="0.25">
      <c r="C226" s="12" t="s">
        <v>927</v>
      </c>
      <c r="G226" s="437"/>
      <c r="H226" s="437"/>
      <c r="I226" s="437"/>
      <c r="K226" s="79"/>
    </row>
    <row r="227" spans="3:11" x14ac:dyDescent="0.25">
      <c r="C227" s="44" t="s">
        <v>893</v>
      </c>
      <c r="G227" s="613"/>
      <c r="H227" s="613"/>
      <c r="I227" s="1569"/>
      <c r="K227" s="79"/>
    </row>
    <row r="228" spans="3:11" x14ac:dyDescent="0.25">
      <c r="C228" s="44" t="s">
        <v>928</v>
      </c>
      <c r="G228" s="1570">
        <f>G226*G227</f>
        <v>0</v>
      </c>
      <c r="H228" s="1570">
        <f>H226*H227</f>
        <v>0</v>
      </c>
      <c r="I228" s="1570">
        <f>SUM(G228:H228)</f>
        <v>0</v>
      </c>
      <c r="K228" s="79"/>
    </row>
    <row r="229" spans="3:11" x14ac:dyDescent="0.25">
      <c r="C229" s="79"/>
    </row>
  </sheetData>
  <sheetProtection algorithmName="SHA-512" hashValue="Mp+sg3O4AvwqgFy6H18rf1iXSE11QuqA+D2s1QeNbLXSyyWCgjPn/q3/7grcxuHCdrPLe0rpriQjnXyKZqv0QA==" saltValue="lkDkOS+3p+Ck8qT+qSNfGA==" spinCount="100000" sheet="1" objects="1" scenarios="1"/>
  <customSheetViews>
    <customSheetView guid="{76F395A0-B7E9-4489-8589-E8786779257B}" showPageBreaks="1" printArea="1" view="pageLayout">
      <selection activeCell="A2" sqref="A2"/>
      <rowBreaks count="2" manualBreakCount="2">
        <brk id="50" max="8" man="1"/>
        <brk id="101" max="8" man="1"/>
      </rowBreaks>
      <pageMargins left="0" right="0" top="0" bottom="0" header="0" footer="0"/>
      <pageSetup scale="92" firstPageNumber="15" orientation="portrait"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printArea="1" view="pageBreakPreview">
      <selection activeCell="E86" sqref="E86"/>
      <rowBreaks count="2" manualBreakCount="2">
        <brk id="50" max="8" man="1"/>
        <brk id="101" max="8" man="1"/>
      </rowBreaks>
      <pageMargins left="0" right="0" top="0" bottom="0" header="0" footer="0"/>
      <pageSetup scale="92" firstPageNumber="18" orientation="portrait"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howPageBreaks="1" printArea="1" view="pageBreakPreview" topLeftCell="A102">
      <selection activeCell="E86" sqref="E86"/>
      <rowBreaks count="2" manualBreakCount="2">
        <brk id="50" max="8" man="1"/>
        <brk id="101" max="8" man="1"/>
      </rowBreaks>
      <pageMargins left="0" right="0" top="0" bottom="0" header="0" footer="0"/>
      <pageSetup scale="92" firstPageNumber="18" orientation="portrait"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howPageBreaks="1" printArea="1" view="pageBreakPreview">
      <selection activeCell="E86" sqref="E86"/>
      <rowBreaks count="2" manualBreakCount="2">
        <brk id="50" max="8" man="1"/>
        <brk id="101" max="8" man="1"/>
      </rowBreaks>
      <pageMargins left="0" right="0" top="0" bottom="0" header="0" footer="0"/>
      <pageSetup scale="92" firstPageNumber="18" orientation="portrait"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printArea="1" view="pageBreakPreview" showRuler="0" topLeftCell="A76">
      <selection activeCell="E86" sqref="E86"/>
      <rowBreaks count="2" manualBreakCount="2">
        <brk id="50" max="8" man="1"/>
        <brk id="101" max="8" man="1"/>
      </rowBreaks>
      <pageMargins left="0" right="0" top="0" bottom="0" header="0" footer="0"/>
      <pageSetup scale="92" firstPageNumber="18" orientation="portrait"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printArea="1" view="pageBreakPreview" showRuler="0" topLeftCell="A73">
      <selection activeCell="I91" sqref="I91"/>
      <rowBreaks count="2" manualBreakCount="2">
        <brk id="46" max="16383" man="1"/>
        <brk id="98" max="16383" man="1"/>
      </rowBreaks>
      <pageMargins left="0" right="0" top="0" bottom="0" header="0" footer="0"/>
      <pageSetup scale="95" firstPageNumber="18" orientation="portrait"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showRuler="0" topLeftCell="A82">
      <selection activeCell="I97" sqref="I97"/>
      <rowBreaks count="2" manualBreakCount="2">
        <brk id="46" max="16383" man="1"/>
        <brk id="98" max="16383" man="1"/>
      </rowBreaks>
      <pageMargins left="0" right="0" top="0" bottom="0" header="0" footer="0"/>
      <pageSetup firstPageNumber="16" orientation="portrait" useFirstPageNumber="1" horizontalDpi="4294967292" r:id="rId7"/>
      <headerFooter alignWithMargins="0"/>
    </customSheetView>
    <customSheetView guid="{714B32FB-A92F-4F7C-8495-8C3BCEB888AE}" showPageBreaks="1" view="pageBreakPreview" showRuler="0" topLeftCell="A105">
      <selection activeCell="G12" sqref="G12"/>
      <rowBreaks count="2" manualBreakCount="2">
        <brk id="46" max="16383" man="1"/>
        <brk id="98" max="16383" man="1"/>
      </rowBreaks>
      <pageMargins left="0" right="0" top="0" bottom="0" header="0" footer="0"/>
      <pageSetup scale="95" firstPageNumber="18" orientation="portrait"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printArea="1" view="pageBreakPreview" showRuler="0" topLeftCell="A76">
      <selection activeCell="E86" sqref="E86"/>
      <rowBreaks count="2" manualBreakCount="2">
        <brk id="50" max="8" man="1"/>
        <brk id="101" max="8" man="1"/>
      </rowBreaks>
      <pageMargins left="0" right="0" top="0" bottom="0" header="0" footer="0"/>
      <pageSetup scale="92" firstPageNumber="18" orientation="portrait"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printArea="1" view="pageBreakPreview" topLeftCell="A102">
      <selection activeCell="E86" sqref="E86"/>
      <rowBreaks count="2" manualBreakCount="2">
        <brk id="50" max="8" man="1"/>
        <brk id="101" max="8" man="1"/>
      </rowBreaks>
      <pageMargins left="0" right="0" top="0" bottom="0" header="0" footer="0"/>
      <pageSetup scale="92" firstPageNumber="18" orientation="portrait"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printArea="1" view="pageBreakPreview">
      <selection activeCell="E86" sqref="E86"/>
      <rowBreaks count="2" manualBreakCount="2">
        <brk id="50" max="8" man="1"/>
        <brk id="101" max="8" man="1"/>
      </rowBreaks>
      <pageMargins left="0" right="0" top="0" bottom="0" header="0" footer="0"/>
      <pageSetup scale="92" firstPageNumber="18" orientation="portrait"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printArea="1" view="pageBreakPreview" topLeftCell="A62">
      <selection activeCell="I70" sqref="I70"/>
      <rowBreaks count="2" manualBreakCount="2">
        <brk id="50" max="8" man="1"/>
        <brk id="101" max="8" man="1"/>
      </rowBreaks>
      <pageMargins left="0" right="0" top="0" bottom="0" header="0" footer="0"/>
      <pageSetup scale="92" firstPageNumber="18" orientation="portrait"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printArea="1" view="pageBreakPreview" topLeftCell="A102">
      <selection activeCell="E86" sqref="E86"/>
      <rowBreaks count="2" manualBreakCount="2">
        <brk id="50" max="8" man="1"/>
        <brk id="101" max="8" man="1"/>
      </rowBreaks>
      <pageMargins left="0" right="0" top="0" bottom="0" header="0" footer="0"/>
      <pageSetup scale="92" firstPageNumber="18" orientation="portrait"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howPageBreaks="1" printArea="1" view="pageBreakPreview" topLeftCell="A102">
      <selection activeCell="E86" sqref="E86"/>
      <rowBreaks count="2" manualBreakCount="2">
        <brk id="50" max="8" man="1"/>
        <brk id="101" max="8" man="1"/>
      </rowBreaks>
      <pageMargins left="0" right="0" top="0" bottom="0" header="0" footer="0"/>
      <pageSetup scale="92" firstPageNumber="18" orientation="portrait" useFirstPageNumber="1" horizontalDpi="4294967292" r:id="rId14"/>
      <headerFooter alignWithMargins="0">
        <oddFooter>&amp;L&amp;"Times New Roman,Italic"&amp;8CDA Form 202 (09/23/2008)&amp;C&amp;"Times New Roman,Italic"&amp;9&amp;P&amp;R&amp;"Times New Roman,Italic"&amp;8&amp;A:&amp;D</oddFooter>
      </headerFooter>
    </customSheetView>
  </customSheetViews>
  <mergeCells count="7">
    <mergeCell ref="C138:D138"/>
    <mergeCell ref="C139:D139"/>
    <mergeCell ref="L183:L184"/>
    <mergeCell ref="M183:M184"/>
    <mergeCell ref="J171:J172"/>
    <mergeCell ref="K144:L144"/>
    <mergeCell ref="L171:N172"/>
  </mergeCells>
  <phoneticPr fontId="19" type="noConversion"/>
  <dataValidations count="4">
    <dataValidation type="list" allowBlank="1" showInputMessage="1" showErrorMessage="1" sqref="J119" xr:uid="{00000000-0002-0000-0800-000000000000}">
      <formula1>"Yes, No"</formula1>
    </dataValidation>
    <dataValidation type="list" allowBlank="1" showInputMessage="1" showErrorMessage="1" sqref="C125:C126 C8:C10 C147:C148 C132:C135 C138:D139 C151:C153" xr:uid="{00000000-0002-0000-0800-000001000000}">
      <formula1>$P$123:$P$124</formula1>
    </dataValidation>
    <dataValidation type="list" allowBlank="1" showInputMessage="1" showErrorMessage="1" errorTitle="Date Paid" error="Please enter a Date value." sqref="H148:H157" xr:uid="{7B78C0B6-C12D-4C4A-9AA0-38812F17D437}">
      <formula1>$P$149:$P$158</formula1>
    </dataValidation>
    <dataValidation type="list" allowBlank="1" showInputMessage="1" showErrorMessage="1" sqref="G174" xr:uid="{02E75172-106D-4748-9C6E-2CE79624C77C}">
      <formula1>$Q$183:$Q$184</formula1>
    </dataValidation>
  </dataValidations>
  <pageMargins left="0.25" right="0.25" top="0.25" bottom="0.25" header="0.25" footer="0.25"/>
  <pageSetup scale="56" fitToHeight="0" orientation="portrait" useFirstPageNumber="1" r:id="rId15"/>
  <headerFooter scaleWithDoc="0" alignWithMargins="0"/>
  <rowBreaks count="1" manualBreakCount="1">
    <brk id="157" max="16383" man="1"/>
  </rowBreaks>
  <ignoredErrors>
    <ignoredError sqref="J168:J169 N5:N6 E143 K144"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3">
    <tabColor rgb="FF0000FF"/>
    <pageSetUpPr fitToPage="1"/>
  </sheetPr>
  <dimension ref="C2:X93"/>
  <sheetViews>
    <sheetView showGridLines="0" view="pageBreakPreview" topLeftCell="C1" zoomScale="110" zoomScaleNormal="100" zoomScaleSheetLayoutView="110" workbookViewId="0">
      <selection activeCell="G22" sqref="G22"/>
    </sheetView>
  </sheetViews>
  <sheetFormatPr defaultColWidth="11.77734375" defaultRowHeight="13.2" x14ac:dyDescent="0.25"/>
  <cols>
    <col min="1" max="1" width="3.77734375" style="7" customWidth="1"/>
    <col min="2" max="2" width="2.77734375" style="7" customWidth="1"/>
    <col min="3" max="3" width="14.44140625" style="7" customWidth="1"/>
    <col min="4" max="4" width="17.44140625" style="7" customWidth="1"/>
    <col min="5" max="5" width="14.109375" style="7" customWidth="1"/>
    <col min="6" max="6" width="15.44140625" style="7" customWidth="1"/>
    <col min="7" max="7" width="11.77734375" style="7" customWidth="1"/>
    <col min="8" max="8" width="15.109375" style="7" customWidth="1"/>
    <col min="9" max="9" width="13.44140625" style="7" customWidth="1"/>
    <col min="10" max="11" width="15.77734375" style="7" customWidth="1"/>
    <col min="12" max="12" width="15.109375" style="7" customWidth="1"/>
    <col min="13" max="14" width="14.109375" style="7" customWidth="1"/>
    <col min="15" max="17" width="11.77734375" style="7" customWidth="1"/>
    <col min="18" max="18" width="2.77734375" style="7" customWidth="1"/>
    <col min="19" max="21" width="11.77734375" style="7" hidden="1" customWidth="1"/>
    <col min="22" max="23" width="11.77734375" style="7" customWidth="1"/>
    <col min="24" max="16384" width="11.77734375" style="7"/>
  </cols>
  <sheetData>
    <row r="2" spans="3:20" ht="18" x14ac:dyDescent="0.35">
      <c r="C2" s="90" t="s">
        <v>564</v>
      </c>
      <c r="D2" s="41"/>
      <c r="E2" s="41"/>
      <c r="F2" s="41"/>
      <c r="G2" s="41"/>
      <c r="H2" s="41"/>
      <c r="I2" s="41"/>
      <c r="J2" s="41"/>
      <c r="K2" s="41"/>
      <c r="L2" s="41"/>
      <c r="M2" s="41"/>
      <c r="N2" s="41"/>
    </row>
    <row r="3" spans="3:20" ht="12.75" customHeight="1" x14ac:dyDescent="0.35">
      <c r="C3" s="87"/>
      <c r="D3" s="41"/>
      <c r="E3" s="41"/>
      <c r="F3" s="41"/>
      <c r="G3" s="41"/>
      <c r="H3" s="41"/>
      <c r="I3" s="41"/>
      <c r="J3" s="41"/>
      <c r="K3" s="41"/>
      <c r="L3" s="41"/>
      <c r="M3" s="41"/>
      <c r="N3" s="42">
        <f>projname</f>
        <v>0</v>
      </c>
    </row>
    <row r="4" spans="3:20" s="43" customFormat="1" ht="12.75" customHeight="1" x14ac:dyDescent="0.25">
      <c r="M4" s="29" t="s">
        <v>227</v>
      </c>
      <c r="N4" s="384">
        <f>GENERAL!D7</f>
        <v>0</v>
      </c>
    </row>
    <row r="5" spans="3:20" s="43" customFormat="1" ht="4.95" customHeight="1" x14ac:dyDescent="0.25">
      <c r="C5" s="47"/>
      <c r="D5" s="69"/>
      <c r="N5" s="42"/>
    </row>
    <row r="6" spans="3:20" x14ac:dyDescent="0.25">
      <c r="C6" s="336" t="s">
        <v>565</v>
      </c>
      <c r="D6" s="234"/>
      <c r="E6" s="234"/>
      <c r="F6" s="234"/>
      <c r="G6" s="1386"/>
      <c r="H6" s="234"/>
      <c r="I6" s="234"/>
      <c r="J6" s="1386"/>
      <c r="K6" s="234"/>
      <c r="L6" s="234"/>
      <c r="M6" s="234"/>
      <c r="N6" s="234"/>
    </row>
    <row r="7" spans="3:20" x14ac:dyDescent="0.25">
      <c r="C7" s="44"/>
      <c r="H7" s="229"/>
      <c r="I7" s="229"/>
      <c r="J7" s="229"/>
      <c r="K7" s="229"/>
    </row>
    <row r="8" spans="3:20" x14ac:dyDescent="0.25">
      <c r="C8" s="47" t="s">
        <v>566</v>
      </c>
    </row>
    <row r="9" spans="3:20" x14ac:dyDescent="0.25">
      <c r="C9" s="404"/>
      <c r="D9" s="405" t="s">
        <v>567</v>
      </c>
      <c r="E9" s="406"/>
      <c r="F9" s="407"/>
      <c r="G9" s="407" t="s">
        <v>568</v>
      </c>
      <c r="H9" s="407"/>
      <c r="I9" s="407"/>
      <c r="J9" s="407"/>
      <c r="K9" s="407"/>
      <c r="L9" s="407"/>
      <c r="M9" s="407"/>
      <c r="N9" s="407"/>
      <c r="O9" s="407"/>
      <c r="P9" s="407"/>
      <c r="Q9" s="407"/>
    </row>
    <row r="10" spans="3:20" ht="43.2" customHeight="1" x14ac:dyDescent="0.3">
      <c r="C10" s="408" t="s">
        <v>2432</v>
      </c>
      <c r="D10" s="409" t="s">
        <v>2433</v>
      </c>
      <c r="E10" s="410" t="s">
        <v>2434</v>
      </c>
      <c r="F10" s="411" t="s">
        <v>572</v>
      </c>
      <c r="G10" s="412" t="s">
        <v>573</v>
      </c>
      <c r="H10" s="411" t="s">
        <v>2148</v>
      </c>
      <c r="I10" s="411" t="s">
        <v>2149</v>
      </c>
      <c r="J10" s="411" t="s">
        <v>576</v>
      </c>
      <c r="K10" s="411" t="s">
        <v>577</v>
      </c>
      <c r="L10" s="411" t="s">
        <v>578</v>
      </c>
      <c r="M10" s="411" t="s">
        <v>579</v>
      </c>
      <c r="N10" s="411" t="s">
        <v>580</v>
      </c>
      <c r="O10" s="411" t="s">
        <v>2435</v>
      </c>
      <c r="P10" s="411" t="s">
        <v>2742</v>
      </c>
      <c r="Q10" s="411" t="s">
        <v>2436</v>
      </c>
      <c r="T10" s="282" t="s">
        <v>581</v>
      </c>
    </row>
    <row r="11" spans="3:20" x14ac:dyDescent="0.25">
      <c r="C11" s="265"/>
      <c r="D11" s="413"/>
      <c r="E11" s="413"/>
      <c r="F11" s="266"/>
      <c r="G11" s="266"/>
      <c r="H11" s="267"/>
      <c r="I11" s="267"/>
      <c r="J11" s="1809"/>
      <c r="K11" s="414"/>
      <c r="L11" s="1581">
        <f>+SUM(I11:J11)</f>
        <v>0</v>
      </c>
      <c r="M11" s="1581">
        <f>F11*L11</f>
        <v>0</v>
      </c>
      <c r="N11" s="1581">
        <f>M11*12</f>
        <v>0</v>
      </c>
      <c r="O11" s="415"/>
      <c r="P11" s="415"/>
      <c r="Q11" s="415"/>
      <c r="T11" s="10" t="s">
        <v>582</v>
      </c>
    </row>
    <row r="12" spans="3:20" x14ac:dyDescent="0.25">
      <c r="C12" s="265"/>
      <c r="D12" s="413"/>
      <c r="E12" s="413"/>
      <c r="F12" s="266"/>
      <c r="G12" s="266"/>
      <c r="H12" s="267"/>
      <c r="I12" s="267"/>
      <c r="J12" s="1809"/>
      <c r="K12" s="414"/>
      <c r="L12" s="1582">
        <f>+SUM(I12:J12)</f>
        <v>0</v>
      </c>
      <c r="M12" s="1582">
        <f>SUM(F12*L12)</f>
        <v>0</v>
      </c>
      <c r="N12" s="1582">
        <f>+SUM(M12*12)</f>
        <v>0</v>
      </c>
      <c r="O12" s="415"/>
      <c r="P12" s="415"/>
      <c r="Q12" s="415"/>
      <c r="T12" s="7" t="s">
        <v>583</v>
      </c>
    </row>
    <row r="13" spans="3:20" x14ac:dyDescent="0.25">
      <c r="C13" s="265"/>
      <c r="D13" s="413"/>
      <c r="E13" s="413"/>
      <c r="F13" s="416"/>
      <c r="G13" s="416"/>
      <c r="H13" s="1810"/>
      <c r="I13" s="1810"/>
      <c r="J13" s="1811"/>
      <c r="K13" s="414"/>
      <c r="L13" s="1582">
        <f>+SUM(I13:J13)</f>
        <v>0</v>
      </c>
      <c r="M13" s="1582">
        <f>SUM(F13*L13)</f>
        <v>0</v>
      </c>
      <c r="N13" s="1582">
        <f>+SUM(M13*12)</f>
        <v>0</v>
      </c>
      <c r="O13" s="415"/>
      <c r="P13" s="415"/>
      <c r="Q13" s="415"/>
    </row>
    <row r="14" spans="3:20" x14ac:dyDescent="0.25">
      <c r="C14" s="265"/>
      <c r="D14" s="413"/>
      <c r="E14" s="413"/>
      <c r="F14" s="266"/>
      <c r="G14" s="266"/>
      <c r="H14" s="267"/>
      <c r="I14" s="267"/>
      <c r="J14" s="1811"/>
      <c r="K14" s="414"/>
      <c r="L14" s="1582">
        <f>+SUM(I14:J14)</f>
        <v>0</v>
      </c>
      <c r="M14" s="1582">
        <f>SUM(F14*L14)</f>
        <v>0</v>
      </c>
      <c r="N14" s="1582">
        <f>+SUM(M14*12)</f>
        <v>0</v>
      </c>
      <c r="O14" s="415"/>
      <c r="P14" s="415"/>
      <c r="Q14" s="415"/>
      <c r="T14" s="7" t="s">
        <v>584</v>
      </c>
    </row>
    <row r="15" spans="3:20" x14ac:dyDescent="0.25">
      <c r="C15" s="265"/>
      <c r="D15" s="413"/>
      <c r="E15" s="413"/>
      <c r="F15" s="416"/>
      <c r="G15" s="416"/>
      <c r="H15" s="1810"/>
      <c r="I15" s="1810"/>
      <c r="J15" s="1811"/>
      <c r="K15" s="266"/>
      <c r="L15" s="1582">
        <f>+SUM(I15:J15)</f>
        <v>0</v>
      </c>
      <c r="M15" s="1582">
        <f>SUM(F15*L15)</f>
        <v>0</v>
      </c>
      <c r="N15" s="1582">
        <f>+SUM(M15*12)</f>
        <v>0</v>
      </c>
      <c r="O15" s="415"/>
      <c r="P15" s="415"/>
      <c r="Q15" s="415"/>
    </row>
    <row r="16" spans="3:20" x14ac:dyDescent="0.25">
      <c r="C16" s="265"/>
      <c r="D16" s="413"/>
      <c r="E16" s="413"/>
      <c r="F16" s="416"/>
      <c r="G16" s="416"/>
      <c r="H16" s="1810"/>
      <c r="I16" s="1810"/>
      <c r="J16" s="1811"/>
      <c r="K16" s="266"/>
      <c r="L16" s="1582">
        <f t="shared" ref="L16:L33" si="0">+SUM(I16:J16)</f>
        <v>0</v>
      </c>
      <c r="M16" s="1582">
        <f t="shared" ref="M16:M25" si="1">SUM(F16*L16)</f>
        <v>0</v>
      </c>
      <c r="N16" s="1582">
        <f t="shared" ref="N16:N25" si="2">+SUM(M16*12)</f>
        <v>0</v>
      </c>
      <c r="O16" s="415"/>
      <c r="P16" s="415"/>
      <c r="Q16" s="415"/>
      <c r="T16" s="7" t="s">
        <v>585</v>
      </c>
    </row>
    <row r="17" spans="3:24" x14ac:dyDescent="0.25">
      <c r="C17" s="265"/>
      <c r="D17" s="413"/>
      <c r="E17" s="413"/>
      <c r="F17" s="416"/>
      <c r="G17" s="416"/>
      <c r="H17" s="1810"/>
      <c r="I17" s="1810"/>
      <c r="J17" s="1811"/>
      <c r="K17" s="266"/>
      <c r="L17" s="1582">
        <f t="shared" si="0"/>
        <v>0</v>
      </c>
      <c r="M17" s="1582">
        <f t="shared" si="1"/>
        <v>0</v>
      </c>
      <c r="N17" s="1582">
        <f t="shared" si="2"/>
        <v>0</v>
      </c>
      <c r="O17" s="415"/>
      <c r="P17" s="415"/>
      <c r="Q17" s="415"/>
    </row>
    <row r="18" spans="3:24" x14ac:dyDescent="0.25">
      <c r="C18" s="265"/>
      <c r="D18" s="413"/>
      <c r="E18" s="413"/>
      <c r="F18" s="416"/>
      <c r="G18" s="416"/>
      <c r="H18" s="1810"/>
      <c r="I18" s="1810"/>
      <c r="J18" s="1811"/>
      <c r="K18" s="266"/>
      <c r="L18" s="1582">
        <f t="shared" si="0"/>
        <v>0</v>
      </c>
      <c r="M18" s="1582">
        <f t="shared" si="1"/>
        <v>0</v>
      </c>
      <c r="N18" s="1582">
        <f t="shared" si="2"/>
        <v>0</v>
      </c>
      <c r="O18" s="415"/>
      <c r="P18" s="415"/>
      <c r="Q18" s="415"/>
      <c r="T18" s="7" t="s">
        <v>586</v>
      </c>
    </row>
    <row r="19" spans="3:24" x14ac:dyDescent="0.25">
      <c r="C19" s="265"/>
      <c r="D19" s="413"/>
      <c r="E19" s="413"/>
      <c r="F19" s="416"/>
      <c r="G19" s="416"/>
      <c r="H19" s="1810"/>
      <c r="I19" s="1810"/>
      <c r="J19" s="1811"/>
      <c r="K19" s="266"/>
      <c r="L19" s="1582">
        <f t="shared" si="0"/>
        <v>0</v>
      </c>
      <c r="M19" s="1582">
        <f>SUM(F19*L19)</f>
        <v>0</v>
      </c>
      <c r="N19" s="1582">
        <f t="shared" si="2"/>
        <v>0</v>
      </c>
      <c r="O19" s="415"/>
      <c r="P19" s="415"/>
      <c r="Q19" s="415"/>
    </row>
    <row r="20" spans="3:24" x14ac:dyDescent="0.25">
      <c r="C20" s="265"/>
      <c r="D20" s="413"/>
      <c r="E20" s="413"/>
      <c r="F20" s="416"/>
      <c r="G20" s="416"/>
      <c r="H20" s="1810"/>
      <c r="I20" s="1810"/>
      <c r="J20" s="1811"/>
      <c r="K20" s="266"/>
      <c r="L20" s="1582">
        <f t="shared" si="0"/>
        <v>0</v>
      </c>
      <c r="M20" s="1582">
        <f t="shared" si="1"/>
        <v>0</v>
      </c>
      <c r="N20" s="1582">
        <f t="shared" si="2"/>
        <v>0</v>
      </c>
      <c r="O20" s="415"/>
      <c r="P20" s="415"/>
      <c r="Q20" s="415"/>
      <c r="T20" s="7" t="s">
        <v>587</v>
      </c>
    </row>
    <row r="21" spans="3:24" x14ac:dyDescent="0.25">
      <c r="C21" s="265"/>
      <c r="D21" s="413"/>
      <c r="E21" s="413"/>
      <c r="F21" s="416"/>
      <c r="G21" s="416"/>
      <c r="H21" s="1810"/>
      <c r="I21" s="1810"/>
      <c r="J21" s="1811"/>
      <c r="K21" s="266"/>
      <c r="L21" s="1582">
        <f t="shared" si="0"/>
        <v>0</v>
      </c>
      <c r="M21" s="1582">
        <f t="shared" si="1"/>
        <v>0</v>
      </c>
      <c r="N21" s="1582">
        <f t="shared" si="2"/>
        <v>0</v>
      </c>
      <c r="O21" s="415"/>
      <c r="P21" s="415"/>
      <c r="Q21" s="415"/>
    </row>
    <row r="22" spans="3:24" x14ac:dyDescent="0.25">
      <c r="C22" s="265"/>
      <c r="D22" s="413"/>
      <c r="E22" s="413"/>
      <c r="F22" s="416"/>
      <c r="G22" s="416"/>
      <c r="H22" s="1810"/>
      <c r="I22" s="1810"/>
      <c r="J22" s="1811"/>
      <c r="K22" s="266"/>
      <c r="L22" s="1582">
        <f t="shared" si="0"/>
        <v>0</v>
      </c>
      <c r="M22" s="1582">
        <f t="shared" si="1"/>
        <v>0</v>
      </c>
      <c r="N22" s="1582">
        <f t="shared" si="2"/>
        <v>0</v>
      </c>
      <c r="O22" s="415"/>
      <c r="P22" s="415"/>
      <c r="Q22" s="415"/>
      <c r="T22" s="7" t="s">
        <v>588</v>
      </c>
    </row>
    <row r="23" spans="3:24" x14ac:dyDescent="0.25">
      <c r="C23" s="265"/>
      <c r="D23" s="413"/>
      <c r="E23" s="413"/>
      <c r="F23" s="416"/>
      <c r="G23" s="416"/>
      <c r="H23" s="1810"/>
      <c r="I23" s="1810"/>
      <c r="J23" s="1811"/>
      <c r="K23" s="266"/>
      <c r="L23" s="1582">
        <f t="shared" si="0"/>
        <v>0</v>
      </c>
      <c r="M23" s="1582">
        <f t="shared" si="1"/>
        <v>0</v>
      </c>
      <c r="N23" s="1582">
        <f t="shared" si="2"/>
        <v>0</v>
      </c>
      <c r="O23" s="415"/>
      <c r="P23" s="415"/>
      <c r="Q23" s="415"/>
    </row>
    <row r="24" spans="3:24" x14ac:dyDescent="0.25">
      <c r="C24" s="265"/>
      <c r="D24" s="413"/>
      <c r="E24" s="413"/>
      <c r="F24" s="416"/>
      <c r="G24" s="416"/>
      <c r="H24" s="1810"/>
      <c r="I24" s="1810"/>
      <c r="J24" s="1811"/>
      <c r="K24" s="266"/>
      <c r="L24" s="1582">
        <f t="shared" si="0"/>
        <v>0</v>
      </c>
      <c r="M24" s="1582">
        <f t="shared" si="1"/>
        <v>0</v>
      </c>
      <c r="N24" s="1582">
        <f t="shared" si="2"/>
        <v>0</v>
      </c>
      <c r="O24" s="415"/>
      <c r="P24" s="415"/>
      <c r="Q24" s="415"/>
      <c r="T24" s="7" t="s">
        <v>589</v>
      </c>
    </row>
    <row r="25" spans="3:24" x14ac:dyDescent="0.25">
      <c r="C25" s="265"/>
      <c r="D25" s="413"/>
      <c r="E25" s="413"/>
      <c r="F25" s="416"/>
      <c r="G25" s="416"/>
      <c r="H25" s="1810"/>
      <c r="I25" s="1810"/>
      <c r="J25" s="1811"/>
      <c r="K25" s="266"/>
      <c r="L25" s="1582">
        <f t="shared" si="0"/>
        <v>0</v>
      </c>
      <c r="M25" s="1582">
        <f t="shared" si="1"/>
        <v>0</v>
      </c>
      <c r="N25" s="1582">
        <f t="shared" si="2"/>
        <v>0</v>
      </c>
      <c r="O25" s="415"/>
      <c r="P25" s="415"/>
      <c r="Q25" s="415"/>
      <c r="T25" s="7" t="s">
        <v>590</v>
      </c>
    </row>
    <row r="26" spans="3:24" x14ac:dyDescent="0.25">
      <c r="C26" s="265"/>
      <c r="D26" s="413"/>
      <c r="E26" s="413"/>
      <c r="F26" s="416"/>
      <c r="G26" s="416"/>
      <c r="H26" s="1810"/>
      <c r="I26" s="1810"/>
      <c r="J26" s="1811"/>
      <c r="K26" s="266"/>
      <c r="L26" s="1582">
        <f t="shared" si="0"/>
        <v>0</v>
      </c>
      <c r="M26" s="1582">
        <f t="shared" ref="M26:M31" si="3">SUM(F26*L26)</f>
        <v>0</v>
      </c>
      <c r="N26" s="1582">
        <f t="shared" ref="N26:N31" si="4">+SUM(M26*12)</f>
        <v>0</v>
      </c>
      <c r="O26" s="415"/>
      <c r="P26" s="415"/>
      <c r="Q26" s="415"/>
    </row>
    <row r="27" spans="3:24" x14ac:dyDescent="0.25">
      <c r="C27" s="265"/>
      <c r="D27" s="413"/>
      <c r="E27" s="413"/>
      <c r="F27" s="416"/>
      <c r="G27" s="416"/>
      <c r="H27" s="1810"/>
      <c r="I27" s="1810"/>
      <c r="J27" s="1811"/>
      <c r="K27" s="266"/>
      <c r="L27" s="1582">
        <f t="shared" si="0"/>
        <v>0</v>
      </c>
      <c r="M27" s="1582">
        <f t="shared" si="3"/>
        <v>0</v>
      </c>
      <c r="N27" s="1582">
        <f t="shared" si="4"/>
        <v>0</v>
      </c>
      <c r="O27" s="415"/>
      <c r="P27" s="415"/>
      <c r="Q27" s="415"/>
      <c r="T27" s="7" t="s">
        <v>591</v>
      </c>
    </row>
    <row r="28" spans="3:24" x14ac:dyDescent="0.25">
      <c r="C28" s="265"/>
      <c r="D28" s="413"/>
      <c r="E28" s="413"/>
      <c r="F28" s="416"/>
      <c r="G28" s="416"/>
      <c r="H28" s="1810"/>
      <c r="I28" s="1810"/>
      <c r="J28" s="1811"/>
      <c r="K28" s="266"/>
      <c r="L28" s="1582">
        <f t="shared" si="0"/>
        <v>0</v>
      </c>
      <c r="M28" s="1582">
        <f t="shared" si="3"/>
        <v>0</v>
      </c>
      <c r="N28" s="1582">
        <f t="shared" si="4"/>
        <v>0</v>
      </c>
      <c r="O28" s="415"/>
      <c r="P28" s="415"/>
      <c r="Q28" s="415"/>
      <c r="T28" s="7" t="s">
        <v>590</v>
      </c>
    </row>
    <row r="29" spans="3:24" x14ac:dyDescent="0.25">
      <c r="C29" s="265"/>
      <c r="D29" s="413"/>
      <c r="E29" s="413"/>
      <c r="F29" s="416"/>
      <c r="G29" s="416"/>
      <c r="H29" s="1810"/>
      <c r="I29" s="1810"/>
      <c r="J29" s="1811"/>
      <c r="K29" s="266"/>
      <c r="L29" s="1582">
        <f t="shared" si="0"/>
        <v>0</v>
      </c>
      <c r="M29" s="1582">
        <f t="shared" si="3"/>
        <v>0</v>
      </c>
      <c r="N29" s="1582">
        <f t="shared" si="4"/>
        <v>0</v>
      </c>
      <c r="O29" s="415"/>
      <c r="P29" s="415"/>
      <c r="Q29" s="415"/>
    </row>
    <row r="30" spans="3:24" x14ac:dyDescent="0.25">
      <c r="C30" s="265"/>
      <c r="D30" s="413"/>
      <c r="E30" s="413"/>
      <c r="F30" s="416"/>
      <c r="G30" s="416"/>
      <c r="H30" s="1810"/>
      <c r="I30" s="1810"/>
      <c r="J30" s="1811"/>
      <c r="K30" s="266"/>
      <c r="L30" s="1582">
        <f t="shared" si="0"/>
        <v>0</v>
      </c>
      <c r="M30" s="1582">
        <f t="shared" si="3"/>
        <v>0</v>
      </c>
      <c r="N30" s="1582">
        <f t="shared" si="4"/>
        <v>0</v>
      </c>
      <c r="O30" s="415"/>
      <c r="P30" s="415"/>
      <c r="Q30" s="415"/>
      <c r="T30" s="7" t="s">
        <v>30</v>
      </c>
      <c r="X30" s="229"/>
    </row>
    <row r="31" spans="3:24" x14ac:dyDescent="0.25">
      <c r="C31" s="265"/>
      <c r="D31" s="413"/>
      <c r="E31" s="413"/>
      <c r="F31" s="416"/>
      <c r="G31" s="416"/>
      <c r="H31" s="1810"/>
      <c r="I31" s="1810"/>
      <c r="J31" s="1811"/>
      <c r="K31" s="266"/>
      <c r="L31" s="1582">
        <f t="shared" si="0"/>
        <v>0</v>
      </c>
      <c r="M31" s="1582">
        <f t="shared" si="3"/>
        <v>0</v>
      </c>
      <c r="N31" s="1582">
        <f t="shared" si="4"/>
        <v>0</v>
      </c>
      <c r="O31" s="415"/>
      <c r="P31" s="415"/>
      <c r="Q31" s="415"/>
    </row>
    <row r="32" spans="3:24" x14ac:dyDescent="0.25">
      <c r="C32" s="265"/>
      <c r="D32" s="413"/>
      <c r="E32" s="413"/>
      <c r="F32" s="416"/>
      <c r="G32" s="416"/>
      <c r="H32" s="1810"/>
      <c r="I32" s="1810"/>
      <c r="J32" s="1811"/>
      <c r="K32" s="266"/>
      <c r="L32" s="1582">
        <f t="shared" si="0"/>
        <v>0</v>
      </c>
      <c r="M32" s="1582">
        <f>SUM(F32*L32)</f>
        <v>0</v>
      </c>
      <c r="N32" s="1582">
        <f>+SUM(M32*12)</f>
        <v>0</v>
      </c>
      <c r="O32" s="415"/>
      <c r="P32" s="415"/>
      <c r="Q32" s="415"/>
    </row>
    <row r="33" spans="3:17" x14ac:dyDescent="0.25">
      <c r="C33" s="265"/>
      <c r="D33" s="413"/>
      <c r="E33" s="413"/>
      <c r="F33" s="416"/>
      <c r="G33" s="416"/>
      <c r="H33" s="1810"/>
      <c r="I33" s="1810"/>
      <c r="J33" s="1811"/>
      <c r="K33" s="266"/>
      <c r="L33" s="1582">
        <f t="shared" si="0"/>
        <v>0</v>
      </c>
      <c r="M33" s="1582">
        <f>SUM(F33*L33)</f>
        <v>0</v>
      </c>
      <c r="N33" s="1582">
        <f>+SUM(M33*12)</f>
        <v>0</v>
      </c>
      <c r="O33" s="415"/>
      <c r="P33" s="415"/>
      <c r="Q33" s="415"/>
    </row>
    <row r="34" spans="3:17" x14ac:dyDescent="0.25">
      <c r="C34" s="265"/>
      <c r="D34" s="413"/>
      <c r="E34" s="413"/>
      <c r="F34" s="416"/>
      <c r="G34" s="416"/>
      <c r="H34" s="1810"/>
      <c r="I34" s="1810"/>
      <c r="J34" s="1811"/>
      <c r="K34" s="266"/>
      <c r="L34" s="1582">
        <f t="shared" ref="L34:L40" si="5">+SUM(I34:J34)</f>
        <v>0</v>
      </c>
      <c r="M34" s="1582">
        <f t="shared" ref="M34:M40" si="6">SUM(F34*L34)</f>
        <v>0</v>
      </c>
      <c r="N34" s="1582">
        <f t="shared" ref="N34:N40" si="7">+SUM(M34*12)</f>
        <v>0</v>
      </c>
      <c r="O34" s="415"/>
      <c r="P34" s="415"/>
      <c r="Q34" s="415"/>
    </row>
    <row r="35" spans="3:17" x14ac:dyDescent="0.25">
      <c r="C35" s="265"/>
      <c r="D35" s="413"/>
      <c r="E35" s="413"/>
      <c r="F35" s="416"/>
      <c r="G35" s="416"/>
      <c r="H35" s="1810"/>
      <c r="I35" s="1810"/>
      <c r="J35" s="1811"/>
      <c r="K35" s="266"/>
      <c r="L35" s="1582">
        <f t="shared" si="5"/>
        <v>0</v>
      </c>
      <c r="M35" s="1582">
        <f t="shared" si="6"/>
        <v>0</v>
      </c>
      <c r="N35" s="1582">
        <f t="shared" si="7"/>
        <v>0</v>
      </c>
      <c r="O35" s="415"/>
      <c r="P35" s="415"/>
      <c r="Q35" s="415"/>
    </row>
    <row r="36" spans="3:17" x14ac:dyDescent="0.25">
      <c r="C36" s="265"/>
      <c r="D36" s="413"/>
      <c r="E36" s="413"/>
      <c r="F36" s="416"/>
      <c r="G36" s="416"/>
      <c r="H36" s="1810"/>
      <c r="I36" s="1810"/>
      <c r="J36" s="1811"/>
      <c r="K36" s="266"/>
      <c r="L36" s="1582">
        <f t="shared" si="5"/>
        <v>0</v>
      </c>
      <c r="M36" s="1582">
        <f t="shared" si="6"/>
        <v>0</v>
      </c>
      <c r="N36" s="1582">
        <f t="shared" si="7"/>
        <v>0</v>
      </c>
      <c r="O36" s="415"/>
      <c r="P36" s="415"/>
      <c r="Q36" s="415"/>
    </row>
    <row r="37" spans="3:17" x14ac:dyDescent="0.25">
      <c r="C37" s="265"/>
      <c r="D37" s="413"/>
      <c r="E37" s="413"/>
      <c r="F37" s="416"/>
      <c r="G37" s="416"/>
      <c r="H37" s="1810"/>
      <c r="I37" s="1810"/>
      <c r="J37" s="1811"/>
      <c r="K37" s="266"/>
      <c r="L37" s="1582">
        <f t="shared" si="5"/>
        <v>0</v>
      </c>
      <c r="M37" s="1582">
        <f t="shared" si="6"/>
        <v>0</v>
      </c>
      <c r="N37" s="1582">
        <f t="shared" si="7"/>
        <v>0</v>
      </c>
      <c r="O37" s="415"/>
      <c r="P37" s="415"/>
      <c r="Q37" s="415"/>
    </row>
    <row r="38" spans="3:17" x14ac:dyDescent="0.25">
      <c r="C38" s="265"/>
      <c r="D38" s="413"/>
      <c r="E38" s="413"/>
      <c r="F38" s="416"/>
      <c r="G38" s="416"/>
      <c r="H38" s="1810"/>
      <c r="I38" s="1810"/>
      <c r="J38" s="1811"/>
      <c r="K38" s="266"/>
      <c r="L38" s="1582">
        <f t="shared" si="5"/>
        <v>0</v>
      </c>
      <c r="M38" s="1582">
        <f t="shared" si="6"/>
        <v>0</v>
      </c>
      <c r="N38" s="1582">
        <f t="shared" si="7"/>
        <v>0</v>
      </c>
      <c r="O38" s="415"/>
      <c r="P38" s="415"/>
      <c r="Q38" s="415"/>
    </row>
    <row r="39" spans="3:17" x14ac:dyDescent="0.25">
      <c r="C39" s="265"/>
      <c r="D39" s="413"/>
      <c r="E39" s="413"/>
      <c r="F39" s="416"/>
      <c r="G39" s="416"/>
      <c r="H39" s="1810"/>
      <c r="I39" s="1810"/>
      <c r="J39" s="1811"/>
      <c r="K39" s="266"/>
      <c r="L39" s="1582">
        <f t="shared" si="5"/>
        <v>0</v>
      </c>
      <c r="M39" s="1582">
        <f t="shared" si="6"/>
        <v>0</v>
      </c>
      <c r="N39" s="1582">
        <f t="shared" si="7"/>
        <v>0</v>
      </c>
      <c r="O39" s="415"/>
      <c r="P39" s="415"/>
      <c r="Q39" s="415"/>
    </row>
    <row r="40" spans="3:17" x14ac:dyDescent="0.25">
      <c r="C40" s="265"/>
      <c r="D40" s="413"/>
      <c r="E40" s="413"/>
      <c r="F40" s="416"/>
      <c r="G40" s="416"/>
      <c r="H40" s="1810"/>
      <c r="I40" s="1810"/>
      <c r="J40" s="1811"/>
      <c r="K40" s="266"/>
      <c r="L40" s="1582">
        <f t="shared" si="5"/>
        <v>0</v>
      </c>
      <c r="M40" s="1582">
        <f t="shared" si="6"/>
        <v>0</v>
      </c>
      <c r="N40" s="1582">
        <f t="shared" si="7"/>
        <v>0</v>
      </c>
      <c r="O40" s="415"/>
      <c r="P40" s="415"/>
      <c r="Q40" s="415"/>
    </row>
    <row r="41" spans="3:17" x14ac:dyDescent="0.25">
      <c r="D41" s="43" t="s">
        <v>592</v>
      </c>
      <c r="E41" s="43"/>
      <c r="F41" s="1585">
        <f>SUM(F11:F40)</f>
        <v>0</v>
      </c>
      <c r="G41" s="1585">
        <f>SUMPRODUCT((F11:F40),(G11:G40))</f>
        <v>0</v>
      </c>
      <c r="H41" s="91"/>
      <c r="I41" s="92"/>
      <c r="J41" s="92"/>
      <c r="K41" s="92"/>
      <c r="L41" s="962"/>
      <c r="M41" s="1583">
        <f>+SUM(M11:M40)</f>
        <v>0</v>
      </c>
      <c r="N41" s="1583">
        <f>0+SUM(N11:N40)</f>
        <v>0</v>
      </c>
    </row>
    <row r="42" spans="3:17" x14ac:dyDescent="0.25">
      <c r="D42" s="7" t="s">
        <v>593</v>
      </c>
      <c r="I42" s="418"/>
      <c r="L42" s="962"/>
      <c r="M42" s="962"/>
      <c r="N42" s="1584">
        <f>-(I42*N41)</f>
        <v>0</v>
      </c>
    </row>
    <row r="43" spans="3:17" x14ac:dyDescent="0.25">
      <c r="D43" s="43" t="s">
        <v>594</v>
      </c>
      <c r="L43" s="962"/>
      <c r="M43" s="962"/>
      <c r="N43" s="1583">
        <f>SUM(N41+N42)</f>
        <v>0</v>
      </c>
    </row>
    <row r="44" spans="3:17" x14ac:dyDescent="0.25">
      <c r="H44" s="1387" t="s">
        <v>2645</v>
      </c>
      <c r="I44" s="1586" t="e" cm="1">
        <f t="array" ref="I44">SUMPRODUCT(C11:C40,F11:F40/F41)</f>
        <v>#DIV/0!</v>
      </c>
    </row>
    <row r="45" spans="3:17" x14ac:dyDescent="0.25">
      <c r="C45" s="47" t="s">
        <v>595</v>
      </c>
    </row>
    <row r="46" spans="3:17" x14ac:dyDescent="0.25">
      <c r="C46" s="275"/>
      <c r="D46" s="365" t="s">
        <v>567</v>
      </c>
      <c r="E46" s="366"/>
      <c r="F46" s="407"/>
      <c r="G46" s="407" t="s">
        <v>568</v>
      </c>
      <c r="H46" s="275"/>
      <c r="I46" s="407"/>
      <c r="M46" s="407"/>
      <c r="N46" s="407"/>
    </row>
    <row r="47" spans="3:17" ht="24.75" customHeight="1" x14ac:dyDescent="0.25">
      <c r="C47" s="277"/>
      <c r="D47" s="409" t="s">
        <v>2433</v>
      </c>
      <c r="E47" s="410" t="s">
        <v>2434</v>
      </c>
      <c r="F47" s="411" t="s">
        <v>572</v>
      </c>
      <c r="G47" s="412" t="s">
        <v>596</v>
      </c>
      <c r="H47" s="277"/>
      <c r="I47" s="411" t="s">
        <v>597</v>
      </c>
      <c r="M47" s="411" t="s">
        <v>579</v>
      </c>
      <c r="N47" s="411" t="s">
        <v>580</v>
      </c>
    </row>
    <row r="48" spans="3:17" x14ac:dyDescent="0.25">
      <c r="C48" s="275"/>
      <c r="D48" s="419"/>
      <c r="E48" s="266"/>
      <c r="F48" s="416"/>
      <c r="G48" s="416"/>
      <c r="H48" s="275"/>
      <c r="I48" s="267"/>
      <c r="M48" s="1587">
        <f t="shared" ref="M48:M58" si="8">+SUM(F48*I48)</f>
        <v>0</v>
      </c>
      <c r="N48" s="1587">
        <f>M48*12</f>
        <v>0</v>
      </c>
    </row>
    <row r="49" spans="3:14" x14ac:dyDescent="0.25">
      <c r="C49" s="276"/>
      <c r="D49" s="419"/>
      <c r="E49" s="266"/>
      <c r="F49" s="416"/>
      <c r="G49" s="416"/>
      <c r="H49" s="276"/>
      <c r="I49" s="417"/>
      <c r="M49" s="1588">
        <f t="shared" si="8"/>
        <v>0</v>
      </c>
      <c r="N49" s="1588">
        <f>M49*12</f>
        <v>0</v>
      </c>
    </row>
    <row r="50" spans="3:14" x14ac:dyDescent="0.25">
      <c r="C50" s="276"/>
      <c r="D50" s="419"/>
      <c r="E50" s="266"/>
      <c r="F50" s="416"/>
      <c r="G50" s="416"/>
      <c r="H50" s="276"/>
      <c r="I50" s="417"/>
      <c r="M50" s="1588">
        <f t="shared" si="8"/>
        <v>0</v>
      </c>
      <c r="N50" s="1588">
        <f t="shared" ref="N50:N58" si="9">M50*12</f>
        <v>0</v>
      </c>
    </row>
    <row r="51" spans="3:14" x14ac:dyDescent="0.25">
      <c r="C51" s="276"/>
      <c r="D51" s="419"/>
      <c r="E51" s="266"/>
      <c r="F51" s="420"/>
      <c r="G51" s="420"/>
      <c r="H51" s="276"/>
      <c r="I51" s="421"/>
      <c r="M51" s="1588">
        <f t="shared" si="8"/>
        <v>0</v>
      </c>
      <c r="N51" s="1588">
        <f t="shared" si="9"/>
        <v>0</v>
      </c>
    </row>
    <row r="52" spans="3:14" x14ac:dyDescent="0.25">
      <c r="C52" s="276"/>
      <c r="D52" s="419"/>
      <c r="E52" s="266"/>
      <c r="F52" s="416"/>
      <c r="G52" s="416"/>
      <c r="H52" s="276"/>
      <c r="I52" s="417"/>
      <c r="M52" s="1588">
        <f t="shared" si="8"/>
        <v>0</v>
      </c>
      <c r="N52" s="1588">
        <f t="shared" si="9"/>
        <v>0</v>
      </c>
    </row>
    <row r="53" spans="3:14" x14ac:dyDescent="0.25">
      <c r="C53" s="276"/>
      <c r="D53" s="419"/>
      <c r="E53" s="266"/>
      <c r="F53" s="416"/>
      <c r="G53" s="416"/>
      <c r="H53" s="276"/>
      <c r="I53" s="417"/>
      <c r="M53" s="1588">
        <f t="shared" si="8"/>
        <v>0</v>
      </c>
      <c r="N53" s="1588">
        <f t="shared" si="9"/>
        <v>0</v>
      </c>
    </row>
    <row r="54" spans="3:14" x14ac:dyDescent="0.25">
      <c r="C54" s="276"/>
      <c r="D54" s="419"/>
      <c r="E54" s="266"/>
      <c r="F54" s="416"/>
      <c r="G54" s="416"/>
      <c r="H54" s="276"/>
      <c r="I54" s="417"/>
      <c r="M54" s="1588">
        <f t="shared" si="8"/>
        <v>0</v>
      </c>
      <c r="N54" s="1588">
        <f t="shared" si="9"/>
        <v>0</v>
      </c>
    </row>
    <row r="55" spans="3:14" x14ac:dyDescent="0.25">
      <c r="C55" s="276"/>
      <c r="D55" s="419"/>
      <c r="E55" s="266"/>
      <c r="F55" s="416"/>
      <c r="G55" s="416"/>
      <c r="H55" s="276"/>
      <c r="I55" s="417"/>
      <c r="M55" s="1588">
        <f t="shared" si="8"/>
        <v>0</v>
      </c>
      <c r="N55" s="1588">
        <f t="shared" si="9"/>
        <v>0</v>
      </c>
    </row>
    <row r="56" spans="3:14" x14ac:dyDescent="0.25">
      <c r="C56" s="276"/>
      <c r="D56" s="419"/>
      <c r="E56" s="266"/>
      <c r="F56" s="416"/>
      <c r="G56" s="416"/>
      <c r="H56" s="276"/>
      <c r="I56" s="417"/>
      <c r="M56" s="1588">
        <f t="shared" si="8"/>
        <v>0</v>
      </c>
      <c r="N56" s="1588">
        <f t="shared" si="9"/>
        <v>0</v>
      </c>
    </row>
    <row r="57" spans="3:14" x14ac:dyDescent="0.25">
      <c r="C57" s="276"/>
      <c r="D57" s="419"/>
      <c r="E57" s="266"/>
      <c r="F57" s="416"/>
      <c r="G57" s="416"/>
      <c r="H57" s="276"/>
      <c r="I57" s="417"/>
      <c r="M57" s="1588">
        <f t="shared" si="8"/>
        <v>0</v>
      </c>
      <c r="N57" s="1588">
        <f t="shared" si="9"/>
        <v>0</v>
      </c>
    </row>
    <row r="58" spans="3:14" x14ac:dyDescent="0.25">
      <c r="C58" s="277"/>
      <c r="D58" s="419"/>
      <c r="E58" s="266"/>
      <c r="F58" s="416"/>
      <c r="G58" s="416"/>
      <c r="H58" s="277"/>
      <c r="I58" s="417"/>
      <c r="M58" s="1588">
        <f t="shared" si="8"/>
        <v>0</v>
      </c>
      <c r="N58" s="1588">
        <f t="shared" si="9"/>
        <v>0</v>
      </c>
    </row>
    <row r="59" spans="3:14" x14ac:dyDescent="0.25">
      <c r="D59" s="43" t="s">
        <v>598</v>
      </c>
      <c r="F59" s="1585">
        <f>SUM(F48:F58)</f>
        <v>0</v>
      </c>
      <c r="G59" s="1585">
        <f>SUMPRODUCT((F48:F58),(G48:G58))</f>
        <v>0</v>
      </c>
      <c r="I59" s="43"/>
      <c r="M59" s="1589">
        <f>SUM(M48:M58)</f>
        <v>0</v>
      </c>
      <c r="N59" s="1583">
        <f>0+SUM(N48:N58)</f>
        <v>0</v>
      </c>
    </row>
    <row r="60" spans="3:14" ht="6.45" customHeight="1" x14ac:dyDescent="0.25">
      <c r="C60" s="44"/>
    </row>
    <row r="61" spans="3:14" x14ac:dyDescent="0.25">
      <c r="D61" s="44" t="s">
        <v>599</v>
      </c>
      <c r="I61" s="422"/>
      <c r="N61" s="1584">
        <f>-(I61*N59)</f>
        <v>0</v>
      </c>
    </row>
    <row r="62" spans="3:14" x14ac:dyDescent="0.25">
      <c r="D62" s="47" t="s">
        <v>600</v>
      </c>
      <c r="H62" s="72" t="s">
        <v>601</v>
      </c>
      <c r="N62" s="1583">
        <f>N59+N61</f>
        <v>0</v>
      </c>
    </row>
    <row r="63" spans="3:14" ht="6.45" customHeight="1" x14ac:dyDescent="0.25">
      <c r="D63" s="47"/>
      <c r="J63" s="72"/>
      <c r="N63" s="295"/>
    </row>
    <row r="64" spans="3:14" x14ac:dyDescent="0.25">
      <c r="C64" s="44" t="s">
        <v>2720</v>
      </c>
    </row>
    <row r="65" spans="3:19" x14ac:dyDescent="0.25">
      <c r="C65" s="273"/>
      <c r="D65" s="7" t="s">
        <v>602</v>
      </c>
      <c r="E65" s="1590"/>
      <c r="G65" s="273"/>
      <c r="H65" s="7" t="s">
        <v>603</v>
      </c>
      <c r="I65" s="1590"/>
      <c r="S65" s="7" t="s">
        <v>2721</v>
      </c>
    </row>
    <row r="66" spans="3:19" x14ac:dyDescent="0.25">
      <c r="C66" s="273"/>
      <c r="D66" s="7" t="s">
        <v>604</v>
      </c>
      <c r="E66" s="1590"/>
      <c r="G66" s="273"/>
      <c r="H66" s="7" t="s">
        <v>605</v>
      </c>
      <c r="I66" s="1590"/>
      <c r="S66" s="7" t="s">
        <v>2722</v>
      </c>
    </row>
    <row r="67" spans="3:19" x14ac:dyDescent="0.25">
      <c r="C67" s="273"/>
      <c r="D67" s="7" t="s">
        <v>606</v>
      </c>
      <c r="E67" s="1590"/>
      <c r="G67" s="273"/>
      <c r="H67" s="1591" t="s">
        <v>2726</v>
      </c>
      <c r="I67" s="1590"/>
      <c r="S67" s="7" t="s">
        <v>2642</v>
      </c>
    </row>
    <row r="68" spans="3:19" x14ac:dyDescent="0.25">
      <c r="S68" s="7" t="s">
        <v>2723</v>
      </c>
    </row>
    <row r="69" spans="3:19" x14ac:dyDescent="0.25">
      <c r="C69" s="336" t="s">
        <v>607</v>
      </c>
      <c r="D69" s="234"/>
      <c r="E69" s="234"/>
      <c r="F69" s="234"/>
      <c r="G69" s="234"/>
      <c r="H69" s="234"/>
      <c r="I69" s="234"/>
      <c r="J69" s="234"/>
      <c r="K69" s="234"/>
      <c r="L69" s="234"/>
      <c r="M69" s="234"/>
      <c r="N69" s="234"/>
      <c r="S69" s="7" t="s">
        <v>2724</v>
      </c>
    </row>
    <row r="70" spans="3:19" x14ac:dyDescent="0.25">
      <c r="L70" s="38"/>
      <c r="M70" s="38"/>
      <c r="S70" s="7" t="s">
        <v>2725</v>
      </c>
    </row>
    <row r="71" spans="3:19" ht="26.4" x14ac:dyDescent="0.25">
      <c r="C71" s="405" t="s">
        <v>608</v>
      </c>
      <c r="D71" s="423"/>
      <c r="E71" s="423"/>
      <c r="F71" s="423"/>
      <c r="G71" s="423"/>
      <c r="H71" s="410" t="s">
        <v>609</v>
      </c>
      <c r="I71" s="409" t="s">
        <v>610</v>
      </c>
      <c r="J71" s="410" t="s">
        <v>579</v>
      </c>
      <c r="K71" s="1593"/>
      <c r="L71" s="1594"/>
      <c r="M71" s="1595"/>
      <c r="N71" s="1596" t="s">
        <v>580</v>
      </c>
    </row>
    <row r="72" spans="3:19" x14ac:dyDescent="0.25">
      <c r="C72" s="424" t="s">
        <v>611</v>
      </c>
      <c r="D72" s="425"/>
      <c r="E72" s="426" t="s">
        <v>80</v>
      </c>
      <c r="F72" s="425"/>
      <c r="G72" s="425"/>
      <c r="H72" s="427"/>
      <c r="I72" s="428"/>
      <c r="J72" s="429"/>
      <c r="K72" s="1597"/>
      <c r="L72" s="1598"/>
      <c r="M72" s="1599"/>
      <c r="N72" s="1587">
        <f>J72*12</f>
        <v>0</v>
      </c>
    </row>
    <row r="73" spans="3:19" x14ac:dyDescent="0.25">
      <c r="C73" s="424" t="s">
        <v>611</v>
      </c>
      <c r="D73" s="425"/>
      <c r="E73" s="426" t="s">
        <v>80</v>
      </c>
      <c r="F73" s="425"/>
      <c r="G73" s="425"/>
      <c r="H73" s="427"/>
      <c r="I73" s="430"/>
      <c r="J73" s="429"/>
      <c r="K73" s="1597"/>
      <c r="L73" s="1598"/>
      <c r="M73" s="1599"/>
      <c r="N73" s="1588">
        <f>J73*12</f>
        <v>0</v>
      </c>
    </row>
    <row r="74" spans="3:19" x14ac:dyDescent="0.25">
      <c r="C74" s="424" t="s">
        <v>30</v>
      </c>
      <c r="D74" s="425"/>
      <c r="E74" s="426" t="s">
        <v>80</v>
      </c>
      <c r="F74" s="425"/>
      <c r="G74" s="425"/>
      <c r="H74" s="427"/>
      <c r="I74" s="428"/>
      <c r="J74" s="429"/>
      <c r="K74" s="1597"/>
      <c r="L74" s="1598"/>
      <c r="M74" s="1599"/>
      <c r="N74" s="1588">
        <f>J74*12</f>
        <v>0</v>
      </c>
    </row>
    <row r="75" spans="3:19" x14ac:dyDescent="0.25">
      <c r="C75" s="424" t="s">
        <v>30</v>
      </c>
      <c r="D75" s="425"/>
      <c r="E75" s="426" t="s">
        <v>80</v>
      </c>
      <c r="F75" s="425"/>
      <c r="G75" s="425"/>
      <c r="H75" s="427"/>
      <c r="I75" s="428"/>
      <c r="J75" s="429"/>
      <c r="K75" s="1597"/>
      <c r="L75" s="1598"/>
      <c r="M75" s="1599"/>
      <c r="N75" s="1588">
        <f>J75*12</f>
        <v>0</v>
      </c>
    </row>
    <row r="76" spans="3:19" x14ac:dyDescent="0.25">
      <c r="C76" s="431" t="s">
        <v>612</v>
      </c>
      <c r="D76" s="425"/>
      <c r="E76" s="426" t="s">
        <v>80</v>
      </c>
      <c r="F76" s="425"/>
      <c r="G76" s="425"/>
      <c r="H76" s="429"/>
      <c r="I76" s="428"/>
      <c r="J76" s="429"/>
      <c r="K76" s="1600"/>
      <c r="L76" s="1598"/>
      <c r="M76" s="1599"/>
      <c r="N76" s="1588">
        <f>J76*12</f>
        <v>0</v>
      </c>
    </row>
    <row r="77" spans="3:19" x14ac:dyDescent="0.25">
      <c r="C77" s="47" t="s">
        <v>613</v>
      </c>
      <c r="I77" s="432">
        <f>SUM(I72:I76)</f>
        <v>0</v>
      </c>
      <c r="J77" s="1592">
        <f>+SUM(J72:J76)</f>
        <v>0</v>
      </c>
      <c r="K77" s="1601"/>
      <c r="L77" s="1602"/>
      <c r="M77" s="1603"/>
      <c r="N77" s="1604">
        <f>SUM(N72:N76)</f>
        <v>0</v>
      </c>
    </row>
    <row r="78" spans="3:19" ht="6.45" customHeight="1" x14ac:dyDescent="0.25">
      <c r="C78" s="44"/>
      <c r="K78"/>
      <c r="L78"/>
      <c r="M78"/>
      <c r="N78"/>
    </row>
    <row r="79" spans="3:19" x14ac:dyDescent="0.25">
      <c r="C79" s="44" t="s">
        <v>614</v>
      </c>
      <c r="D79" s="53"/>
      <c r="E79" s="53"/>
      <c r="F79" s="53"/>
      <c r="G79" s="53"/>
      <c r="H79" s="53"/>
      <c r="I79" s="433"/>
      <c r="K79"/>
      <c r="L79"/>
      <c r="M79"/>
      <c r="N79" s="1605">
        <f>-(I79*(N77-N76))</f>
        <v>0</v>
      </c>
    </row>
    <row r="80" spans="3:19" ht="6.45" customHeight="1" x14ac:dyDescent="0.25">
      <c r="C80" s="44"/>
      <c r="D80" s="53"/>
      <c r="E80" s="53"/>
      <c r="F80" s="53"/>
      <c r="G80" s="53"/>
      <c r="H80" s="53"/>
      <c r="I80" s="53"/>
      <c r="K80"/>
      <c r="L80"/>
      <c r="M80"/>
      <c r="N80"/>
    </row>
    <row r="81" spans="3:14" x14ac:dyDescent="0.25">
      <c r="C81" s="44" t="s">
        <v>615</v>
      </c>
      <c r="D81" s="53"/>
      <c r="E81" s="53"/>
      <c r="F81" s="53"/>
      <c r="G81" s="53"/>
      <c r="H81" s="53"/>
      <c r="I81" s="433"/>
      <c r="K81"/>
      <c r="L81"/>
      <c r="M81" s="1606"/>
      <c r="N81" s="1607">
        <f>-(I81*N76)</f>
        <v>0</v>
      </c>
    </row>
    <row r="82" spans="3:14" x14ac:dyDescent="0.25">
      <c r="C82" s="47" t="s">
        <v>616</v>
      </c>
      <c r="K82"/>
      <c r="L82"/>
      <c r="M82" s="1606"/>
      <c r="N82" s="1570">
        <f>N77+SUM(N79:N81)</f>
        <v>0</v>
      </c>
    </row>
    <row r="83" spans="3:14" x14ac:dyDescent="0.25">
      <c r="C83" s="47" t="s">
        <v>617</v>
      </c>
      <c r="K83"/>
      <c r="L83"/>
      <c r="M83" s="1606"/>
      <c r="N83" s="1570">
        <f>N43+N62+N82</f>
        <v>0</v>
      </c>
    </row>
    <row r="84" spans="3:14" x14ac:dyDescent="0.25">
      <c r="C84" s="44"/>
    </row>
    <row r="85" spans="3:14" x14ac:dyDescent="0.25">
      <c r="C85" s="336" t="s">
        <v>618</v>
      </c>
      <c r="D85" s="234"/>
      <c r="E85" s="234"/>
      <c r="F85" s="234"/>
      <c r="G85" s="234"/>
      <c r="H85" s="234"/>
      <c r="I85" s="234"/>
      <c r="J85" s="234"/>
      <c r="K85" s="234"/>
      <c r="L85" s="234"/>
      <c r="M85" s="234"/>
      <c r="N85" s="234"/>
    </row>
    <row r="87" spans="3:14" ht="26.4" x14ac:dyDescent="0.25">
      <c r="C87" s="405" t="s">
        <v>608</v>
      </c>
      <c r="D87" s="423"/>
      <c r="E87" s="423"/>
      <c r="F87" s="423"/>
      <c r="G87" s="423"/>
      <c r="H87" s="423"/>
      <c r="I87" s="409" t="s">
        <v>619</v>
      </c>
      <c r="J87" s="409" t="s">
        <v>620</v>
      </c>
      <c r="K87" s="56"/>
    </row>
    <row r="88" spans="3:14" x14ac:dyDescent="0.25">
      <c r="C88" s="434" t="s">
        <v>2641</v>
      </c>
      <c r="D88" s="425"/>
      <c r="E88" s="425"/>
      <c r="F88" s="425"/>
      <c r="G88" s="425"/>
      <c r="H88" s="425"/>
      <c r="I88" s="428"/>
      <c r="J88" s="428"/>
    </row>
    <row r="89" spans="3:14" x14ac:dyDescent="0.25">
      <c r="C89" s="434" t="s">
        <v>80</v>
      </c>
      <c r="D89" s="425"/>
      <c r="E89" s="425"/>
      <c r="F89" s="425"/>
      <c r="G89" s="425"/>
      <c r="H89" s="425"/>
      <c r="I89" s="428"/>
      <c r="J89" s="428"/>
    </row>
    <row r="90" spans="3:14" x14ac:dyDescent="0.25">
      <c r="C90" s="434" t="s">
        <v>80</v>
      </c>
      <c r="D90" s="425"/>
      <c r="E90" s="425"/>
      <c r="F90" s="425"/>
      <c r="G90" s="425"/>
      <c r="H90" s="425"/>
      <c r="I90" s="428"/>
      <c r="J90" s="428"/>
    </row>
    <row r="91" spans="3:14" x14ac:dyDescent="0.25">
      <c r="C91" s="434" t="s">
        <v>80</v>
      </c>
      <c r="D91" s="425"/>
      <c r="E91" s="425"/>
      <c r="F91" s="425"/>
      <c r="G91" s="425"/>
      <c r="H91" s="425"/>
      <c r="I91" s="428"/>
      <c r="J91" s="428"/>
    </row>
    <row r="92" spans="3:14" x14ac:dyDescent="0.25">
      <c r="C92" s="434" t="s">
        <v>80</v>
      </c>
      <c r="D92" s="425"/>
      <c r="E92" s="425"/>
      <c r="F92" s="425"/>
      <c r="G92" s="425"/>
      <c r="H92" s="425"/>
      <c r="I92" s="428"/>
      <c r="J92" s="428"/>
    </row>
    <row r="93" spans="3:14" x14ac:dyDescent="0.25">
      <c r="C93" s="47" t="s">
        <v>621</v>
      </c>
      <c r="I93" s="432">
        <f>SUM(I88:I92)</f>
        <v>0</v>
      </c>
      <c r="J93" s="435">
        <f>SUMPRODUCT((I88:I92),(J88:J92))</f>
        <v>0</v>
      </c>
    </row>
  </sheetData>
  <sheetProtection algorithmName="SHA-512" hashValue="TUQVQ5IDcPCaaJmsFp73SJlpapk2p0gvxUolHMN3GurAguD12+yHYQz510kPKlElojdiilncRgD48f3ld1xyhQ==" saltValue="OtG15c7o32CJEQxLjcNgcQ==" spinCount="100000" sheet="1" objects="1" scenarios="1"/>
  <customSheetViews>
    <customSheetView guid="{76F395A0-B7E9-4489-8589-E8786779257B}" showPageBreaks="1" zeroValues="0" view="pageLayout">
      <rowBreaks count="1" manualBreakCount="1">
        <brk id="37" max="16383" man="1"/>
      </rowBreaks>
      <pageMargins left="0" right="0" top="0" bottom="0" header="0" footer="0"/>
      <printOptions horizontalCentered="1"/>
      <pageSetup scale="96" firstPageNumber="7" orientation="landscape"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zeroValues="0" view="pageBreakPreview">
      <selection activeCell="A2" sqref="A2"/>
      <rowBreaks count="1" manualBreakCount="1">
        <brk id="37" max="10" man="1"/>
      </rowBreaks>
      <pageMargins left="0" right="0" top="0" bottom="0" header="0" footer="0"/>
      <pageSetup firstPageNumber="9" orientation="landscape"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howPageBreaks="1" zeroValues="0" view="pageBreakPreview" topLeftCell="A40">
      <selection activeCell="A80" sqref="A80"/>
      <rowBreaks count="1" manualBreakCount="1">
        <brk id="37" max="10" man="1"/>
      </rowBreaks>
      <pageMargins left="0" right="0" top="0" bottom="0" header="0" footer="0"/>
      <pageSetup firstPageNumber="9" orientation="landscape"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howPageBreaks="1" zeroValues="0" view="pageBreakPreview" topLeftCell="A28">
      <selection activeCell="A80" sqref="A80"/>
      <rowBreaks count="1" manualBreakCount="1">
        <brk id="37" max="10" man="1"/>
      </rowBreaks>
      <pageMargins left="0" right="0" top="0" bottom="0" header="0" footer="0"/>
      <pageSetup firstPageNumber="9" orientation="landscape"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zeroValues="0" view="pageBreakPreview" showRuler="0" topLeftCell="A28">
      <selection activeCell="A80" sqref="A80"/>
      <rowBreaks count="1" manualBreakCount="1">
        <brk id="37" max="10" man="1"/>
      </rowBreaks>
      <pageMargins left="0" right="0" top="0" bottom="0" header="0" footer="0"/>
      <pageSetup firstPageNumber="9" orientation="landscape"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zeroValues="0" view="pageBreakPreview" showRuler="0" topLeftCell="A50">
      <selection activeCell="A80" sqref="A80"/>
      <rowBreaks count="1" manualBreakCount="1">
        <brk id="38" max="16383" man="1"/>
      </rowBreaks>
      <pageMargins left="0" right="0" top="0" bottom="0" header="0" footer="0"/>
      <pageSetup firstPageNumber="9" orientation="landscape"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zeroValues="0" showRuler="0">
      <selection activeCell="C46" sqref="C46"/>
      <rowBreaks count="1" manualBreakCount="1">
        <brk id="38" max="16383" man="1"/>
      </rowBreaks>
      <pageMargins left="0" right="0" top="0" bottom="0" header="0" footer="0"/>
      <printOptions horizontalCentered="1"/>
      <pageSetup firstPageNumber="7" orientation="landscape" useFirstPageNumber="1" horizontalDpi="4294967292" r:id="rId7"/>
      <headerFooter alignWithMargins="0"/>
    </customSheetView>
    <customSheetView guid="{714B32FB-A92F-4F7C-8495-8C3BCEB888AE}" scale="95" showPageBreaks="1" zeroValues="0" view="pageBreakPreview" showRuler="0" topLeftCell="A4">
      <selection activeCell="G12" sqref="G12"/>
      <rowBreaks count="1" manualBreakCount="1">
        <brk id="38" max="16383" man="1"/>
      </rowBreaks>
      <pageMargins left="0" right="0" top="0" bottom="0" header="0" footer="0"/>
      <pageSetup firstPageNumber="9" orientation="landscape"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zeroValues="0" view="pageBreakPreview" showRuler="0" topLeftCell="A28">
      <selection activeCell="A80" sqref="A80"/>
      <rowBreaks count="1" manualBreakCount="1">
        <brk id="37" max="10" man="1"/>
      </rowBreaks>
      <pageMargins left="0" right="0" top="0" bottom="0" header="0" footer="0"/>
      <pageSetup firstPageNumber="9" orientation="landscape"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zeroValues="0" view="pageBreakPreview" topLeftCell="A40">
      <selection activeCell="A80" sqref="A80"/>
      <rowBreaks count="1" manualBreakCount="1">
        <brk id="37" max="10" man="1"/>
      </rowBreaks>
      <pageMargins left="0" right="0" top="0" bottom="0" header="0" footer="0"/>
      <pageSetup firstPageNumber="9" orientation="landscape"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zeroValues="0" view="pageBreakPreview" topLeftCell="A32">
      <selection activeCell="K48" sqref="K48"/>
      <rowBreaks count="1" manualBreakCount="1">
        <brk id="37" max="10" man="1"/>
      </rowBreaks>
      <pageMargins left="0" right="0" top="0" bottom="0" header="0" footer="0"/>
      <pageSetup firstPageNumber="9" orientation="landscape"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zeroValues="0" view="pageBreakPreview" topLeftCell="A32">
      <selection activeCell="K48" sqref="K48"/>
      <rowBreaks count="1" manualBreakCount="1">
        <brk id="37" max="10" man="1"/>
      </rowBreaks>
      <pageMargins left="0" right="0" top="0" bottom="0" header="0" footer="0"/>
      <pageSetup firstPageNumber="9" orientation="landscape"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zeroValues="0" view="pageBreakPreview" topLeftCell="A40">
      <selection activeCell="A80" sqref="A80"/>
      <rowBreaks count="1" manualBreakCount="1">
        <brk id="37" max="10" man="1"/>
      </rowBreaks>
      <pageMargins left="0" right="0" top="0" bottom="0" header="0" footer="0"/>
      <pageSetup firstPageNumber="9" orientation="landscape"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howPageBreaks="1" zeroValues="0" view="pageBreakPreview" topLeftCell="A40">
      <selection activeCell="A80" sqref="A80"/>
      <rowBreaks count="1" manualBreakCount="1">
        <brk id="37" max="10" man="1"/>
      </rowBreaks>
      <pageMargins left="0" right="0" top="0" bottom="0" header="0" footer="0"/>
      <pageSetup firstPageNumber="9" orientation="landscape" useFirstPageNumber="1" horizontalDpi="4294967292" r:id="rId14"/>
      <headerFooter alignWithMargins="0">
        <oddFooter>&amp;L&amp;"Times New Roman,Italic"&amp;8CDA Form 202 (09/23/2008)&amp;C&amp;"Times New Roman,Italic"&amp;9&amp;P&amp;R&amp;"Times New Roman,Italic"&amp;8&amp;A:&amp;D</oddFooter>
      </headerFooter>
    </customSheetView>
  </customSheetViews>
  <phoneticPr fontId="19" type="noConversion"/>
  <dataValidations count="2">
    <dataValidation type="list" allowBlank="1" showInputMessage="1" showErrorMessage="1" sqref="C65:C67 G65:G67 O11:R40" xr:uid="{00000000-0002-0000-0400-000000000000}">
      <formula1>"Yes, No"</formula1>
    </dataValidation>
    <dataValidation type="list" allowBlank="1" showInputMessage="1" showErrorMessage="1" sqref="I65:I67 E65:E67" xr:uid="{06CCC5CB-5FCE-4010-9C89-2271F8028DB8}">
      <formula1>$S$65:$S$70</formula1>
    </dataValidation>
  </dataValidations>
  <pageMargins left="0.25" right="0.25" top="0.25" bottom="0.25" header="0.25" footer="0.25"/>
  <pageSetup scale="52" fitToHeight="0" orientation="portrait" useFirstPageNumber="1" r:id="rId15"/>
  <headerFooter scaleWithDoc="0" alignWithMargins="0"/>
  <ignoredErrors>
    <ignoredError sqref="L12 L14:L16" formulaRange="1"/>
    <ignoredError sqref="N3:N4"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D0391E84-50D6-4ECB-8BF5-B05942A1380C}">
          <x14:formula1>
            <xm:f>MAPPING!$D$951:$D$957</xm:f>
          </x14:formula1>
          <xm:sqref>C11:C40</xm:sqref>
        </x14:dataValidation>
        <x14:dataValidation type="list" allowBlank="1" showInputMessage="1" showErrorMessage="1" xr:uid="{C4DF6AA1-CA01-422C-B0E6-A5C5A4FE2E9D}">
          <x14:formula1>
            <xm:f>MAPPING!$E$951:$E$958</xm:f>
          </x14:formula1>
          <xm:sqref>D48:D58 D11:D40</xm:sqref>
        </x14:dataValidation>
        <x14:dataValidation type="list" allowBlank="1" showInputMessage="1" showErrorMessage="1" xr:uid="{2DE01A6A-7CBA-4CC9-8360-91A08805DE84}">
          <x14:formula1>
            <xm:f>MAPPING!$G$951:$G$958</xm:f>
          </x14:formula1>
          <xm:sqref>E48:E58 E11:E40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4">
    <tabColor rgb="FF0000FF"/>
    <pageSetUpPr fitToPage="1"/>
  </sheetPr>
  <dimension ref="C2:K78"/>
  <sheetViews>
    <sheetView showGridLines="0" view="pageBreakPreview" zoomScale="170" zoomScaleNormal="100" zoomScaleSheetLayoutView="170" zoomScalePageLayoutView="140" workbookViewId="0">
      <selection activeCell="J77" sqref="J77"/>
    </sheetView>
  </sheetViews>
  <sheetFormatPr defaultColWidth="11.77734375" defaultRowHeight="13.2" x14ac:dyDescent="0.25"/>
  <cols>
    <col min="1" max="2" width="2.77734375" style="7" customWidth="1"/>
    <col min="3" max="3" width="11.77734375" style="44"/>
    <col min="4" max="5" width="11.77734375" style="7"/>
    <col min="6" max="6" width="7.77734375" style="7" bestFit="1" customWidth="1"/>
    <col min="7" max="7" width="12.44140625" style="7" customWidth="1"/>
    <col min="8" max="10" width="11.77734375" style="7"/>
    <col min="11" max="11" width="13.44140625" style="7" customWidth="1"/>
    <col min="12" max="12" width="2.77734375" style="7" customWidth="1"/>
    <col min="13" max="16384" width="11.77734375" style="7"/>
  </cols>
  <sheetData>
    <row r="2" spans="3:11" ht="19.5" customHeight="1" x14ac:dyDescent="0.35">
      <c r="C2" s="90" t="s">
        <v>3</v>
      </c>
      <c r="D2" s="41"/>
      <c r="E2" s="41"/>
      <c r="F2" s="41"/>
      <c r="G2" s="41"/>
      <c r="H2" s="41"/>
      <c r="I2" s="41"/>
      <c r="J2" s="41"/>
      <c r="K2" s="41"/>
    </row>
    <row r="3" spans="3:11" ht="12.75" customHeight="1" x14ac:dyDescent="0.35">
      <c r="C3" s="87"/>
      <c r="D3" s="41"/>
      <c r="E3" s="41"/>
      <c r="F3" s="41"/>
      <c r="G3" s="41"/>
      <c r="H3" s="41"/>
      <c r="I3" s="41"/>
      <c r="J3" s="41"/>
      <c r="K3" s="42">
        <f>projname</f>
        <v>0</v>
      </c>
    </row>
    <row r="4" spans="3:11" s="43" customFormat="1" ht="12.75" customHeight="1" x14ac:dyDescent="0.25">
      <c r="J4" s="29" t="s">
        <v>227</v>
      </c>
      <c r="K4" s="384">
        <f>GENERAL!D7</f>
        <v>0</v>
      </c>
    </row>
    <row r="5" spans="3:11" s="43" customFormat="1" ht="4.95" customHeight="1" x14ac:dyDescent="0.25">
      <c r="C5" s="47"/>
      <c r="D5" s="69"/>
      <c r="K5" s="42"/>
    </row>
    <row r="6" spans="3:11" x14ac:dyDescent="0.25">
      <c r="C6" s="336" t="s">
        <v>622</v>
      </c>
      <c r="D6" s="234"/>
      <c r="E6" s="234"/>
      <c r="F6" s="234"/>
      <c r="G6" s="234"/>
      <c r="H6" s="234"/>
      <c r="I6" s="234"/>
      <c r="J6" s="234"/>
      <c r="K6" s="234"/>
    </row>
    <row r="8" spans="3:11" x14ac:dyDescent="0.25">
      <c r="C8" s="44" t="s">
        <v>623</v>
      </c>
      <c r="K8" s="268"/>
    </row>
    <row r="9" spans="3:11" x14ac:dyDescent="0.25">
      <c r="C9" s="44" t="s">
        <v>624</v>
      </c>
      <c r="K9" s="269"/>
    </row>
    <row r="10" spans="3:11" x14ac:dyDescent="0.25">
      <c r="C10" s="44" t="s">
        <v>625</v>
      </c>
      <c r="K10" s="269"/>
    </row>
    <row r="11" spans="3:11" x14ac:dyDescent="0.25">
      <c r="C11" s="44" t="s">
        <v>626</v>
      </c>
      <c r="K11" s="269"/>
    </row>
    <row r="12" spans="3:11" x14ac:dyDescent="0.25">
      <c r="C12" s="44" t="s">
        <v>627</v>
      </c>
      <c r="G12" s="88" t="s">
        <v>628</v>
      </c>
      <c r="H12" s="433"/>
      <c r="I12" s="7" t="s">
        <v>629</v>
      </c>
      <c r="J12" s="283">
        <f>INCOME!N83*H12</f>
        <v>0</v>
      </c>
      <c r="K12" s="269"/>
    </row>
    <row r="13" spans="3:11" x14ac:dyDescent="0.25">
      <c r="C13" s="44" t="s">
        <v>630</v>
      </c>
      <c r="K13" s="269"/>
    </row>
    <row r="14" spans="3:11" x14ac:dyDescent="0.25">
      <c r="C14" s="44" t="s">
        <v>631</v>
      </c>
      <c r="K14" s="269"/>
    </row>
    <row r="15" spans="3:11" x14ac:dyDescent="0.25">
      <c r="C15" s="44" t="s">
        <v>632</v>
      </c>
      <c r="K15" s="269"/>
    </row>
    <row r="16" spans="3:11" x14ac:dyDescent="0.25">
      <c r="C16" s="44" t="s">
        <v>633</v>
      </c>
      <c r="K16" s="269"/>
    </row>
    <row r="17" spans="3:11" x14ac:dyDescent="0.25">
      <c r="C17" s="44" t="s">
        <v>634</v>
      </c>
      <c r="K17" s="269"/>
    </row>
    <row r="18" spans="3:11" x14ac:dyDescent="0.25">
      <c r="C18" s="44" t="s">
        <v>635</v>
      </c>
      <c r="K18" s="269"/>
    </row>
    <row r="19" spans="3:11" x14ac:dyDescent="0.25">
      <c r="C19" s="44" t="s">
        <v>636</v>
      </c>
      <c r="G19" s="1977" t="s">
        <v>2785</v>
      </c>
      <c r="H19" s="1978"/>
      <c r="I19" s="1979"/>
      <c r="K19" s="269"/>
    </row>
    <row r="20" spans="3:11" x14ac:dyDescent="0.25">
      <c r="C20" s="44" t="s">
        <v>637</v>
      </c>
      <c r="G20" s="1977" t="s">
        <v>80</v>
      </c>
      <c r="H20" s="1978"/>
      <c r="I20" s="1979"/>
      <c r="K20" s="269"/>
    </row>
    <row r="21" spans="3:11" x14ac:dyDescent="0.25">
      <c r="C21" s="44" t="s">
        <v>638</v>
      </c>
      <c r="G21" s="1977" t="s">
        <v>80</v>
      </c>
      <c r="H21" s="1978"/>
      <c r="I21" s="1979"/>
      <c r="K21" s="269"/>
    </row>
    <row r="22" spans="3:11" x14ac:dyDescent="0.25">
      <c r="C22" s="44" t="s">
        <v>2187</v>
      </c>
      <c r="J22" s="283">
        <f>INCOME!F41*50</f>
        <v>0</v>
      </c>
      <c r="K22" s="269"/>
    </row>
    <row r="23" spans="3:11" x14ac:dyDescent="0.25">
      <c r="C23" s="47" t="s">
        <v>639</v>
      </c>
      <c r="K23" s="436">
        <f>+SUM(K8:K22)</f>
        <v>0</v>
      </c>
    </row>
    <row r="25" spans="3:11" x14ac:dyDescent="0.25">
      <c r="C25" s="336" t="s">
        <v>2150</v>
      </c>
      <c r="D25" s="234"/>
      <c r="E25" s="234"/>
      <c r="F25" s="234"/>
      <c r="G25" s="234"/>
      <c r="H25" s="234"/>
      <c r="I25" s="234"/>
      <c r="J25" s="234"/>
      <c r="K25" s="234"/>
    </row>
    <row r="27" spans="3:11" x14ac:dyDescent="0.25">
      <c r="C27" s="44" t="s">
        <v>640</v>
      </c>
      <c r="K27" s="268"/>
    </row>
    <row r="28" spans="3:11" x14ac:dyDescent="0.25">
      <c r="C28" s="44" t="s">
        <v>641</v>
      </c>
      <c r="K28" s="269"/>
    </row>
    <row r="29" spans="3:11" x14ac:dyDescent="0.25">
      <c r="C29" s="44" t="s">
        <v>642</v>
      </c>
      <c r="K29" s="269"/>
    </row>
    <row r="30" spans="3:11" x14ac:dyDescent="0.25">
      <c r="C30" s="44" t="s">
        <v>643</v>
      </c>
      <c r="K30" s="269"/>
    </row>
    <row r="31" spans="3:11" x14ac:dyDescent="0.25">
      <c r="C31" s="44" t="s">
        <v>644</v>
      </c>
      <c r="K31" s="269"/>
    </row>
    <row r="32" spans="3:11" x14ac:dyDescent="0.25">
      <c r="C32" s="47" t="s">
        <v>645</v>
      </c>
      <c r="K32" s="436">
        <f>+SUM(K27:K31)</f>
        <v>0</v>
      </c>
    </row>
    <row r="34" spans="3:11" x14ac:dyDescent="0.25">
      <c r="C34" s="336" t="s">
        <v>646</v>
      </c>
      <c r="D34" s="234"/>
      <c r="E34" s="234"/>
      <c r="F34" s="234"/>
      <c r="G34" s="234"/>
      <c r="H34" s="234"/>
      <c r="I34" s="234"/>
      <c r="J34" s="234"/>
      <c r="K34" s="234"/>
    </row>
    <row r="36" spans="3:11" x14ac:dyDescent="0.25">
      <c r="C36" s="44" t="s">
        <v>647</v>
      </c>
      <c r="K36" s="268"/>
    </row>
    <row r="37" spans="3:11" x14ac:dyDescent="0.25">
      <c r="C37" s="44" t="s">
        <v>648</v>
      </c>
      <c r="K37" s="269"/>
    </row>
    <row r="38" spans="3:11" x14ac:dyDescent="0.25">
      <c r="C38" s="44" t="s">
        <v>649</v>
      </c>
      <c r="K38" s="269"/>
    </row>
    <row r="39" spans="3:11" x14ac:dyDescent="0.25">
      <c r="C39" s="44" t="s">
        <v>650</v>
      </c>
      <c r="K39" s="269"/>
    </row>
    <row r="40" spans="3:11" x14ac:dyDescent="0.25">
      <c r="C40" s="44" t="s">
        <v>651</v>
      </c>
      <c r="K40" s="269"/>
    </row>
    <row r="41" spans="3:11" x14ac:dyDescent="0.25">
      <c r="C41" s="44" t="s">
        <v>652</v>
      </c>
      <c r="K41" s="269"/>
    </row>
    <row r="42" spans="3:11" x14ac:dyDescent="0.25">
      <c r="C42" s="44" t="s">
        <v>653</v>
      </c>
      <c r="K42" s="269"/>
    </row>
    <row r="43" spans="3:11" x14ac:dyDescent="0.25">
      <c r="C43" s="44" t="s">
        <v>654</v>
      </c>
      <c r="K43" s="269"/>
    </row>
    <row r="44" spans="3:11" x14ac:dyDescent="0.25">
      <c r="C44" s="44" t="s">
        <v>655</v>
      </c>
      <c r="K44" s="269"/>
    </row>
    <row r="45" spans="3:11" x14ac:dyDescent="0.25">
      <c r="C45" s="44" t="s">
        <v>656</v>
      </c>
      <c r="K45" s="269"/>
    </row>
    <row r="46" spans="3:11" x14ac:dyDescent="0.25">
      <c r="C46" s="44" t="s">
        <v>657</v>
      </c>
      <c r="K46" s="269"/>
    </row>
    <row r="47" spans="3:11" x14ac:dyDescent="0.25">
      <c r="C47" s="44" t="s">
        <v>658</v>
      </c>
      <c r="K47" s="269"/>
    </row>
    <row r="48" spans="3:11" x14ac:dyDescent="0.25">
      <c r="C48" s="44" t="s">
        <v>659</v>
      </c>
      <c r="K48" s="269"/>
    </row>
    <row r="49" spans="3:11" x14ac:dyDescent="0.25">
      <c r="C49" s="44" t="s">
        <v>660</v>
      </c>
      <c r="K49" s="269"/>
    </row>
    <row r="50" spans="3:11" x14ac:dyDescent="0.25">
      <c r="C50" s="44" t="s">
        <v>661</v>
      </c>
      <c r="K50" s="269"/>
    </row>
    <row r="51" spans="3:11" x14ac:dyDescent="0.25">
      <c r="C51" s="44" t="s">
        <v>662</v>
      </c>
      <c r="K51" s="269"/>
    </row>
    <row r="52" spans="3:11" x14ac:dyDescent="0.25">
      <c r="C52" s="44" t="s">
        <v>663</v>
      </c>
      <c r="K52" s="269"/>
    </row>
    <row r="53" spans="3:11" x14ac:dyDescent="0.25">
      <c r="C53" s="44" t="s">
        <v>664</v>
      </c>
      <c r="K53" s="269"/>
    </row>
    <row r="54" spans="3:11" x14ac:dyDescent="0.25">
      <c r="C54" s="44" t="s">
        <v>665</v>
      </c>
      <c r="K54" s="269"/>
    </row>
    <row r="55" spans="3:11" x14ac:dyDescent="0.25">
      <c r="C55" s="44" t="s">
        <v>666</v>
      </c>
      <c r="H55" s="1977" t="s">
        <v>80</v>
      </c>
      <c r="I55" s="1979"/>
      <c r="K55" s="269"/>
    </row>
    <row r="56" spans="3:11" x14ac:dyDescent="0.25">
      <c r="C56" s="44" t="s">
        <v>667</v>
      </c>
      <c r="H56" s="1977" t="s">
        <v>80</v>
      </c>
      <c r="I56" s="1979"/>
      <c r="K56" s="269"/>
    </row>
    <row r="57" spans="3:11" x14ac:dyDescent="0.25">
      <c r="C57" s="47" t="s">
        <v>668</v>
      </c>
      <c r="K57" s="436">
        <f>+SUM(K36:K56)</f>
        <v>0</v>
      </c>
    </row>
    <row r="59" spans="3:11" x14ac:dyDescent="0.25">
      <c r="C59" s="336" t="s">
        <v>2342</v>
      </c>
      <c r="D59" s="234"/>
      <c r="E59" s="234"/>
      <c r="F59" s="234"/>
      <c r="G59" s="234"/>
      <c r="H59" s="234"/>
      <c r="I59" s="234"/>
      <c r="J59" s="234"/>
      <c r="K59" s="234"/>
    </row>
    <row r="61" spans="3:11" x14ac:dyDescent="0.25">
      <c r="C61" s="44" t="s">
        <v>669</v>
      </c>
      <c r="E61" s="41"/>
      <c r="F61" s="41"/>
      <c r="G61" s="41"/>
      <c r="K61" s="268"/>
    </row>
    <row r="62" spans="3:11" x14ac:dyDescent="0.25">
      <c r="C62" s="44" t="s">
        <v>670</v>
      </c>
      <c r="E62" s="41"/>
      <c r="F62" s="89" t="s">
        <v>671</v>
      </c>
      <c r="G62" s="788"/>
      <c r="H62" s="89" t="s">
        <v>672</v>
      </c>
      <c r="I62" s="273"/>
      <c r="J62" s="89" t="s">
        <v>673</v>
      </c>
      <c r="K62" s="269"/>
    </row>
    <row r="63" spans="3:11" x14ac:dyDescent="0.25">
      <c r="C63" s="44" t="s">
        <v>674</v>
      </c>
      <c r="K63" s="269"/>
    </row>
    <row r="64" spans="3:11" x14ac:dyDescent="0.25">
      <c r="C64" s="44" t="s">
        <v>675</v>
      </c>
      <c r="K64" s="269"/>
    </row>
    <row r="65" spans="3:11" x14ac:dyDescent="0.25">
      <c r="C65" s="44" t="s">
        <v>676</v>
      </c>
      <c r="K65" s="269"/>
    </row>
    <row r="66" spans="3:11" x14ac:dyDescent="0.25">
      <c r="C66" s="44" t="s">
        <v>677</v>
      </c>
      <c r="K66" s="269"/>
    </row>
    <row r="67" spans="3:11" x14ac:dyDescent="0.25">
      <c r="C67" s="44" t="s">
        <v>678</v>
      </c>
      <c r="K67" s="269"/>
    </row>
    <row r="68" spans="3:11" x14ac:dyDescent="0.25">
      <c r="C68" s="44" t="s">
        <v>679</v>
      </c>
      <c r="K68" s="269"/>
    </row>
    <row r="69" spans="3:11" x14ac:dyDescent="0.25">
      <c r="C69" s="44" t="s">
        <v>680</v>
      </c>
      <c r="K69" s="81"/>
    </row>
    <row r="70" spans="3:11" x14ac:dyDescent="0.25">
      <c r="C70" s="44" t="s">
        <v>681</v>
      </c>
      <c r="F70" s="1977" t="s">
        <v>2151</v>
      </c>
      <c r="G70" s="1978"/>
      <c r="H70" s="1978"/>
      <c r="I70" s="1979"/>
      <c r="K70" s="927"/>
    </row>
    <row r="71" spans="3:11" x14ac:dyDescent="0.25">
      <c r="C71" s="47" t="s">
        <v>2343</v>
      </c>
      <c r="K71" s="436">
        <f>+SUM(K61:K70)</f>
        <v>0</v>
      </c>
    </row>
    <row r="73" spans="3:11" x14ac:dyDescent="0.25">
      <c r="C73" s="43" t="s">
        <v>682</v>
      </c>
      <c r="H73" s="16">
        <f>IFERROR(K73/GENERAL!F131,0)</f>
        <v>0</v>
      </c>
      <c r="I73" s="17" t="s">
        <v>683</v>
      </c>
      <c r="K73" s="437"/>
    </row>
    <row r="74" spans="3:11" x14ac:dyDescent="0.25">
      <c r="C74" s="47"/>
      <c r="H74" s="16">
        <f>K73/12</f>
        <v>0</v>
      </c>
      <c r="I74" s="17" t="s">
        <v>684</v>
      </c>
      <c r="K74" s="71"/>
    </row>
    <row r="75" spans="3:11" x14ac:dyDescent="0.25">
      <c r="C75" s="43" t="s">
        <v>685</v>
      </c>
      <c r="K75" s="1608">
        <f>+K23+K32+K57+K71+K73</f>
        <v>0</v>
      </c>
    </row>
    <row r="76" spans="3:11" ht="13.8" x14ac:dyDescent="0.3">
      <c r="C76" s="43" t="s">
        <v>686</v>
      </c>
      <c r="K76" s="436">
        <f>INCOME!N83-EXPENSES!K75</f>
        <v>0</v>
      </c>
    </row>
    <row r="77" spans="3:11" x14ac:dyDescent="0.25">
      <c r="C77" s="7"/>
      <c r="K77"/>
    </row>
    <row r="78" spans="3:11" x14ac:dyDescent="0.25">
      <c r="C78" s="43" t="s">
        <v>687</v>
      </c>
      <c r="K78" s="1609" t="str">
        <f>IF(GENERAL!F131="","$",((K75-K73)/GENERAL!F131))</f>
        <v>$</v>
      </c>
    </row>
  </sheetData>
  <sheetProtection algorithmName="SHA-512" hashValue="dcEQRQIsbg0tr6oEoP94rcwyA4nmH5Dzd70yVV4Fwj8WmntqiLnLFCyf5rII+CAuW2vWt2ILvfHYqIlkU64ItA==" saltValue="DUMtMGvBnPYdoesa6lUZmQ==" spinCount="100000" sheet="1" objects="1" scenarios="1"/>
  <customSheetViews>
    <customSheetView guid="{76F395A0-B7E9-4489-8589-E8786779257B}" showPageBreaks="1" view="pageLayout">
      <selection activeCell="A2" sqref="A2"/>
      <rowBreaks count="3" manualBreakCount="3">
        <brk id="54" max="16383" man="1"/>
        <brk id="74" max="16383" man="1"/>
        <brk id="88" max="65535" man="1"/>
      </rowBreaks>
      <pageMargins left="0" right="0" top="0" bottom="0" header="0" footer="0"/>
      <pageSetup scale="95" firstPageNumber="9" orientation="portrait"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view="pageBreakPreview" topLeftCell="A11">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howPageBreaks="1" view="pageBreakPreview" topLeftCell="A11">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howPageBreaks="1" view="pageBreakPreview" topLeftCell="A34">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view="pageBreakPreview" showRuler="0" topLeftCell="A64">
      <selection activeCell="I70" sqref="I70"/>
      <rowBreaks count="3" manualBreakCount="3">
        <brk id="54" max="16383" man="1"/>
        <brk id="73" max="16383" man="1"/>
        <brk id="88" max="65535" man="1"/>
      </rowBreaks>
      <pageMargins left="0" right="0" top="0" bottom="0" header="0" footer="0"/>
      <pageSetup scale="95" firstPageNumber="11" orientation="portrait"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view="pageBreakPreview" showRuler="0" topLeftCell="A64">
      <selection activeCell="I70" sqref="I70"/>
      <rowBreaks count="3" manualBreakCount="3">
        <brk id="54" max="16383" man="1"/>
        <brk id="73" max="16383" man="1"/>
        <brk id="88" max="65535" man="1"/>
      </rowBreaks>
      <pageMargins left="0" right="0" top="0" bottom="0" header="0" footer="0"/>
      <pageSetup scale="95" firstPageNumber="11" orientation="portrait"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showRuler="0">
      <selection activeCell="C64" sqref="C64"/>
      <rowBreaks count="2" manualBreakCount="2">
        <brk id="53" max="16383" man="1"/>
        <brk id="88" max="65535" man="1"/>
      </rowBreaks>
      <pageMargins left="0" right="0" top="0" bottom="0" header="0" footer="0"/>
      <pageSetup firstPageNumber="9" orientation="portrait" useFirstPageNumber="1" horizontalDpi="4294967292" r:id="rId7"/>
      <headerFooter alignWithMargins="0"/>
    </customSheetView>
    <customSheetView guid="{714B32FB-A92F-4F7C-8495-8C3BCEB888AE}" showPageBreaks="1" view="pageBreakPreview" showRuler="0" topLeftCell="A19">
      <selection activeCell="G12" sqref="G12"/>
      <rowBreaks count="3" manualBreakCount="3">
        <brk id="54" max="16383" man="1"/>
        <brk id="73" max="16383" man="1"/>
        <brk id="88" max="65535" man="1"/>
      </rowBreaks>
      <pageMargins left="0" right="0" top="0" bottom="0" header="0" footer="0"/>
      <pageSetup scale="95" firstPageNumber="11" orientation="portrait"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view="pageBreakPreview" showRuler="0" topLeftCell="A64">
      <selection activeCell="I70" sqref="I70"/>
      <rowBreaks count="3" manualBreakCount="3">
        <brk id="54" max="16383" man="1"/>
        <brk id="73" max="16383" man="1"/>
        <brk id="88" max="65535" man="1"/>
      </rowBreaks>
      <pageMargins left="0" right="0" top="0" bottom="0" header="0" footer="0"/>
      <pageSetup scale="95" firstPageNumber="11" orientation="portrait"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view="pageBreakPreview" topLeftCell="A11">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view="pageBreakPreview" topLeftCell="A34">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view="pageBreakPreview" topLeftCell="A34">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view="pageBreakPreview" topLeftCell="A11">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howPageBreaks="1" view="pageBreakPreview" topLeftCell="A11">
      <selection activeCell="A19" sqref="A19"/>
      <rowBreaks count="3" manualBreakCount="3">
        <brk id="54" max="16383" man="1"/>
        <brk id="73" max="16383" man="1"/>
        <brk id="88" max="65535" man="1"/>
      </rowBreaks>
      <pageMargins left="0" right="0" top="0" bottom="0" header="0" footer="0"/>
      <pageSetup scale="95" firstPageNumber="11" orientation="portrait" useFirstPageNumber="1" horizontalDpi="4294967292" r:id="rId14"/>
      <headerFooter alignWithMargins="0">
        <oddFooter>&amp;L&amp;"Times New Roman,Italic"&amp;8CDA Form 202 (09/23/2008)&amp;C&amp;"Times New Roman,Italic"&amp;9&amp;P&amp;R&amp;"Times New Roman,Italic"&amp;8&amp;A:&amp;D</oddFooter>
      </headerFooter>
    </customSheetView>
  </customSheetViews>
  <mergeCells count="6">
    <mergeCell ref="F70:I70"/>
    <mergeCell ref="G19:I19"/>
    <mergeCell ref="G20:I20"/>
    <mergeCell ref="G21:I21"/>
    <mergeCell ref="H55:I55"/>
    <mergeCell ref="H56:I56"/>
  </mergeCells>
  <phoneticPr fontId="19" type="noConversion"/>
  <pageMargins left="0.25" right="0.25" top="0.25" bottom="0.25" header="0.25" footer="0.25"/>
  <pageSetup fitToHeight="0" orientation="portrait" useFirstPageNumber="1" r:id="rId15"/>
  <headerFooter scaleWithDoc="0" alignWithMargins="0"/>
  <rowBreaks count="1" manualBreakCount="1">
    <brk id="57" min="1" max="11" man="1"/>
  </rowBreaks>
  <ignoredErrors>
    <ignoredError sqref="K3:K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codeName="Sheet9">
    <tabColor rgb="FF0000FF"/>
    <pageSetUpPr fitToPage="1"/>
  </sheetPr>
  <dimension ref="C2:Y84"/>
  <sheetViews>
    <sheetView showGridLines="0" view="pageBreakPreview" zoomScale="120" zoomScaleNormal="115" zoomScaleSheetLayoutView="120" workbookViewId="0">
      <selection activeCell="I48" sqref="I48"/>
    </sheetView>
  </sheetViews>
  <sheetFormatPr defaultColWidth="11.77734375" defaultRowHeight="13.2" x14ac:dyDescent="0.25"/>
  <cols>
    <col min="1" max="2" width="2.77734375" style="7" customWidth="1"/>
    <col min="3" max="3" width="25.77734375" style="44" customWidth="1"/>
    <col min="4" max="4" width="23.109375" style="7" customWidth="1"/>
    <col min="5" max="6" width="14.109375" style="7" customWidth="1"/>
    <col min="7" max="7" width="15.44140625" style="7" bestFit="1" customWidth="1"/>
    <col min="8" max="10" width="14.44140625" style="7" bestFit="1" customWidth="1"/>
    <col min="11" max="11" width="14.77734375" style="7" bestFit="1" customWidth="1"/>
    <col min="12" max="12" width="14.44140625" style="7" bestFit="1" customWidth="1"/>
    <col min="13" max="24" width="12.77734375" style="7" customWidth="1"/>
    <col min="25" max="16384" width="11.77734375" style="7"/>
  </cols>
  <sheetData>
    <row r="2" spans="3:24" ht="24.75" customHeight="1" thickBot="1" x14ac:dyDescent="0.4">
      <c r="C2" s="1980" t="s">
        <v>2653</v>
      </c>
      <c r="D2" s="1981"/>
      <c r="N2" s="42"/>
      <c r="X2" s="42">
        <f>projname</f>
        <v>0</v>
      </c>
    </row>
    <row r="3" spans="3:24" s="1195" customFormat="1" ht="12.75" customHeight="1" thickBot="1" x14ac:dyDescent="0.3">
      <c r="E3" s="1358">
        <v>0.02</v>
      </c>
      <c r="F3" s="1195" t="s">
        <v>2635</v>
      </c>
      <c r="H3" s="1359">
        <v>0.03</v>
      </c>
      <c r="I3" s="1195" t="s">
        <v>2636</v>
      </c>
      <c r="M3" s="1355"/>
      <c r="N3" s="1356"/>
      <c r="W3" s="1355" t="s">
        <v>227</v>
      </c>
      <c r="X3" s="1357">
        <f>GENERAL!D7</f>
        <v>0</v>
      </c>
    </row>
    <row r="4" spans="3:24" ht="4.95" customHeight="1" thickBot="1" x14ac:dyDescent="0.3">
      <c r="C4" s="7"/>
      <c r="M4" s="9"/>
      <c r="N4" s="35"/>
      <c r="W4" s="9"/>
      <c r="X4" s="35"/>
    </row>
    <row r="5" spans="3:24" x14ac:dyDescent="0.25">
      <c r="C5" s="47"/>
      <c r="E5" s="1280" t="s">
        <v>968</v>
      </c>
      <c r="F5" s="1281" t="s">
        <v>969</v>
      </c>
      <c r="G5" s="1281" t="s">
        <v>970</v>
      </c>
      <c r="H5" s="1281" t="s">
        <v>971</v>
      </c>
      <c r="I5" s="1281" t="s">
        <v>972</v>
      </c>
      <c r="J5" s="1281" t="s">
        <v>973</v>
      </c>
      <c r="K5" s="1281" t="s">
        <v>974</v>
      </c>
      <c r="L5" s="1281" t="s">
        <v>975</v>
      </c>
      <c r="M5" s="1281" t="s">
        <v>976</v>
      </c>
      <c r="N5" s="1281" t="s">
        <v>977</v>
      </c>
      <c r="O5" s="1281" t="s">
        <v>978</v>
      </c>
      <c r="P5" s="1281" t="s">
        <v>979</v>
      </c>
      <c r="Q5" s="1281" t="s">
        <v>980</v>
      </c>
      <c r="R5" s="1281" t="s">
        <v>981</v>
      </c>
      <c r="S5" s="1282" t="s">
        <v>982</v>
      </c>
      <c r="T5" s="213" t="s">
        <v>983</v>
      </c>
      <c r="U5" s="213" t="s">
        <v>984</v>
      </c>
      <c r="V5" s="213" t="s">
        <v>985</v>
      </c>
      <c r="W5" s="213" t="s">
        <v>986</v>
      </c>
      <c r="X5" s="213" t="s">
        <v>987</v>
      </c>
    </row>
    <row r="6" spans="3:24" x14ac:dyDescent="0.25">
      <c r="C6" s="43" t="s">
        <v>988</v>
      </c>
      <c r="E6" s="1283"/>
      <c r="F6" s="24"/>
      <c r="G6" s="213"/>
      <c r="H6" s="213"/>
      <c r="I6" s="213"/>
      <c r="J6" s="213"/>
      <c r="K6" s="213"/>
      <c r="L6" s="1332" t="e">
        <f>L9/K9</f>
        <v>#DIV/0!</v>
      </c>
      <c r="M6" s="213"/>
      <c r="N6" s="213"/>
      <c r="O6" s="213"/>
      <c r="P6" s="213"/>
      <c r="Q6" s="213"/>
      <c r="R6" s="213"/>
      <c r="S6" s="1284"/>
      <c r="T6" s="213"/>
      <c r="U6" s="213"/>
      <c r="V6" s="213"/>
      <c r="W6" s="213"/>
      <c r="X6" s="213"/>
    </row>
    <row r="7" spans="3:24" x14ac:dyDescent="0.25">
      <c r="C7" s="630" t="str">
        <f>INCOME!C8</f>
        <v>Low-Income Units</v>
      </c>
      <c r="D7" s="929"/>
      <c r="E7" s="1290">
        <f>INCOME!N41</f>
        <v>0</v>
      </c>
      <c r="F7" s="1333">
        <f>E7+($E$3*E7)</f>
        <v>0</v>
      </c>
      <c r="G7" s="1333">
        <f t="shared" ref="G7:X10" si="0">F7+($E$3*F7)</f>
        <v>0</v>
      </c>
      <c r="H7" s="1333">
        <f t="shared" si="0"/>
        <v>0</v>
      </c>
      <c r="I7" s="1333">
        <f t="shared" si="0"/>
        <v>0</v>
      </c>
      <c r="J7" s="1333">
        <f t="shared" si="0"/>
        <v>0</v>
      </c>
      <c r="K7" s="1333">
        <f t="shared" si="0"/>
        <v>0</v>
      </c>
      <c r="L7" s="1333">
        <f>K7+($E$3*K7)</f>
        <v>0</v>
      </c>
      <c r="M7" s="1333">
        <f t="shared" si="0"/>
        <v>0</v>
      </c>
      <c r="N7" s="1333">
        <f t="shared" si="0"/>
        <v>0</v>
      </c>
      <c r="O7" s="1333">
        <f t="shared" si="0"/>
        <v>0</v>
      </c>
      <c r="P7" s="1333">
        <f t="shared" si="0"/>
        <v>0</v>
      </c>
      <c r="Q7" s="1333">
        <f t="shared" si="0"/>
        <v>0</v>
      </c>
      <c r="R7" s="1333">
        <f t="shared" si="0"/>
        <v>0</v>
      </c>
      <c r="S7" s="1291">
        <f t="shared" si="0"/>
        <v>0</v>
      </c>
      <c r="T7" s="1271">
        <f t="shared" si="0"/>
        <v>0</v>
      </c>
      <c r="U7" s="632">
        <f t="shared" si="0"/>
        <v>0</v>
      </c>
      <c r="V7" s="632">
        <f t="shared" si="0"/>
        <v>0</v>
      </c>
      <c r="W7" s="632">
        <f t="shared" si="0"/>
        <v>0</v>
      </c>
      <c r="X7" s="632">
        <f t="shared" si="0"/>
        <v>0</v>
      </c>
    </row>
    <row r="8" spans="3:24" x14ac:dyDescent="0.25">
      <c r="C8" s="630" t="str">
        <f>INCOME!C45</f>
        <v>Market Rate Units</v>
      </c>
      <c r="D8" s="929"/>
      <c r="E8" s="1290">
        <f>INCOME!N59</f>
        <v>0</v>
      </c>
      <c r="F8" s="1333">
        <f>E8+($E$3*E8)</f>
        <v>0</v>
      </c>
      <c r="G8" s="1333">
        <f>F8+($E$3*F8)</f>
        <v>0</v>
      </c>
      <c r="H8" s="1333">
        <f>G8+($E$3*G8)</f>
        <v>0</v>
      </c>
      <c r="I8" s="1333">
        <f>H8+($E$3*H8)</f>
        <v>0</v>
      </c>
      <c r="J8" s="1333">
        <f>I8+($E$3*I8)</f>
        <v>0</v>
      </c>
      <c r="K8" s="1333">
        <f>J8+($E$3*J8)</f>
        <v>0</v>
      </c>
      <c r="L8" s="1333">
        <f>K8+($E$3*K8)</f>
        <v>0</v>
      </c>
      <c r="M8" s="1333">
        <f t="shared" ref="M8:U8" si="1">L8+($E$3*L8)</f>
        <v>0</v>
      </c>
      <c r="N8" s="1333">
        <f t="shared" si="1"/>
        <v>0</v>
      </c>
      <c r="O8" s="1333">
        <f t="shared" si="1"/>
        <v>0</v>
      </c>
      <c r="P8" s="1333">
        <f t="shared" si="1"/>
        <v>0</v>
      </c>
      <c r="Q8" s="1333">
        <f t="shared" si="1"/>
        <v>0</v>
      </c>
      <c r="R8" s="1333">
        <f t="shared" si="1"/>
        <v>0</v>
      </c>
      <c r="S8" s="1291">
        <f t="shared" si="1"/>
        <v>0</v>
      </c>
      <c r="T8" s="1271">
        <f t="shared" si="1"/>
        <v>0</v>
      </c>
      <c r="U8" s="632">
        <f t="shared" si="1"/>
        <v>0</v>
      </c>
      <c r="V8" s="632">
        <f t="shared" si="0"/>
        <v>0</v>
      </c>
      <c r="W8" s="632">
        <f t="shared" si="0"/>
        <v>0</v>
      </c>
      <c r="X8" s="632">
        <f t="shared" si="0"/>
        <v>0</v>
      </c>
    </row>
    <row r="9" spans="3:24" x14ac:dyDescent="0.25">
      <c r="C9" s="630" t="s">
        <v>946</v>
      </c>
      <c r="D9" s="929"/>
      <c r="E9" s="1290">
        <f>INCOME!N77-INCOME!N76</f>
        <v>0</v>
      </c>
      <c r="F9" s="1333">
        <f>E9+($E$3*E9)</f>
        <v>0</v>
      </c>
      <c r="G9" s="1333">
        <f>F9+($E$3*F9)</f>
        <v>0</v>
      </c>
      <c r="H9" s="1333">
        <f t="shared" si="0"/>
        <v>0</v>
      </c>
      <c r="I9" s="1333">
        <f t="shared" si="0"/>
        <v>0</v>
      </c>
      <c r="J9" s="1333">
        <f t="shared" si="0"/>
        <v>0</v>
      </c>
      <c r="K9" s="1333">
        <f t="shared" si="0"/>
        <v>0</v>
      </c>
      <c r="L9" s="1333">
        <f t="shared" si="0"/>
        <v>0</v>
      </c>
      <c r="M9" s="1333">
        <f t="shared" si="0"/>
        <v>0</v>
      </c>
      <c r="N9" s="1333">
        <f t="shared" si="0"/>
        <v>0</v>
      </c>
      <c r="O9" s="1333">
        <f t="shared" si="0"/>
        <v>0</v>
      </c>
      <c r="P9" s="1333">
        <f t="shared" si="0"/>
        <v>0</v>
      </c>
      <c r="Q9" s="1333">
        <f t="shared" si="0"/>
        <v>0</v>
      </c>
      <c r="R9" s="1333">
        <f t="shared" si="0"/>
        <v>0</v>
      </c>
      <c r="S9" s="1291">
        <f t="shared" si="0"/>
        <v>0</v>
      </c>
      <c r="T9" s="1271">
        <f t="shared" si="0"/>
        <v>0</v>
      </c>
      <c r="U9" s="632">
        <f t="shared" si="0"/>
        <v>0</v>
      </c>
      <c r="V9" s="632">
        <f t="shared" si="0"/>
        <v>0</v>
      </c>
      <c r="W9" s="632">
        <f t="shared" si="0"/>
        <v>0</v>
      </c>
      <c r="X9" s="632">
        <f t="shared" si="0"/>
        <v>0</v>
      </c>
    </row>
    <row r="10" spans="3:24" x14ac:dyDescent="0.25">
      <c r="C10" s="630" t="str">
        <f>INCOME!C76</f>
        <v>Commercial Income</v>
      </c>
      <c r="D10" s="929"/>
      <c r="E10" s="1290">
        <f>INCOME!N76</f>
        <v>0</v>
      </c>
      <c r="F10" s="1333">
        <f>E10+($E$3*E10)</f>
        <v>0</v>
      </c>
      <c r="G10" s="1333">
        <f t="shared" si="0"/>
        <v>0</v>
      </c>
      <c r="H10" s="1333">
        <f t="shared" si="0"/>
        <v>0</v>
      </c>
      <c r="I10" s="1333">
        <f t="shared" si="0"/>
        <v>0</v>
      </c>
      <c r="J10" s="1333">
        <f t="shared" si="0"/>
        <v>0</v>
      </c>
      <c r="K10" s="1333">
        <f t="shared" si="0"/>
        <v>0</v>
      </c>
      <c r="L10" s="1333">
        <f>K10+($E$3*K10)</f>
        <v>0</v>
      </c>
      <c r="M10" s="1333">
        <f t="shared" si="0"/>
        <v>0</v>
      </c>
      <c r="N10" s="1333">
        <f t="shared" si="0"/>
        <v>0</v>
      </c>
      <c r="O10" s="1333">
        <f t="shared" si="0"/>
        <v>0</v>
      </c>
      <c r="P10" s="1333">
        <f t="shared" si="0"/>
        <v>0</v>
      </c>
      <c r="Q10" s="1333">
        <f t="shared" si="0"/>
        <v>0</v>
      </c>
      <c r="R10" s="1333">
        <f t="shared" si="0"/>
        <v>0</v>
      </c>
      <c r="S10" s="1291">
        <f t="shared" si="0"/>
        <v>0</v>
      </c>
      <c r="T10" s="1271">
        <f t="shared" si="0"/>
        <v>0</v>
      </c>
      <c r="U10" s="632">
        <f t="shared" si="0"/>
        <v>0</v>
      </c>
      <c r="V10" s="632">
        <f t="shared" si="0"/>
        <v>0</v>
      </c>
      <c r="W10" s="632">
        <f t="shared" si="0"/>
        <v>0</v>
      </c>
      <c r="X10" s="632">
        <f t="shared" si="0"/>
        <v>0</v>
      </c>
    </row>
    <row r="11" spans="3:24" s="1319" customFormat="1" ht="12.75" customHeight="1" x14ac:dyDescent="0.3">
      <c r="C11" s="1360" t="s">
        <v>989</v>
      </c>
      <c r="D11" s="1361"/>
      <c r="E11" s="1362">
        <f>SUM(E7:E10)</f>
        <v>0</v>
      </c>
      <c r="F11" s="1363">
        <f>SUM(F7:F10)</f>
        <v>0</v>
      </c>
      <c r="G11" s="1363">
        <f>SUM(G7:G10)</f>
        <v>0</v>
      </c>
      <c r="H11" s="1363">
        <f t="shared" ref="H11:X11" si="2">SUM(H7:H10)</f>
        <v>0</v>
      </c>
      <c r="I11" s="1363">
        <f t="shared" si="2"/>
        <v>0</v>
      </c>
      <c r="J11" s="1363">
        <f t="shared" si="2"/>
        <v>0</v>
      </c>
      <c r="K11" s="1363">
        <f t="shared" si="2"/>
        <v>0</v>
      </c>
      <c r="L11" s="1363">
        <f t="shared" si="2"/>
        <v>0</v>
      </c>
      <c r="M11" s="1363">
        <f t="shared" si="2"/>
        <v>0</v>
      </c>
      <c r="N11" s="1363">
        <f t="shared" si="2"/>
        <v>0</v>
      </c>
      <c r="O11" s="1363">
        <f t="shared" si="2"/>
        <v>0</v>
      </c>
      <c r="P11" s="1363">
        <f t="shared" si="2"/>
        <v>0</v>
      </c>
      <c r="Q11" s="1363">
        <f t="shared" si="2"/>
        <v>0</v>
      </c>
      <c r="R11" s="1363">
        <f t="shared" si="2"/>
        <v>0</v>
      </c>
      <c r="S11" s="1364">
        <f t="shared" si="2"/>
        <v>0</v>
      </c>
      <c r="T11" s="1365">
        <f t="shared" si="2"/>
        <v>0</v>
      </c>
      <c r="U11" s="1366">
        <f t="shared" si="2"/>
        <v>0</v>
      </c>
      <c r="V11" s="1366">
        <f t="shared" si="2"/>
        <v>0</v>
      </c>
      <c r="W11" s="1366">
        <f t="shared" si="2"/>
        <v>0</v>
      </c>
      <c r="X11" s="1366">
        <f t="shared" si="2"/>
        <v>0</v>
      </c>
    </row>
    <row r="12" spans="3:24" s="214" customFormat="1" x14ac:dyDescent="0.25">
      <c r="C12" s="628" t="s">
        <v>2003</v>
      </c>
      <c r="D12" s="1266"/>
      <c r="E12" s="1285">
        <f>(E7*-INCOME!$I42)</f>
        <v>0</v>
      </c>
      <c r="F12" s="1334">
        <f>(F7*-INCOME!$I42)</f>
        <v>0</v>
      </c>
      <c r="G12" s="1335">
        <f>(G7*-INCOME!$I42)</f>
        <v>0</v>
      </c>
      <c r="H12" s="1335">
        <f>(H7*-INCOME!$I42)</f>
        <v>0</v>
      </c>
      <c r="I12" s="1336">
        <f>(I7*-INCOME!$I42)</f>
        <v>0</v>
      </c>
      <c r="J12" s="1336">
        <f>(J7*-INCOME!$I42)</f>
        <v>0</v>
      </c>
      <c r="K12" s="1336">
        <f>(K7*-INCOME!$I42)</f>
        <v>0</v>
      </c>
      <c r="L12" s="1336">
        <f>(L7*-INCOME!$I42)</f>
        <v>0</v>
      </c>
      <c r="M12" s="1336">
        <f>(M7*-INCOME!$I42)</f>
        <v>0</v>
      </c>
      <c r="N12" s="1336">
        <f>(N7*-INCOME!$I42)</f>
        <v>0</v>
      </c>
      <c r="O12" s="1336">
        <f>(O7*-INCOME!$I42)</f>
        <v>0</v>
      </c>
      <c r="P12" s="1336">
        <f>(P7*-INCOME!$I42)</f>
        <v>0</v>
      </c>
      <c r="Q12" s="1336">
        <f>(Q7*-INCOME!$I42)</f>
        <v>0</v>
      </c>
      <c r="R12" s="1336">
        <f>(R7*-INCOME!$I42)</f>
        <v>0</v>
      </c>
      <c r="S12" s="1286">
        <f>(S7*-INCOME!$I42)</f>
        <v>0</v>
      </c>
      <c r="T12" s="1270">
        <f>(T7*-INCOME!$I42)</f>
        <v>0</v>
      </c>
      <c r="U12" s="629">
        <f>(U7*-INCOME!$I42)</f>
        <v>0</v>
      </c>
      <c r="V12" s="629">
        <f>(V7*-INCOME!$I42)</f>
        <v>0</v>
      </c>
      <c r="W12" s="629">
        <f>(W7*-INCOME!$I42)</f>
        <v>0</v>
      </c>
      <c r="X12" s="629">
        <f>(X7*-INCOME!$I42)</f>
        <v>0</v>
      </c>
    </row>
    <row r="13" spans="3:24" s="214" customFormat="1" x14ac:dyDescent="0.25">
      <c r="C13" s="682" t="s">
        <v>2004</v>
      </c>
      <c r="D13" s="1266"/>
      <c r="E13" s="1285">
        <f>(E8*-INCOME!$I61)</f>
        <v>0</v>
      </c>
      <c r="F13" s="1334">
        <f>(F8*-INCOME!$I61)</f>
        <v>0</v>
      </c>
      <c r="G13" s="1335">
        <f>(G8*-INCOME!$I61)</f>
        <v>0</v>
      </c>
      <c r="H13" s="1335">
        <f>(H8*-INCOME!$I61)</f>
        <v>0</v>
      </c>
      <c r="I13" s="1336">
        <f>(I8*-INCOME!$I61)</f>
        <v>0</v>
      </c>
      <c r="J13" s="1336">
        <f>(J8*-INCOME!$I61)</f>
        <v>0</v>
      </c>
      <c r="K13" s="1336">
        <f>(K8*-INCOME!$I61)</f>
        <v>0</v>
      </c>
      <c r="L13" s="1336">
        <f>(L8*-INCOME!$I61)</f>
        <v>0</v>
      </c>
      <c r="M13" s="1336">
        <f>(M8*-INCOME!$I61)</f>
        <v>0</v>
      </c>
      <c r="N13" s="1336">
        <f>(N8*-INCOME!$I61)</f>
        <v>0</v>
      </c>
      <c r="O13" s="1336">
        <f>(O8*-INCOME!$I61)</f>
        <v>0</v>
      </c>
      <c r="P13" s="1336">
        <f>(P8*-INCOME!$I61)</f>
        <v>0</v>
      </c>
      <c r="Q13" s="1336">
        <f>(Q8*-INCOME!$I61)</f>
        <v>0</v>
      </c>
      <c r="R13" s="1336">
        <f>(R8*-INCOME!$I61)</f>
        <v>0</v>
      </c>
      <c r="S13" s="1286">
        <f>(S8*-INCOME!$I61)</f>
        <v>0</v>
      </c>
      <c r="T13" s="1270">
        <f>(T8*-INCOME!$I61)</f>
        <v>0</v>
      </c>
      <c r="U13" s="683">
        <f>(U8*-INCOME!$I61)</f>
        <v>0</v>
      </c>
      <c r="V13" s="683">
        <f>(V8*-INCOME!$I61)</f>
        <v>0</v>
      </c>
      <c r="W13" s="683">
        <f>(W8*-INCOME!$I61)</f>
        <v>0</v>
      </c>
      <c r="X13" s="683">
        <f>(X8*-INCOME!$I61)</f>
        <v>0</v>
      </c>
    </row>
    <row r="14" spans="3:24" s="214" customFormat="1" x14ac:dyDescent="0.25">
      <c r="C14" s="682" t="s">
        <v>2005</v>
      </c>
      <c r="D14" s="1266"/>
      <c r="E14" s="1285">
        <f>(E9*-INCOME!$I79)</f>
        <v>0</v>
      </c>
      <c r="F14" s="1334">
        <f>(F9*-INCOME!$I79)</f>
        <v>0</v>
      </c>
      <c r="G14" s="1335">
        <f>(G9*-INCOME!$I79)</f>
        <v>0</v>
      </c>
      <c r="H14" s="1335">
        <f>(H9*-INCOME!$I79)</f>
        <v>0</v>
      </c>
      <c r="I14" s="1336">
        <f>(I9*-INCOME!$I79)</f>
        <v>0</v>
      </c>
      <c r="J14" s="1336">
        <f>(J9*-INCOME!$I79)</f>
        <v>0</v>
      </c>
      <c r="K14" s="1336">
        <f>(K9*-INCOME!$I79)</f>
        <v>0</v>
      </c>
      <c r="L14" s="1336">
        <f>(L9*-INCOME!$I79)</f>
        <v>0</v>
      </c>
      <c r="M14" s="1336">
        <f>(M9*-INCOME!$I79)</f>
        <v>0</v>
      </c>
      <c r="N14" s="1336">
        <f>(N9*-INCOME!$I79)</f>
        <v>0</v>
      </c>
      <c r="O14" s="1336">
        <f>(O9*-INCOME!$I79)</f>
        <v>0</v>
      </c>
      <c r="P14" s="1336">
        <f>(P9*-INCOME!$I79)</f>
        <v>0</v>
      </c>
      <c r="Q14" s="1336">
        <f>(Q9*-INCOME!$I79)</f>
        <v>0</v>
      </c>
      <c r="R14" s="1336">
        <f>(R9*-INCOME!$I79)</f>
        <v>0</v>
      </c>
      <c r="S14" s="1286">
        <f>(S9*-INCOME!$I79)</f>
        <v>0</v>
      </c>
      <c r="T14" s="1270">
        <f>(T9*-INCOME!$I79)</f>
        <v>0</v>
      </c>
      <c r="U14" s="683">
        <f>(U9*-INCOME!$I79)</f>
        <v>0</v>
      </c>
      <c r="V14" s="683">
        <f>(V9*-INCOME!$I79)</f>
        <v>0</v>
      </c>
      <c r="W14" s="683">
        <f>(W9*-INCOME!$I79)</f>
        <v>0</v>
      </c>
      <c r="X14" s="683">
        <f>(X9*-INCOME!$I79)</f>
        <v>0</v>
      </c>
    </row>
    <row r="15" spans="3:24" s="214" customFormat="1" x14ac:dyDescent="0.25">
      <c r="C15" s="682" t="s">
        <v>2006</v>
      </c>
      <c r="D15" s="1266"/>
      <c r="E15" s="1285">
        <f>(E10*-INCOME!$I81)</f>
        <v>0</v>
      </c>
      <c r="F15" s="1334">
        <f>(F10*-INCOME!$I81)</f>
        <v>0</v>
      </c>
      <c r="G15" s="1335">
        <f>(G10*-INCOME!$I81)</f>
        <v>0</v>
      </c>
      <c r="H15" s="1335">
        <f>(H10*-INCOME!$I81)</f>
        <v>0</v>
      </c>
      <c r="I15" s="1336">
        <f>(I10*-INCOME!$I81)</f>
        <v>0</v>
      </c>
      <c r="J15" s="1336">
        <f>(J10*-INCOME!$I81)</f>
        <v>0</v>
      </c>
      <c r="K15" s="1336">
        <f>(K10*-INCOME!$I81)</f>
        <v>0</v>
      </c>
      <c r="L15" s="1336">
        <f>(L10*-INCOME!$I81)</f>
        <v>0</v>
      </c>
      <c r="M15" s="1336">
        <f>(M10*-INCOME!$I81)</f>
        <v>0</v>
      </c>
      <c r="N15" s="1336">
        <f>(N10*-INCOME!$I81)</f>
        <v>0</v>
      </c>
      <c r="O15" s="1336">
        <f>(O10*-INCOME!$I81)</f>
        <v>0</v>
      </c>
      <c r="P15" s="1336">
        <f>(P10*-INCOME!$I81)</f>
        <v>0</v>
      </c>
      <c r="Q15" s="1336">
        <f>(Q10*-INCOME!$I81)</f>
        <v>0</v>
      </c>
      <c r="R15" s="1336">
        <f>(R10*-INCOME!$I81)</f>
        <v>0</v>
      </c>
      <c r="S15" s="1286">
        <f>(S10*-INCOME!$I81)</f>
        <v>0</v>
      </c>
      <c r="T15" s="1270">
        <f>(T10*-INCOME!$I81)</f>
        <v>0</v>
      </c>
      <c r="U15" s="683">
        <f>(U10*-INCOME!$I81)</f>
        <v>0</v>
      </c>
      <c r="V15" s="683">
        <f>(V10*-INCOME!$I81)</f>
        <v>0</v>
      </c>
      <c r="W15" s="683">
        <f>(W10*-INCOME!$I81)</f>
        <v>0</v>
      </c>
      <c r="X15" s="683">
        <f>(X10*-INCOME!$I81)</f>
        <v>0</v>
      </c>
    </row>
    <row r="16" spans="3:24" s="215" customFormat="1" x14ac:dyDescent="0.25">
      <c r="C16" s="1367" t="s">
        <v>990</v>
      </c>
      <c r="D16" s="1368"/>
      <c r="E16" s="1369">
        <f>E11+SUM(E12:E15)</f>
        <v>0</v>
      </c>
      <c r="F16" s="1370">
        <f t="shared" ref="F16:X16" si="3">F11+SUM(F12:F15)</f>
        <v>0</v>
      </c>
      <c r="G16" s="1370">
        <f t="shared" si="3"/>
        <v>0</v>
      </c>
      <c r="H16" s="1370">
        <f t="shared" si="3"/>
        <v>0</v>
      </c>
      <c r="I16" s="1370">
        <f t="shared" si="3"/>
        <v>0</v>
      </c>
      <c r="J16" s="1370">
        <f t="shared" si="3"/>
        <v>0</v>
      </c>
      <c r="K16" s="1370">
        <f t="shared" si="3"/>
        <v>0</v>
      </c>
      <c r="L16" s="1370">
        <f t="shared" si="3"/>
        <v>0</v>
      </c>
      <c r="M16" s="1370">
        <f t="shared" si="3"/>
        <v>0</v>
      </c>
      <c r="N16" s="1370">
        <f t="shared" si="3"/>
        <v>0</v>
      </c>
      <c r="O16" s="1370">
        <f t="shared" si="3"/>
        <v>0</v>
      </c>
      <c r="P16" s="1370">
        <f t="shared" si="3"/>
        <v>0</v>
      </c>
      <c r="Q16" s="1370">
        <f t="shared" si="3"/>
        <v>0</v>
      </c>
      <c r="R16" s="1370">
        <f t="shared" si="3"/>
        <v>0</v>
      </c>
      <c r="S16" s="1371">
        <f t="shared" si="3"/>
        <v>0</v>
      </c>
      <c r="T16" s="1372">
        <f t="shared" si="3"/>
        <v>0</v>
      </c>
      <c r="U16" s="1373">
        <f t="shared" si="3"/>
        <v>0</v>
      </c>
      <c r="V16" s="1373">
        <f t="shared" si="3"/>
        <v>0</v>
      </c>
      <c r="W16" s="1373">
        <f t="shared" si="3"/>
        <v>0</v>
      </c>
      <c r="X16" s="1373">
        <f t="shared" si="3"/>
        <v>0</v>
      </c>
    </row>
    <row r="17" spans="3:24" ht="5.7" customHeight="1" x14ac:dyDescent="0.25">
      <c r="E17" s="1287"/>
      <c r="S17" s="1288"/>
    </row>
    <row r="18" spans="3:24" x14ac:dyDescent="0.25">
      <c r="C18" s="43" t="s">
        <v>991</v>
      </c>
      <c r="D18" s="1277"/>
      <c r="E18" s="1289"/>
      <c r="S18" s="1288"/>
    </row>
    <row r="19" spans="3:24" x14ac:dyDescent="0.25">
      <c r="C19" s="630" t="s">
        <v>953</v>
      </c>
      <c r="D19" s="929"/>
      <c r="E19" s="1290">
        <f>EXPENSES!K23-EXP_AdminManagementFee</f>
        <v>0</v>
      </c>
      <c r="F19" s="1333">
        <f>E19+(E19*$H$3)</f>
        <v>0</v>
      </c>
      <c r="G19" s="1333">
        <f>F19+(F19*SUMMARY!$J72)</f>
        <v>0</v>
      </c>
      <c r="H19" s="1333">
        <f>G19+(G19*SUMMARY!$J72)</f>
        <v>0</v>
      </c>
      <c r="I19" s="1333">
        <f>H19+(H19*SUMMARY!$J72)</f>
        <v>0</v>
      </c>
      <c r="J19" s="1333">
        <f>I19+(I19*SUMMARY!$J72)</f>
        <v>0</v>
      </c>
      <c r="K19" s="1333">
        <f>J19+(J19*SUMMARY!$J72)</f>
        <v>0</v>
      </c>
      <c r="L19" s="1333">
        <f>K19+(K19*SUMMARY!$J72)</f>
        <v>0</v>
      </c>
      <c r="M19" s="1333">
        <f>L19+(L19*SUMMARY!$J72)</f>
        <v>0</v>
      </c>
      <c r="N19" s="1333">
        <f>M19+(M19*SUMMARY!$J72)</f>
        <v>0</v>
      </c>
      <c r="O19" s="1333">
        <f>N19+(N19*SUMMARY!$J72)</f>
        <v>0</v>
      </c>
      <c r="P19" s="1333">
        <f>O19+(O19*SUMMARY!$J72)</f>
        <v>0</v>
      </c>
      <c r="Q19" s="1333">
        <f>P19+(P19*SUMMARY!$J72)</f>
        <v>0</v>
      </c>
      <c r="R19" s="1333">
        <f>Q19+(Q19*SUMMARY!$J72)</f>
        <v>0</v>
      </c>
      <c r="S19" s="1291">
        <f>R19+(R19*SUMMARY!$J72)</f>
        <v>0</v>
      </c>
      <c r="T19" s="1271">
        <f>S19+(S19*SUMMARY!$J72)</f>
        <v>0</v>
      </c>
      <c r="U19" s="632">
        <f>T19+(T19*SUMMARY!$J72)</f>
        <v>0</v>
      </c>
      <c r="V19" s="632">
        <f>U19+(U19*SUMMARY!$J72)</f>
        <v>0</v>
      </c>
      <c r="W19" s="632">
        <f>V19+(V19*SUMMARY!$J72)</f>
        <v>0</v>
      </c>
      <c r="X19" s="632">
        <f>W19+(W19*SUMMARY!$J72)</f>
        <v>0</v>
      </c>
    </row>
    <row r="20" spans="3:24" x14ac:dyDescent="0.25">
      <c r="C20" s="630" t="s">
        <v>627</v>
      </c>
      <c r="D20" s="929"/>
      <c r="E20" s="1290">
        <f>EXPENSES!$H$12*E16</f>
        <v>0</v>
      </c>
      <c r="F20" s="1333">
        <f>EXPENSES!$H$12*F16</f>
        <v>0</v>
      </c>
      <c r="G20" s="1333">
        <f>EXPENSES!$H$12*G16</f>
        <v>0</v>
      </c>
      <c r="H20" s="1333">
        <f>EXPENSES!$H$12*H16</f>
        <v>0</v>
      </c>
      <c r="I20" s="1333">
        <f>EXPENSES!$H$12*I16</f>
        <v>0</v>
      </c>
      <c r="J20" s="1333">
        <f>EXPENSES!$H$12*J16</f>
        <v>0</v>
      </c>
      <c r="K20" s="1333">
        <f>EXPENSES!$H$12*K16</f>
        <v>0</v>
      </c>
      <c r="L20" s="1333">
        <f>EXPENSES!$H$12*L16</f>
        <v>0</v>
      </c>
      <c r="M20" s="1333">
        <f>EXPENSES!$H$12*M16</f>
        <v>0</v>
      </c>
      <c r="N20" s="1333">
        <f>EXPENSES!$H$12*N16</f>
        <v>0</v>
      </c>
      <c r="O20" s="1333">
        <f>EXPENSES!$H$12*O16</f>
        <v>0</v>
      </c>
      <c r="P20" s="1333">
        <f>EXPENSES!$H$12*P16</f>
        <v>0</v>
      </c>
      <c r="Q20" s="1333">
        <f>EXPENSES!$H$12*Q16</f>
        <v>0</v>
      </c>
      <c r="R20" s="1333">
        <f>EXPENSES!$H$12*R16</f>
        <v>0</v>
      </c>
      <c r="S20" s="1291">
        <f>EXPENSES!$H$12*S16</f>
        <v>0</v>
      </c>
      <c r="T20" s="1271">
        <f>EXPENSES!$H$12*T16</f>
        <v>0</v>
      </c>
      <c r="U20" s="632">
        <f>EXPENSES!$H$12*U16</f>
        <v>0</v>
      </c>
      <c r="V20" s="632">
        <f>EXPENSES!$H$12*V16</f>
        <v>0</v>
      </c>
      <c r="W20" s="632">
        <f>EXPENSES!$H$12*W16</f>
        <v>0</v>
      </c>
      <c r="X20" s="632">
        <f>EXPENSES!$H$12*X16</f>
        <v>0</v>
      </c>
    </row>
    <row r="21" spans="3:24" x14ac:dyDescent="0.25">
      <c r="C21" s="630" t="s">
        <v>955</v>
      </c>
      <c r="D21" s="929"/>
      <c r="E21" s="1290">
        <f>EXPENSES!K32</f>
        <v>0</v>
      </c>
      <c r="F21" s="1333">
        <f t="shared" ref="F21:F26" si="4">E21+(E21*$H$3)</f>
        <v>0</v>
      </c>
      <c r="G21" s="1333">
        <f t="shared" ref="G21:X21" si="5">F21+(F21*$H$3)</f>
        <v>0</v>
      </c>
      <c r="H21" s="1333">
        <f t="shared" si="5"/>
        <v>0</v>
      </c>
      <c r="I21" s="1333">
        <f t="shared" si="5"/>
        <v>0</v>
      </c>
      <c r="J21" s="1333">
        <f t="shared" si="5"/>
        <v>0</v>
      </c>
      <c r="K21" s="1333">
        <f t="shared" si="5"/>
        <v>0</v>
      </c>
      <c r="L21" s="1333">
        <f t="shared" si="5"/>
        <v>0</v>
      </c>
      <c r="M21" s="1333">
        <f t="shared" si="5"/>
        <v>0</v>
      </c>
      <c r="N21" s="1333">
        <f t="shared" si="5"/>
        <v>0</v>
      </c>
      <c r="O21" s="1333">
        <f t="shared" si="5"/>
        <v>0</v>
      </c>
      <c r="P21" s="1333">
        <f t="shared" si="5"/>
        <v>0</v>
      </c>
      <c r="Q21" s="1333">
        <f t="shared" si="5"/>
        <v>0</v>
      </c>
      <c r="R21" s="1333">
        <f t="shared" si="5"/>
        <v>0</v>
      </c>
      <c r="S21" s="1291">
        <f t="shared" si="5"/>
        <v>0</v>
      </c>
      <c r="T21" s="1271">
        <f t="shared" si="5"/>
        <v>0</v>
      </c>
      <c r="U21" s="632">
        <f t="shared" si="5"/>
        <v>0</v>
      </c>
      <c r="V21" s="632">
        <f t="shared" si="5"/>
        <v>0</v>
      </c>
      <c r="W21" s="632">
        <f t="shared" si="5"/>
        <v>0</v>
      </c>
      <c r="X21" s="632">
        <f t="shared" si="5"/>
        <v>0</v>
      </c>
    </row>
    <row r="22" spans="3:24" x14ac:dyDescent="0.25">
      <c r="C22" s="630" t="s">
        <v>2654</v>
      </c>
      <c r="D22" s="929"/>
      <c r="E22" s="1290">
        <f>EXPENSES!K57</f>
        <v>0</v>
      </c>
      <c r="F22" s="1333">
        <f t="shared" si="4"/>
        <v>0</v>
      </c>
      <c r="G22" s="1333">
        <f t="shared" ref="G22:X22" si="6">F22+(F22*$H$3)</f>
        <v>0</v>
      </c>
      <c r="H22" s="1333">
        <f t="shared" si="6"/>
        <v>0</v>
      </c>
      <c r="I22" s="1333">
        <f t="shared" si="6"/>
        <v>0</v>
      </c>
      <c r="J22" s="1333">
        <f t="shared" si="6"/>
        <v>0</v>
      </c>
      <c r="K22" s="1333">
        <f t="shared" si="6"/>
        <v>0</v>
      </c>
      <c r="L22" s="1333">
        <f t="shared" si="6"/>
        <v>0</v>
      </c>
      <c r="M22" s="1333">
        <f t="shared" si="6"/>
        <v>0</v>
      </c>
      <c r="N22" s="1333">
        <f t="shared" si="6"/>
        <v>0</v>
      </c>
      <c r="O22" s="1333">
        <f t="shared" si="6"/>
        <v>0</v>
      </c>
      <c r="P22" s="1333">
        <f t="shared" si="6"/>
        <v>0</v>
      </c>
      <c r="Q22" s="1333">
        <f t="shared" si="6"/>
        <v>0</v>
      </c>
      <c r="R22" s="1333">
        <f t="shared" si="6"/>
        <v>0</v>
      </c>
      <c r="S22" s="1291">
        <f t="shared" si="6"/>
        <v>0</v>
      </c>
      <c r="T22" s="1271">
        <f t="shared" si="6"/>
        <v>0</v>
      </c>
      <c r="U22" s="632">
        <f t="shared" si="6"/>
        <v>0</v>
      </c>
      <c r="V22" s="632">
        <f t="shared" si="6"/>
        <v>0</v>
      </c>
      <c r="W22" s="632">
        <f t="shared" si="6"/>
        <v>0</v>
      </c>
      <c r="X22" s="632">
        <f t="shared" si="6"/>
        <v>0</v>
      </c>
    </row>
    <row r="23" spans="3:24" x14ac:dyDescent="0.25">
      <c r="C23" s="630" t="str">
        <f>EXPENSES!C61</f>
        <v>Real Estate Taxes</v>
      </c>
      <c r="D23" s="929"/>
      <c r="E23" s="1290">
        <f>EXPENSES!K61</f>
        <v>0</v>
      </c>
      <c r="F23" s="1333">
        <f t="shared" si="4"/>
        <v>0</v>
      </c>
      <c r="G23" s="1333">
        <f t="shared" ref="G23:X23" si="7">F23+(F23*$H$3)</f>
        <v>0</v>
      </c>
      <c r="H23" s="1333">
        <f t="shared" si="7"/>
        <v>0</v>
      </c>
      <c r="I23" s="1333">
        <f t="shared" si="7"/>
        <v>0</v>
      </c>
      <c r="J23" s="1333">
        <f t="shared" si="7"/>
        <v>0</v>
      </c>
      <c r="K23" s="1333">
        <f t="shared" si="7"/>
        <v>0</v>
      </c>
      <c r="L23" s="1333">
        <f t="shared" si="7"/>
        <v>0</v>
      </c>
      <c r="M23" s="1333">
        <f t="shared" si="7"/>
        <v>0</v>
      </c>
      <c r="N23" s="1333">
        <f t="shared" si="7"/>
        <v>0</v>
      </c>
      <c r="O23" s="1333">
        <f t="shared" si="7"/>
        <v>0</v>
      </c>
      <c r="P23" s="1333">
        <f t="shared" si="7"/>
        <v>0</v>
      </c>
      <c r="Q23" s="1333">
        <f t="shared" si="7"/>
        <v>0</v>
      </c>
      <c r="R23" s="1333">
        <f t="shared" si="7"/>
        <v>0</v>
      </c>
      <c r="S23" s="1291">
        <f t="shared" si="7"/>
        <v>0</v>
      </c>
      <c r="T23" s="1271">
        <f t="shared" si="7"/>
        <v>0</v>
      </c>
      <c r="U23" s="632">
        <f t="shared" si="7"/>
        <v>0</v>
      </c>
      <c r="V23" s="632">
        <f t="shared" si="7"/>
        <v>0</v>
      </c>
      <c r="W23" s="632">
        <f t="shared" si="7"/>
        <v>0</v>
      </c>
      <c r="X23" s="632">
        <f t="shared" si="7"/>
        <v>0</v>
      </c>
    </row>
    <row r="24" spans="3:24" x14ac:dyDescent="0.25">
      <c r="C24" s="630" t="str">
        <f>EXPENSES!C62</f>
        <v>Payment in Lieu of Real Estate Taxes</v>
      </c>
      <c r="D24" s="929"/>
      <c r="E24" s="1290">
        <f>EXPENSES!K62</f>
        <v>0</v>
      </c>
      <c r="F24" s="1333">
        <f t="shared" si="4"/>
        <v>0</v>
      </c>
      <c r="G24" s="1333">
        <f t="shared" ref="G24:X24" si="8">F24+(F24*$H$3)</f>
        <v>0</v>
      </c>
      <c r="H24" s="1333">
        <f t="shared" si="8"/>
        <v>0</v>
      </c>
      <c r="I24" s="1333">
        <f t="shared" si="8"/>
        <v>0</v>
      </c>
      <c r="J24" s="1333">
        <f t="shared" si="8"/>
        <v>0</v>
      </c>
      <c r="K24" s="1333">
        <f t="shared" si="8"/>
        <v>0</v>
      </c>
      <c r="L24" s="1333">
        <f t="shared" si="8"/>
        <v>0</v>
      </c>
      <c r="M24" s="1333">
        <f t="shared" si="8"/>
        <v>0</v>
      </c>
      <c r="N24" s="1333">
        <f t="shared" si="8"/>
        <v>0</v>
      </c>
      <c r="O24" s="1333">
        <f t="shared" si="8"/>
        <v>0</v>
      </c>
      <c r="P24" s="1333">
        <f t="shared" si="8"/>
        <v>0</v>
      </c>
      <c r="Q24" s="1333">
        <f t="shared" si="8"/>
        <v>0</v>
      </c>
      <c r="R24" s="1333">
        <f t="shared" si="8"/>
        <v>0</v>
      </c>
      <c r="S24" s="1291">
        <f t="shared" si="8"/>
        <v>0</v>
      </c>
      <c r="T24" s="1271">
        <f t="shared" si="8"/>
        <v>0</v>
      </c>
      <c r="U24" s="632">
        <f t="shared" si="8"/>
        <v>0</v>
      </c>
      <c r="V24" s="632">
        <f t="shared" si="8"/>
        <v>0</v>
      </c>
      <c r="W24" s="632">
        <f t="shared" si="8"/>
        <v>0</v>
      </c>
      <c r="X24" s="632">
        <f t="shared" si="8"/>
        <v>0</v>
      </c>
    </row>
    <row r="25" spans="3:24" x14ac:dyDescent="0.25">
      <c r="C25" s="630" t="s">
        <v>2655</v>
      </c>
      <c r="D25" s="929"/>
      <c r="E25" s="1290">
        <f>EXPENSES!K71-EXPENSES!K61-EXPENSES!K62</f>
        <v>0</v>
      </c>
      <c r="F25" s="1333">
        <f>E25+(E25*$H$3)</f>
        <v>0</v>
      </c>
      <c r="G25" s="1333">
        <f t="shared" ref="G25:X25" si="9">F25+(F25*$H$3)</f>
        <v>0</v>
      </c>
      <c r="H25" s="1333">
        <f t="shared" si="9"/>
        <v>0</v>
      </c>
      <c r="I25" s="1333">
        <f t="shared" si="9"/>
        <v>0</v>
      </c>
      <c r="J25" s="1333">
        <f t="shared" si="9"/>
        <v>0</v>
      </c>
      <c r="K25" s="1333">
        <f t="shared" si="9"/>
        <v>0</v>
      </c>
      <c r="L25" s="1333">
        <f t="shared" si="9"/>
        <v>0</v>
      </c>
      <c r="M25" s="1333">
        <f t="shared" si="9"/>
        <v>0</v>
      </c>
      <c r="N25" s="1333">
        <f t="shared" si="9"/>
        <v>0</v>
      </c>
      <c r="O25" s="1333">
        <f t="shared" si="9"/>
        <v>0</v>
      </c>
      <c r="P25" s="1333">
        <f t="shared" si="9"/>
        <v>0</v>
      </c>
      <c r="Q25" s="1333">
        <f t="shared" si="9"/>
        <v>0</v>
      </c>
      <c r="R25" s="1333">
        <f t="shared" si="9"/>
        <v>0</v>
      </c>
      <c r="S25" s="1291">
        <f t="shared" si="9"/>
        <v>0</v>
      </c>
      <c r="T25" s="1271">
        <f t="shared" si="9"/>
        <v>0</v>
      </c>
      <c r="U25" s="632">
        <f t="shared" si="9"/>
        <v>0</v>
      </c>
      <c r="V25" s="632">
        <f t="shared" si="9"/>
        <v>0</v>
      </c>
      <c r="W25" s="632">
        <f t="shared" si="9"/>
        <v>0</v>
      </c>
      <c r="X25" s="632">
        <f t="shared" si="9"/>
        <v>0</v>
      </c>
    </row>
    <row r="26" spans="3:24" x14ac:dyDescent="0.25">
      <c r="C26" s="630" t="s">
        <v>992</v>
      </c>
      <c r="D26" s="929"/>
      <c r="E26" s="1290">
        <f>SUMMARY!H79</f>
        <v>0</v>
      </c>
      <c r="F26" s="1276">
        <f t="shared" si="4"/>
        <v>0</v>
      </c>
      <c r="G26" s="1276">
        <f t="shared" ref="G26:X26" si="10">F26+(F26*$H$3)</f>
        <v>0</v>
      </c>
      <c r="H26" s="1276">
        <f t="shared" si="10"/>
        <v>0</v>
      </c>
      <c r="I26" s="1276">
        <f t="shared" si="10"/>
        <v>0</v>
      </c>
      <c r="J26" s="1276">
        <f t="shared" si="10"/>
        <v>0</v>
      </c>
      <c r="K26" s="1276">
        <f t="shared" si="10"/>
        <v>0</v>
      </c>
      <c r="L26" s="1276">
        <f t="shared" si="10"/>
        <v>0</v>
      </c>
      <c r="M26" s="1276">
        <f t="shared" si="10"/>
        <v>0</v>
      </c>
      <c r="N26" s="1276">
        <f t="shared" si="10"/>
        <v>0</v>
      </c>
      <c r="O26" s="1276">
        <f t="shared" si="10"/>
        <v>0</v>
      </c>
      <c r="P26" s="1276">
        <f t="shared" si="10"/>
        <v>0</v>
      </c>
      <c r="Q26" s="1276">
        <f t="shared" si="10"/>
        <v>0</v>
      </c>
      <c r="R26" s="1276">
        <f t="shared" si="10"/>
        <v>0</v>
      </c>
      <c r="S26" s="1297">
        <f t="shared" si="10"/>
        <v>0</v>
      </c>
      <c r="T26" s="1273">
        <f t="shared" si="10"/>
        <v>0</v>
      </c>
      <c r="U26" s="1276">
        <f t="shared" si="10"/>
        <v>0</v>
      </c>
      <c r="V26" s="1276">
        <f t="shared" si="10"/>
        <v>0</v>
      </c>
      <c r="W26" s="1276">
        <f t="shared" si="10"/>
        <v>0</v>
      </c>
      <c r="X26" s="1276">
        <f t="shared" si="10"/>
        <v>0</v>
      </c>
    </row>
    <row r="27" spans="3:24" ht="12.75" customHeight="1" x14ac:dyDescent="0.25">
      <c r="C27" s="630" t="s">
        <v>2344</v>
      </c>
      <c r="D27" s="929"/>
      <c r="E27" s="1812"/>
      <c r="F27" s="1813"/>
      <c r="G27" s="1813"/>
      <c r="H27" s="1813"/>
      <c r="I27" s="1813"/>
      <c r="J27" s="1813"/>
      <c r="K27" s="1813"/>
      <c r="L27" s="1813"/>
      <c r="M27" s="1813"/>
      <c r="N27" s="1813"/>
      <c r="O27" s="1813"/>
      <c r="P27" s="1813"/>
      <c r="Q27" s="1813"/>
      <c r="R27" s="1813"/>
      <c r="S27" s="1814"/>
      <c r="T27" s="1815"/>
      <c r="U27" s="1816"/>
      <c r="V27" s="1816"/>
      <c r="W27" s="1816"/>
      <c r="X27" s="1816"/>
    </row>
    <row r="28" spans="3:24" ht="12.75" customHeight="1" x14ac:dyDescent="0.25">
      <c r="C28" s="630" t="s">
        <v>2345</v>
      </c>
      <c r="D28" s="929"/>
      <c r="E28" s="1812"/>
      <c r="F28" s="1813"/>
      <c r="G28" s="1813"/>
      <c r="H28" s="1813"/>
      <c r="I28" s="1813"/>
      <c r="J28" s="1813"/>
      <c r="K28" s="1813"/>
      <c r="L28" s="1813"/>
      <c r="M28" s="1813"/>
      <c r="N28" s="1813"/>
      <c r="O28" s="1813"/>
      <c r="P28" s="1813"/>
      <c r="Q28" s="1813"/>
      <c r="R28" s="1813"/>
      <c r="S28" s="1814"/>
      <c r="T28" s="1815"/>
      <c r="U28" s="1816"/>
      <c r="V28" s="1816"/>
      <c r="W28" s="1816"/>
      <c r="X28" s="1816"/>
    </row>
    <row r="29" spans="3:24" ht="12.75" customHeight="1" x14ac:dyDescent="0.25">
      <c r="C29" s="630" t="s">
        <v>2346</v>
      </c>
      <c r="D29" s="929"/>
      <c r="E29" s="1812"/>
      <c r="F29" s="1813"/>
      <c r="G29" s="1813"/>
      <c r="H29" s="1813"/>
      <c r="I29" s="1813"/>
      <c r="J29" s="1813"/>
      <c r="K29" s="1813"/>
      <c r="L29" s="1813"/>
      <c r="M29" s="1813"/>
      <c r="N29" s="1813"/>
      <c r="O29" s="1813"/>
      <c r="P29" s="1813"/>
      <c r="Q29" s="1813"/>
      <c r="R29" s="1813"/>
      <c r="S29" s="1814"/>
      <c r="T29" s="1815"/>
      <c r="U29" s="1816"/>
      <c r="V29" s="1816"/>
      <c r="W29" s="1816"/>
      <c r="X29" s="1816"/>
    </row>
    <row r="30" spans="3:24" s="43" customFormat="1" x14ac:dyDescent="0.25">
      <c r="C30" s="1374" t="s">
        <v>993</v>
      </c>
      <c r="D30" s="1375"/>
      <c r="E30" s="1836">
        <f>SUM(E19:E29)</f>
        <v>0</v>
      </c>
      <c r="F30" s="1836">
        <f>SUM(F19:F29)</f>
        <v>0</v>
      </c>
      <c r="G30" s="1836">
        <f t="shared" ref="G30:X30" si="11">SUM(G19:G29)</f>
        <v>0</v>
      </c>
      <c r="H30" s="1836">
        <f t="shared" si="11"/>
        <v>0</v>
      </c>
      <c r="I30" s="1836">
        <f t="shared" si="11"/>
        <v>0</v>
      </c>
      <c r="J30" s="1836">
        <f t="shared" si="11"/>
        <v>0</v>
      </c>
      <c r="K30" s="1836">
        <f t="shared" si="11"/>
        <v>0</v>
      </c>
      <c r="L30" s="1836">
        <f t="shared" si="11"/>
        <v>0</v>
      </c>
      <c r="M30" s="1836">
        <f t="shared" si="11"/>
        <v>0</v>
      </c>
      <c r="N30" s="1836">
        <f t="shared" si="11"/>
        <v>0</v>
      </c>
      <c r="O30" s="1836">
        <f t="shared" si="11"/>
        <v>0</v>
      </c>
      <c r="P30" s="1836">
        <f t="shared" si="11"/>
        <v>0</v>
      </c>
      <c r="Q30" s="1836">
        <f t="shared" si="11"/>
        <v>0</v>
      </c>
      <c r="R30" s="1836">
        <f t="shared" si="11"/>
        <v>0</v>
      </c>
      <c r="S30" s="1836">
        <f t="shared" si="11"/>
        <v>0</v>
      </c>
      <c r="T30" s="1836">
        <f t="shared" si="11"/>
        <v>0</v>
      </c>
      <c r="U30" s="1836">
        <f t="shared" si="11"/>
        <v>0</v>
      </c>
      <c r="V30" s="1836">
        <f t="shared" si="11"/>
        <v>0</v>
      </c>
      <c r="W30" s="1836">
        <f t="shared" si="11"/>
        <v>0</v>
      </c>
      <c r="X30" s="1836">
        <f t="shared" si="11"/>
        <v>0</v>
      </c>
    </row>
    <row r="31" spans="3:24" s="43" customFormat="1" x14ac:dyDescent="0.25">
      <c r="C31" s="1374" t="s">
        <v>994</v>
      </c>
      <c r="D31" s="1375"/>
      <c r="E31" s="1836">
        <f>E16-E30</f>
        <v>0</v>
      </c>
      <c r="F31" s="1377">
        <f>F16-F30</f>
        <v>0</v>
      </c>
      <c r="G31" s="1377">
        <f>G16-G30</f>
        <v>0</v>
      </c>
      <c r="H31" s="1377">
        <f t="shared" ref="H31:X31" si="12">H16-H30</f>
        <v>0</v>
      </c>
      <c r="I31" s="1377">
        <f>I16-I30</f>
        <v>0</v>
      </c>
      <c r="J31" s="1377">
        <f t="shared" si="12"/>
        <v>0</v>
      </c>
      <c r="K31" s="1377">
        <f t="shared" si="12"/>
        <v>0</v>
      </c>
      <c r="L31" s="1377">
        <f t="shared" si="12"/>
        <v>0</v>
      </c>
      <c r="M31" s="1377">
        <f t="shared" si="12"/>
        <v>0</v>
      </c>
      <c r="N31" s="1377">
        <f t="shared" si="12"/>
        <v>0</v>
      </c>
      <c r="O31" s="1377">
        <f t="shared" si="12"/>
        <v>0</v>
      </c>
      <c r="P31" s="1377">
        <f t="shared" si="12"/>
        <v>0</v>
      </c>
      <c r="Q31" s="1377">
        <f t="shared" si="12"/>
        <v>0</v>
      </c>
      <c r="R31" s="1377">
        <f t="shared" si="12"/>
        <v>0</v>
      </c>
      <c r="S31" s="1378">
        <f t="shared" si="12"/>
        <v>0</v>
      </c>
      <c r="T31" s="1379">
        <f t="shared" si="12"/>
        <v>0</v>
      </c>
      <c r="U31" s="1377">
        <f t="shared" si="12"/>
        <v>0</v>
      </c>
      <c r="V31" s="1377">
        <f t="shared" si="12"/>
        <v>0</v>
      </c>
      <c r="W31" s="1377">
        <f t="shared" si="12"/>
        <v>0</v>
      </c>
      <c r="X31" s="1377">
        <f t="shared" si="12"/>
        <v>0</v>
      </c>
    </row>
    <row r="32" spans="3:24" ht="5.7" customHeight="1" x14ac:dyDescent="0.25">
      <c r="E32" s="1287"/>
      <c r="S32" s="1288"/>
    </row>
    <row r="33" spans="3:24" ht="12.75" customHeight="1" x14ac:dyDescent="0.25">
      <c r="E33" s="1287"/>
      <c r="S33" s="1288"/>
    </row>
    <row r="34" spans="3:24" ht="12.75" customHeight="1" x14ac:dyDescent="0.25">
      <c r="C34" s="43" t="s">
        <v>995</v>
      </c>
      <c r="E34" s="1812"/>
      <c r="F34" s="1813"/>
      <c r="G34" s="1813"/>
      <c r="H34" s="1813"/>
      <c r="I34" s="1813"/>
      <c r="J34" s="1813"/>
      <c r="K34" s="1813"/>
      <c r="L34" s="1813"/>
      <c r="M34" s="1813"/>
      <c r="N34" s="1813"/>
      <c r="O34" s="1813"/>
      <c r="P34" s="1813"/>
      <c r="Q34" s="1813"/>
      <c r="R34" s="1813"/>
      <c r="S34" s="1814"/>
      <c r="T34" s="1815"/>
      <c r="U34" s="1816"/>
      <c r="V34" s="1816"/>
      <c r="W34" s="1816"/>
      <c r="X34" s="1816"/>
    </row>
    <row r="35" spans="3:24" ht="12.75" customHeight="1" x14ac:dyDescent="0.25">
      <c r="E35" s="1287"/>
      <c r="S35" s="1288"/>
    </row>
    <row r="36" spans="3:24" x14ac:dyDescent="0.25">
      <c r="C36" s="43" t="s">
        <v>317</v>
      </c>
      <c r="E36" s="1287"/>
      <c r="S36" s="1288"/>
    </row>
    <row r="37" spans="3:24" x14ac:dyDescent="0.25">
      <c r="C37" s="630" t="str">
        <f>SOURCES!C12</f>
        <v>Taxable Bonds (Long Term Only)</v>
      </c>
      <c r="D37" s="1268"/>
      <c r="E37" s="1292">
        <f>SOURCES!$I12</f>
        <v>0</v>
      </c>
      <c r="F37" s="1333">
        <f t="shared" ref="F37:F45" si="13">E37</f>
        <v>0</v>
      </c>
      <c r="G37" s="1333">
        <f t="shared" ref="G37:X45" si="14">F37</f>
        <v>0</v>
      </c>
      <c r="H37" s="1333">
        <f t="shared" si="14"/>
        <v>0</v>
      </c>
      <c r="I37" s="1333">
        <f t="shared" si="14"/>
        <v>0</v>
      </c>
      <c r="J37" s="1333">
        <f t="shared" si="14"/>
        <v>0</v>
      </c>
      <c r="K37" s="1333">
        <f t="shared" si="14"/>
        <v>0</v>
      </c>
      <c r="L37" s="1333">
        <f t="shared" si="14"/>
        <v>0</v>
      </c>
      <c r="M37" s="1333">
        <f t="shared" si="14"/>
        <v>0</v>
      </c>
      <c r="N37" s="1333">
        <f t="shared" si="14"/>
        <v>0</v>
      </c>
      <c r="O37" s="1333">
        <f t="shared" si="14"/>
        <v>0</v>
      </c>
      <c r="P37" s="1333">
        <f t="shared" si="14"/>
        <v>0</v>
      </c>
      <c r="Q37" s="1333">
        <f t="shared" si="14"/>
        <v>0</v>
      </c>
      <c r="R37" s="1333">
        <f t="shared" si="14"/>
        <v>0</v>
      </c>
      <c r="S37" s="1291">
        <f t="shared" si="14"/>
        <v>0</v>
      </c>
      <c r="T37" s="1271">
        <f t="shared" si="14"/>
        <v>0</v>
      </c>
      <c r="U37" s="1333">
        <f t="shared" si="14"/>
        <v>0</v>
      </c>
      <c r="V37" s="1333">
        <f t="shared" si="14"/>
        <v>0</v>
      </c>
      <c r="W37" s="1333">
        <f t="shared" si="14"/>
        <v>0</v>
      </c>
      <c r="X37" s="1333">
        <f t="shared" si="14"/>
        <v>0</v>
      </c>
    </row>
    <row r="38" spans="3:24" x14ac:dyDescent="0.25">
      <c r="C38" s="630" t="str">
        <f>SOURCES!C13</f>
        <v xml:space="preserve">Tax-Exempt Bonds (Long Term Only) </v>
      </c>
      <c r="D38" s="1268"/>
      <c r="E38" s="1292">
        <f>SOURCES!$I13</f>
        <v>0</v>
      </c>
      <c r="F38" s="1333">
        <f t="shared" si="13"/>
        <v>0</v>
      </c>
      <c r="G38" s="1333">
        <f t="shared" ref="G38:U38" si="15">F38</f>
        <v>0</v>
      </c>
      <c r="H38" s="1333">
        <f t="shared" si="15"/>
        <v>0</v>
      </c>
      <c r="I38" s="1333">
        <f t="shared" si="15"/>
        <v>0</v>
      </c>
      <c r="J38" s="1333">
        <f t="shared" si="15"/>
        <v>0</v>
      </c>
      <c r="K38" s="1333">
        <f t="shared" si="15"/>
        <v>0</v>
      </c>
      <c r="L38" s="1333">
        <f t="shared" si="15"/>
        <v>0</v>
      </c>
      <c r="M38" s="1333">
        <f t="shared" si="15"/>
        <v>0</v>
      </c>
      <c r="N38" s="1333">
        <f t="shared" si="15"/>
        <v>0</v>
      </c>
      <c r="O38" s="1333">
        <f t="shared" si="15"/>
        <v>0</v>
      </c>
      <c r="P38" s="1333">
        <f t="shared" si="15"/>
        <v>0</v>
      </c>
      <c r="Q38" s="1333">
        <f t="shared" si="15"/>
        <v>0</v>
      </c>
      <c r="R38" s="1333">
        <f t="shared" si="15"/>
        <v>0</v>
      </c>
      <c r="S38" s="1291">
        <f t="shared" si="15"/>
        <v>0</v>
      </c>
      <c r="T38" s="1271">
        <f t="shared" si="15"/>
        <v>0</v>
      </c>
      <c r="U38" s="1333">
        <f t="shared" si="15"/>
        <v>0</v>
      </c>
      <c r="V38" s="1333">
        <f t="shared" si="14"/>
        <v>0</v>
      </c>
      <c r="W38" s="1333">
        <f t="shared" si="14"/>
        <v>0</v>
      </c>
      <c r="X38" s="1333">
        <f t="shared" si="14"/>
        <v>0</v>
      </c>
    </row>
    <row r="39" spans="3:24" x14ac:dyDescent="0.25">
      <c r="C39" s="630" t="str">
        <f>SOURCES!C14</f>
        <v>Private Loan</v>
      </c>
      <c r="D39" s="1268"/>
      <c r="E39" s="1292">
        <f>SOURCES!$I14</f>
        <v>0</v>
      </c>
      <c r="F39" s="1333">
        <f t="shared" si="13"/>
        <v>0</v>
      </c>
      <c r="G39" s="1333">
        <f t="shared" si="14"/>
        <v>0</v>
      </c>
      <c r="H39" s="1333">
        <f t="shared" si="14"/>
        <v>0</v>
      </c>
      <c r="I39" s="1333">
        <f t="shared" si="14"/>
        <v>0</v>
      </c>
      <c r="J39" s="1333">
        <f t="shared" si="14"/>
        <v>0</v>
      </c>
      <c r="K39" s="1333">
        <f t="shared" si="14"/>
        <v>0</v>
      </c>
      <c r="L39" s="1333">
        <f t="shared" si="14"/>
        <v>0</v>
      </c>
      <c r="M39" s="1333">
        <f t="shared" si="14"/>
        <v>0</v>
      </c>
      <c r="N39" s="1333">
        <f t="shared" si="14"/>
        <v>0</v>
      </c>
      <c r="O39" s="1333">
        <f t="shared" si="14"/>
        <v>0</v>
      </c>
      <c r="P39" s="1333">
        <f t="shared" si="14"/>
        <v>0</v>
      </c>
      <c r="Q39" s="1333">
        <f t="shared" si="14"/>
        <v>0</v>
      </c>
      <c r="R39" s="1333">
        <f t="shared" si="14"/>
        <v>0</v>
      </c>
      <c r="S39" s="1291">
        <f t="shared" si="14"/>
        <v>0</v>
      </c>
      <c r="T39" s="1271">
        <f t="shared" si="14"/>
        <v>0</v>
      </c>
      <c r="U39" s="1333">
        <f t="shared" si="14"/>
        <v>0</v>
      </c>
      <c r="V39" s="1333">
        <f t="shared" si="14"/>
        <v>0</v>
      </c>
      <c r="W39" s="1333">
        <f t="shared" si="14"/>
        <v>0</v>
      </c>
      <c r="X39" s="1333">
        <f t="shared" si="14"/>
        <v>0</v>
      </c>
    </row>
    <row r="40" spans="3:24" x14ac:dyDescent="0.25">
      <c r="C40" s="630" t="str">
        <f>SOURCES!C15</f>
        <v>MIP</v>
      </c>
      <c r="D40" s="1268"/>
      <c r="E40" s="1292">
        <f>SOURCES!$I15</f>
        <v>0</v>
      </c>
      <c r="F40" s="1333">
        <f t="shared" si="13"/>
        <v>0</v>
      </c>
      <c r="G40" s="1333">
        <f t="shared" si="14"/>
        <v>0</v>
      </c>
      <c r="H40" s="1333">
        <f t="shared" si="14"/>
        <v>0</v>
      </c>
      <c r="I40" s="1333">
        <f t="shared" si="14"/>
        <v>0</v>
      </c>
      <c r="J40" s="1333">
        <f t="shared" si="14"/>
        <v>0</v>
      </c>
      <c r="K40" s="1333">
        <f t="shared" si="14"/>
        <v>0</v>
      </c>
      <c r="L40" s="1333">
        <f t="shared" si="14"/>
        <v>0</v>
      </c>
      <c r="M40" s="1333">
        <f t="shared" si="14"/>
        <v>0</v>
      </c>
      <c r="N40" s="1333">
        <f t="shared" si="14"/>
        <v>0</v>
      </c>
      <c r="O40" s="1333">
        <f t="shared" si="14"/>
        <v>0</v>
      </c>
      <c r="P40" s="1333">
        <f t="shared" si="14"/>
        <v>0</v>
      </c>
      <c r="Q40" s="1333">
        <f t="shared" si="14"/>
        <v>0</v>
      </c>
      <c r="R40" s="1333">
        <f t="shared" si="14"/>
        <v>0</v>
      </c>
      <c r="S40" s="1291">
        <f t="shared" si="14"/>
        <v>0</v>
      </c>
      <c r="T40" s="1271">
        <f t="shared" si="14"/>
        <v>0</v>
      </c>
      <c r="U40" s="1333">
        <f t="shared" si="14"/>
        <v>0</v>
      </c>
      <c r="V40" s="1333">
        <f t="shared" si="14"/>
        <v>0</v>
      </c>
      <c r="W40" s="1333">
        <f t="shared" si="14"/>
        <v>0</v>
      </c>
      <c r="X40" s="1333">
        <f t="shared" si="14"/>
        <v>0</v>
      </c>
    </row>
    <row r="41" spans="3:24" x14ac:dyDescent="0.25">
      <c r="C41" s="630" t="str">
        <f>SOURCES!C16</f>
        <v xml:space="preserve">Rental Housing Program Funds </v>
      </c>
      <c r="D41" s="1268"/>
      <c r="E41" s="1292">
        <f>SOURCES!$I16</f>
        <v>0</v>
      </c>
      <c r="F41" s="1333">
        <f t="shared" si="13"/>
        <v>0</v>
      </c>
      <c r="G41" s="1333">
        <f t="shared" si="14"/>
        <v>0</v>
      </c>
      <c r="H41" s="1333">
        <f t="shared" si="14"/>
        <v>0</v>
      </c>
      <c r="I41" s="1333">
        <f t="shared" si="14"/>
        <v>0</v>
      </c>
      <c r="J41" s="1333">
        <f t="shared" si="14"/>
        <v>0</v>
      </c>
      <c r="K41" s="1333">
        <f t="shared" si="14"/>
        <v>0</v>
      </c>
      <c r="L41" s="1333">
        <f t="shared" si="14"/>
        <v>0</v>
      </c>
      <c r="M41" s="1333">
        <f t="shared" si="14"/>
        <v>0</v>
      </c>
      <c r="N41" s="1333">
        <f t="shared" si="14"/>
        <v>0</v>
      </c>
      <c r="O41" s="1333">
        <f t="shared" si="14"/>
        <v>0</v>
      </c>
      <c r="P41" s="1333">
        <f t="shared" si="14"/>
        <v>0</v>
      </c>
      <c r="Q41" s="1333">
        <f t="shared" si="14"/>
        <v>0</v>
      </c>
      <c r="R41" s="1333">
        <f t="shared" si="14"/>
        <v>0</v>
      </c>
      <c r="S41" s="1291">
        <f t="shared" si="14"/>
        <v>0</v>
      </c>
      <c r="T41" s="1271">
        <f t="shared" si="14"/>
        <v>0</v>
      </c>
      <c r="U41" s="1333">
        <f t="shared" si="14"/>
        <v>0</v>
      </c>
      <c r="V41" s="1333">
        <f t="shared" si="14"/>
        <v>0</v>
      </c>
      <c r="W41" s="1333">
        <f t="shared" si="14"/>
        <v>0</v>
      </c>
      <c r="X41" s="1333">
        <f t="shared" si="14"/>
        <v>0</v>
      </c>
    </row>
    <row r="42" spans="3:24" x14ac:dyDescent="0.25">
      <c r="C42" s="630" t="str">
        <f>SOURCES!C17</f>
        <v>HOME (DHCD)</v>
      </c>
      <c r="D42" s="1268"/>
      <c r="E42" s="1292">
        <f>SOURCES!$I17</f>
        <v>0</v>
      </c>
      <c r="F42" s="1333">
        <f t="shared" si="13"/>
        <v>0</v>
      </c>
      <c r="G42" s="1333">
        <f t="shared" si="14"/>
        <v>0</v>
      </c>
      <c r="H42" s="1333">
        <f t="shared" si="14"/>
        <v>0</v>
      </c>
      <c r="I42" s="1333">
        <f t="shared" si="14"/>
        <v>0</v>
      </c>
      <c r="J42" s="1333">
        <f t="shared" si="14"/>
        <v>0</v>
      </c>
      <c r="K42" s="1333">
        <f t="shared" si="14"/>
        <v>0</v>
      </c>
      <c r="L42" s="1333">
        <f t="shared" si="14"/>
        <v>0</v>
      </c>
      <c r="M42" s="1333">
        <f t="shared" si="14"/>
        <v>0</v>
      </c>
      <c r="N42" s="1333">
        <f t="shared" si="14"/>
        <v>0</v>
      </c>
      <c r="O42" s="1333">
        <f t="shared" si="14"/>
        <v>0</v>
      </c>
      <c r="P42" s="1333">
        <f t="shared" si="14"/>
        <v>0</v>
      </c>
      <c r="Q42" s="1333">
        <f t="shared" si="14"/>
        <v>0</v>
      </c>
      <c r="R42" s="1333">
        <f t="shared" si="14"/>
        <v>0</v>
      </c>
      <c r="S42" s="1291">
        <f t="shared" si="14"/>
        <v>0</v>
      </c>
      <c r="T42" s="1271">
        <f t="shared" si="14"/>
        <v>0</v>
      </c>
      <c r="U42" s="1333">
        <f t="shared" si="14"/>
        <v>0</v>
      </c>
      <c r="V42" s="1333">
        <f t="shared" si="14"/>
        <v>0</v>
      </c>
      <c r="W42" s="1333">
        <f t="shared" si="14"/>
        <v>0</v>
      </c>
      <c r="X42" s="1333">
        <f t="shared" si="14"/>
        <v>0</v>
      </c>
    </row>
    <row r="43" spans="3:24" x14ac:dyDescent="0.25">
      <c r="C43" s="630" t="str">
        <f>SOURCES!C18</f>
        <v>HOME (non-DHCD)</v>
      </c>
      <c r="D43" s="1268"/>
      <c r="E43" s="1292">
        <f>SOURCES!$I18</f>
        <v>0</v>
      </c>
      <c r="F43" s="1333">
        <f t="shared" si="13"/>
        <v>0</v>
      </c>
      <c r="G43" s="1333">
        <f t="shared" si="14"/>
        <v>0</v>
      </c>
      <c r="H43" s="1333">
        <f t="shared" si="14"/>
        <v>0</v>
      </c>
      <c r="I43" s="1333">
        <f t="shared" si="14"/>
        <v>0</v>
      </c>
      <c r="J43" s="1333">
        <f t="shared" si="14"/>
        <v>0</v>
      </c>
      <c r="K43" s="1333">
        <f t="shared" si="14"/>
        <v>0</v>
      </c>
      <c r="L43" s="1333">
        <f t="shared" si="14"/>
        <v>0</v>
      </c>
      <c r="M43" s="1333">
        <f t="shared" si="14"/>
        <v>0</v>
      </c>
      <c r="N43" s="1333">
        <f t="shared" si="14"/>
        <v>0</v>
      </c>
      <c r="O43" s="1333">
        <f t="shared" si="14"/>
        <v>0</v>
      </c>
      <c r="P43" s="1333">
        <f t="shared" si="14"/>
        <v>0</v>
      </c>
      <c r="Q43" s="1333">
        <f t="shared" si="14"/>
        <v>0</v>
      </c>
      <c r="R43" s="1333">
        <f t="shared" si="14"/>
        <v>0</v>
      </c>
      <c r="S43" s="1291">
        <f t="shared" si="14"/>
        <v>0</v>
      </c>
      <c r="T43" s="1271">
        <f t="shared" si="14"/>
        <v>0</v>
      </c>
      <c r="U43" s="1333">
        <f t="shared" si="14"/>
        <v>0</v>
      </c>
      <c r="V43" s="1333">
        <f t="shared" si="14"/>
        <v>0</v>
      </c>
      <c r="W43" s="1333">
        <f t="shared" si="14"/>
        <v>0</v>
      </c>
      <c r="X43" s="1333">
        <f t="shared" si="14"/>
        <v>0</v>
      </c>
    </row>
    <row r="44" spans="3:24" x14ac:dyDescent="0.25">
      <c r="C44" s="630" t="str">
        <f>SOURCES!C19</f>
        <v>Other: select from menu</v>
      </c>
      <c r="D44" s="1268">
        <f>SOURCES!D19</f>
        <v>0</v>
      </c>
      <c r="E44" s="1292">
        <f>SOURCES!$I19</f>
        <v>0</v>
      </c>
      <c r="F44" s="1333">
        <f t="shared" si="13"/>
        <v>0</v>
      </c>
      <c r="G44" s="1333">
        <f t="shared" si="14"/>
        <v>0</v>
      </c>
      <c r="H44" s="1333">
        <f t="shared" si="14"/>
        <v>0</v>
      </c>
      <c r="I44" s="1333">
        <f t="shared" si="14"/>
        <v>0</v>
      </c>
      <c r="J44" s="1333">
        <f t="shared" si="14"/>
        <v>0</v>
      </c>
      <c r="K44" s="1333">
        <f t="shared" si="14"/>
        <v>0</v>
      </c>
      <c r="L44" s="1333">
        <f t="shared" si="14"/>
        <v>0</v>
      </c>
      <c r="M44" s="1333">
        <f t="shared" si="14"/>
        <v>0</v>
      </c>
      <c r="N44" s="1333">
        <f t="shared" si="14"/>
        <v>0</v>
      </c>
      <c r="O44" s="1333">
        <f t="shared" si="14"/>
        <v>0</v>
      </c>
      <c r="P44" s="1333">
        <f t="shared" si="14"/>
        <v>0</v>
      </c>
      <c r="Q44" s="1333">
        <f t="shared" si="14"/>
        <v>0</v>
      </c>
      <c r="R44" s="1333">
        <f t="shared" si="14"/>
        <v>0</v>
      </c>
      <c r="S44" s="1291">
        <f t="shared" si="14"/>
        <v>0</v>
      </c>
      <c r="T44" s="1271">
        <f t="shared" si="14"/>
        <v>0</v>
      </c>
      <c r="U44" s="1333">
        <f t="shared" si="14"/>
        <v>0</v>
      </c>
      <c r="V44" s="1333">
        <f t="shared" si="14"/>
        <v>0</v>
      </c>
      <c r="W44" s="1333">
        <f t="shared" si="14"/>
        <v>0</v>
      </c>
      <c r="X44" s="1333">
        <f t="shared" si="14"/>
        <v>0</v>
      </c>
    </row>
    <row r="45" spans="3:24" x14ac:dyDescent="0.25">
      <c r="C45" s="630" t="str">
        <f>SOURCES!C20</f>
        <v>Other: select from menu</v>
      </c>
      <c r="D45" s="1268">
        <f>SOURCES!D20</f>
        <v>0</v>
      </c>
      <c r="E45" s="1292">
        <f>SOURCES!$I20</f>
        <v>0</v>
      </c>
      <c r="F45" s="1333">
        <f t="shared" si="13"/>
        <v>0</v>
      </c>
      <c r="G45" s="1333">
        <f t="shared" si="14"/>
        <v>0</v>
      </c>
      <c r="H45" s="1333">
        <f t="shared" si="14"/>
        <v>0</v>
      </c>
      <c r="I45" s="1333">
        <f t="shared" si="14"/>
        <v>0</v>
      </c>
      <c r="J45" s="1333">
        <f t="shared" si="14"/>
        <v>0</v>
      </c>
      <c r="K45" s="1333">
        <f t="shared" si="14"/>
        <v>0</v>
      </c>
      <c r="L45" s="1333">
        <f t="shared" si="14"/>
        <v>0</v>
      </c>
      <c r="M45" s="1333">
        <f t="shared" si="14"/>
        <v>0</v>
      </c>
      <c r="N45" s="1333">
        <f t="shared" si="14"/>
        <v>0</v>
      </c>
      <c r="O45" s="1333">
        <f t="shared" si="14"/>
        <v>0</v>
      </c>
      <c r="P45" s="1333">
        <f t="shared" si="14"/>
        <v>0</v>
      </c>
      <c r="Q45" s="1333">
        <f t="shared" si="14"/>
        <v>0</v>
      </c>
      <c r="R45" s="1333">
        <f t="shared" si="14"/>
        <v>0</v>
      </c>
      <c r="S45" s="1291">
        <f t="shared" si="14"/>
        <v>0</v>
      </c>
      <c r="T45" s="1271">
        <f t="shared" si="14"/>
        <v>0</v>
      </c>
      <c r="U45" s="1333">
        <f t="shared" si="14"/>
        <v>0</v>
      </c>
      <c r="V45" s="1333">
        <f t="shared" si="14"/>
        <v>0</v>
      </c>
      <c r="W45" s="1333">
        <f t="shared" si="14"/>
        <v>0</v>
      </c>
      <c r="X45" s="1333">
        <f t="shared" si="14"/>
        <v>0</v>
      </c>
    </row>
    <row r="46" spans="3:24" ht="5.7" customHeight="1" x14ac:dyDescent="0.25">
      <c r="C46" s="630"/>
      <c r="D46" s="929"/>
      <c r="E46" s="1292"/>
      <c r="F46" s="1333"/>
      <c r="G46" s="1333"/>
      <c r="H46" s="1333"/>
      <c r="I46" s="1333"/>
      <c r="J46" s="1333"/>
      <c r="K46" s="1333"/>
      <c r="L46" s="1333"/>
      <c r="M46" s="1333"/>
      <c r="N46" s="1333"/>
      <c r="O46" s="1333"/>
      <c r="P46" s="1333"/>
      <c r="Q46" s="1333"/>
      <c r="R46" s="1333"/>
      <c r="S46" s="1291"/>
      <c r="T46" s="1271"/>
      <c r="U46" s="632"/>
      <c r="V46" s="632"/>
      <c r="W46" s="632"/>
      <c r="X46" s="632"/>
    </row>
    <row r="47" spans="3:24" s="43" customFormat="1" x14ac:dyDescent="0.25">
      <c r="C47" s="1374" t="s">
        <v>996</v>
      </c>
      <c r="D47" s="1375"/>
      <c r="E47" s="1376">
        <f>SUM(E37:E45)</f>
        <v>0</v>
      </c>
      <c r="F47" s="1376">
        <f t="shared" ref="F47:X47" si="16">SUM(F37:F45)</f>
        <v>0</v>
      </c>
      <c r="G47" s="1376">
        <f t="shared" si="16"/>
        <v>0</v>
      </c>
      <c r="H47" s="1376">
        <f t="shared" si="16"/>
        <v>0</v>
      </c>
      <c r="I47" s="1376">
        <f t="shared" si="16"/>
        <v>0</v>
      </c>
      <c r="J47" s="1376">
        <f t="shared" si="16"/>
        <v>0</v>
      </c>
      <c r="K47" s="1376">
        <f t="shared" si="16"/>
        <v>0</v>
      </c>
      <c r="L47" s="1376">
        <f t="shared" si="16"/>
        <v>0</v>
      </c>
      <c r="M47" s="1376">
        <f t="shared" si="16"/>
        <v>0</v>
      </c>
      <c r="N47" s="1376">
        <f t="shared" si="16"/>
        <v>0</v>
      </c>
      <c r="O47" s="1376">
        <f t="shared" si="16"/>
        <v>0</v>
      </c>
      <c r="P47" s="1376">
        <f t="shared" si="16"/>
        <v>0</v>
      </c>
      <c r="Q47" s="1376">
        <f t="shared" si="16"/>
        <v>0</v>
      </c>
      <c r="R47" s="1376">
        <f t="shared" si="16"/>
        <v>0</v>
      </c>
      <c r="S47" s="1380">
        <f t="shared" si="16"/>
        <v>0</v>
      </c>
      <c r="T47" s="1381">
        <f t="shared" si="16"/>
        <v>0</v>
      </c>
      <c r="U47" s="1376">
        <f t="shared" si="16"/>
        <v>0</v>
      </c>
      <c r="V47" s="1376">
        <f t="shared" si="16"/>
        <v>0</v>
      </c>
      <c r="W47" s="1376">
        <f t="shared" si="16"/>
        <v>0</v>
      </c>
      <c r="X47" s="1376">
        <f t="shared" si="16"/>
        <v>0</v>
      </c>
    </row>
    <row r="48" spans="3:24" s="43" customFormat="1" x14ac:dyDescent="0.25">
      <c r="C48" s="1374" t="s">
        <v>997</v>
      </c>
      <c r="D48" s="1375"/>
      <c r="E48" s="1376">
        <f>(E31+E34-E47)</f>
        <v>0</v>
      </c>
      <c r="F48" s="1376">
        <f t="shared" ref="F48:X48" si="17">(F31+F34-F47)</f>
        <v>0</v>
      </c>
      <c r="G48" s="1376">
        <f t="shared" si="17"/>
        <v>0</v>
      </c>
      <c r="H48" s="1376">
        <f t="shared" si="17"/>
        <v>0</v>
      </c>
      <c r="I48" s="1376">
        <f t="shared" si="17"/>
        <v>0</v>
      </c>
      <c r="J48" s="1376">
        <f t="shared" si="17"/>
        <v>0</v>
      </c>
      <c r="K48" s="1376">
        <f t="shared" si="17"/>
        <v>0</v>
      </c>
      <c r="L48" s="1376">
        <f t="shared" si="17"/>
        <v>0</v>
      </c>
      <c r="M48" s="1376">
        <f t="shared" si="17"/>
        <v>0</v>
      </c>
      <c r="N48" s="1376">
        <f t="shared" si="17"/>
        <v>0</v>
      </c>
      <c r="O48" s="1376">
        <f t="shared" si="17"/>
        <v>0</v>
      </c>
      <c r="P48" s="1376">
        <f t="shared" si="17"/>
        <v>0</v>
      </c>
      <c r="Q48" s="1376">
        <f t="shared" si="17"/>
        <v>0</v>
      </c>
      <c r="R48" s="1376">
        <f t="shared" si="17"/>
        <v>0</v>
      </c>
      <c r="S48" s="1380">
        <f t="shared" si="17"/>
        <v>0</v>
      </c>
      <c r="T48" s="1381">
        <f t="shared" si="17"/>
        <v>0</v>
      </c>
      <c r="U48" s="1376">
        <f t="shared" si="17"/>
        <v>0</v>
      </c>
      <c r="V48" s="1376">
        <f t="shared" si="17"/>
        <v>0</v>
      </c>
      <c r="W48" s="1376">
        <f t="shared" si="17"/>
        <v>0</v>
      </c>
      <c r="X48" s="1376">
        <f t="shared" si="17"/>
        <v>0</v>
      </c>
    </row>
    <row r="49" spans="3:25" s="43" customFormat="1" x14ac:dyDescent="0.25">
      <c r="C49" s="1374" t="s">
        <v>998</v>
      </c>
      <c r="D49" s="1375"/>
      <c r="E49" s="1382" t="str">
        <f>IF(E31=0,"",(E31+E34)/E47)</f>
        <v/>
      </c>
      <c r="F49" s="1383" t="str">
        <f t="shared" ref="F49:X49" si="18">IF(F31=0,"",(F31+F34)/F47)</f>
        <v/>
      </c>
      <c r="G49" s="1383" t="str">
        <f t="shared" si="18"/>
        <v/>
      </c>
      <c r="H49" s="1383" t="str">
        <f t="shared" si="18"/>
        <v/>
      </c>
      <c r="I49" s="1383" t="str">
        <f t="shared" si="18"/>
        <v/>
      </c>
      <c r="J49" s="1383" t="str">
        <f t="shared" si="18"/>
        <v/>
      </c>
      <c r="K49" s="1383" t="str">
        <f t="shared" si="18"/>
        <v/>
      </c>
      <c r="L49" s="1383" t="str">
        <f t="shared" si="18"/>
        <v/>
      </c>
      <c r="M49" s="1383" t="str">
        <f t="shared" si="18"/>
        <v/>
      </c>
      <c r="N49" s="1383" t="str">
        <f t="shared" si="18"/>
        <v/>
      </c>
      <c r="O49" s="1383" t="str">
        <f t="shared" si="18"/>
        <v/>
      </c>
      <c r="P49" s="1383" t="str">
        <f t="shared" si="18"/>
        <v/>
      </c>
      <c r="Q49" s="1383" t="str">
        <f t="shared" si="18"/>
        <v/>
      </c>
      <c r="R49" s="1383" t="str">
        <f t="shared" si="18"/>
        <v/>
      </c>
      <c r="S49" s="1384" t="str">
        <f t="shared" si="18"/>
        <v/>
      </c>
      <c r="T49" s="1383" t="str">
        <f t="shared" si="18"/>
        <v/>
      </c>
      <c r="U49" s="1385" t="str">
        <f t="shared" si="18"/>
        <v/>
      </c>
      <c r="V49" s="1385" t="str">
        <f t="shared" si="18"/>
        <v/>
      </c>
      <c r="W49" s="1385" t="str">
        <f t="shared" si="18"/>
        <v/>
      </c>
      <c r="X49" s="1385" t="str">
        <f t="shared" si="18"/>
        <v/>
      </c>
    </row>
    <row r="50" spans="3:25" ht="5.7" customHeight="1" x14ac:dyDescent="0.25">
      <c r="E50" s="1287"/>
      <c r="S50" s="1288"/>
    </row>
    <row r="51" spans="3:25" x14ac:dyDescent="0.25">
      <c r="C51" s="43" t="s">
        <v>999</v>
      </c>
      <c r="E51" s="1293"/>
      <c r="S51" s="1288"/>
    </row>
    <row r="52" spans="3:25" s="68" customFormat="1" x14ac:dyDescent="0.25">
      <c r="C52" s="1610" t="s">
        <v>2626</v>
      </c>
      <c r="D52" s="1611" t="s">
        <v>2627</v>
      </c>
      <c r="E52" s="1298"/>
      <c r="F52" s="1331"/>
      <c r="G52" s="1331"/>
      <c r="H52" s="1331"/>
      <c r="I52" s="1331"/>
      <c r="J52" s="1331"/>
      <c r="K52" s="1331"/>
      <c r="L52" s="1331"/>
      <c r="M52" s="1331"/>
      <c r="N52" s="1331"/>
      <c r="O52" s="1818"/>
      <c r="P52" s="1818"/>
      <c r="Q52" s="1818"/>
      <c r="R52" s="1818"/>
      <c r="S52" s="1819"/>
      <c r="T52" s="1820"/>
      <c r="U52" s="1821"/>
      <c r="V52" s="1821"/>
      <c r="W52" s="1821"/>
      <c r="X52" s="1821"/>
    </row>
    <row r="53" spans="3:25" s="52" customFormat="1" ht="13.8" thickBot="1" x14ac:dyDescent="0.3">
      <c r="C53" s="636"/>
      <c r="D53" s="44"/>
      <c r="E53" s="1348"/>
      <c r="F53" s="1349"/>
      <c r="G53" s="1349"/>
      <c r="H53" s="1349"/>
      <c r="I53" s="1349"/>
      <c r="J53" s="1349"/>
      <c r="K53" s="1349"/>
      <c r="L53" s="1349"/>
      <c r="M53" s="1349"/>
      <c r="N53" s="1349"/>
      <c r="O53" s="1350"/>
      <c r="P53" s="1351"/>
      <c r="Q53" s="1351"/>
      <c r="R53" s="1351"/>
      <c r="S53" s="1352"/>
      <c r="T53" s="1350"/>
      <c r="U53" s="1353"/>
      <c r="V53" s="1353"/>
      <c r="W53" s="1353"/>
      <c r="X53" s="1353"/>
    </row>
    <row r="54" spans="3:25" s="52" customFormat="1" ht="13.8" thickBot="1" x14ac:dyDescent="0.3">
      <c r="C54" s="637"/>
      <c r="D54" s="1626" t="s">
        <v>2580</v>
      </c>
      <c r="E54" s="1294"/>
      <c r="F54" s="1337"/>
      <c r="G54" s="1337"/>
      <c r="H54" s="1337"/>
      <c r="I54" s="1337"/>
      <c r="J54" s="1337"/>
      <c r="K54" s="1337"/>
      <c r="L54" s="1337"/>
      <c r="M54" s="1337"/>
      <c r="N54" s="1337"/>
      <c r="O54" s="1272"/>
      <c r="P54" s="1275"/>
      <c r="Q54" s="1275"/>
      <c r="R54" s="1275"/>
      <c r="S54" s="1295"/>
      <c r="T54" s="1272"/>
      <c r="U54" s="638"/>
      <c r="V54" s="638"/>
      <c r="W54" s="638"/>
      <c r="X54" s="638"/>
    </row>
    <row r="55" spans="3:25" x14ac:dyDescent="0.25">
      <c r="C55" s="639" t="s">
        <v>384</v>
      </c>
      <c r="D55" s="1627">
        <f>H73</f>
        <v>0</v>
      </c>
      <c r="E55" s="1303">
        <f>(E48-E52-E53)*$D$55</f>
        <v>0</v>
      </c>
      <c r="F55" s="1338">
        <f>(F48-F52-F53)*$D$55</f>
        <v>0</v>
      </c>
      <c r="G55" s="1338">
        <f>(G48-G52-G53)*$D$55</f>
        <v>0</v>
      </c>
      <c r="H55" s="1338">
        <f>(H48-H52-H53)*$D$55</f>
        <v>0</v>
      </c>
      <c r="I55" s="1338">
        <f t="shared" ref="I55:Q55" si="19">(I48-I52-I53)*$D$55</f>
        <v>0</v>
      </c>
      <c r="J55" s="1338">
        <f t="shared" si="19"/>
        <v>0</v>
      </c>
      <c r="K55" s="1338">
        <f t="shared" si="19"/>
        <v>0</v>
      </c>
      <c r="L55" s="1338">
        <f t="shared" si="19"/>
        <v>0</v>
      </c>
      <c r="M55" s="1338">
        <f t="shared" si="19"/>
        <v>0</v>
      </c>
      <c r="N55" s="1338">
        <f t="shared" si="19"/>
        <v>0</v>
      </c>
      <c r="O55" s="1338">
        <f t="shared" si="19"/>
        <v>0</v>
      </c>
      <c r="P55" s="1338">
        <f t="shared" si="19"/>
        <v>0</v>
      </c>
      <c r="Q55" s="1338">
        <f t="shared" si="19"/>
        <v>0</v>
      </c>
      <c r="R55" s="1338">
        <f>(R48-R52-R53)*$D$55</f>
        <v>0</v>
      </c>
      <c r="S55" s="1309">
        <f>(S48-S52-S53)*$D$55</f>
        <v>0</v>
      </c>
      <c r="T55" s="1822">
        <f>(T48-T52)*$J$73</f>
        <v>0</v>
      </c>
      <c r="U55" s="1823">
        <f>(U48-U52)*$J$73</f>
        <v>0</v>
      </c>
      <c r="V55" s="1823">
        <f>(V48-V52)*$J$73</f>
        <v>0</v>
      </c>
      <c r="W55" s="1823">
        <f>(W48-W52)*$J$73</f>
        <v>0</v>
      </c>
      <c r="X55" s="1823">
        <f>(X48-X52)*$J$73</f>
        <v>0</v>
      </c>
    </row>
    <row r="56" spans="3:25" x14ac:dyDescent="0.25">
      <c r="C56" s="640"/>
      <c r="D56" s="1628"/>
      <c r="E56" s="1305"/>
      <c r="F56" s="1339"/>
      <c r="G56" s="1339"/>
      <c r="H56" s="1339"/>
      <c r="I56" s="1339"/>
      <c r="J56" s="1339"/>
      <c r="K56" s="1339"/>
      <c r="L56" s="1339"/>
      <c r="M56" s="1339"/>
      <c r="N56" s="1339"/>
      <c r="O56" s="1306"/>
      <c r="P56" s="1307"/>
      <c r="Q56" s="1307"/>
      <c r="R56" s="1307"/>
      <c r="S56" s="1308"/>
      <c r="T56" s="1273"/>
      <c r="U56" s="641"/>
      <c r="V56" s="641"/>
      <c r="W56" s="641"/>
      <c r="X56" s="641"/>
    </row>
    <row r="57" spans="3:25" x14ac:dyDescent="0.25">
      <c r="C57" s="639" t="s">
        <v>1000</v>
      </c>
      <c r="D57" s="1629">
        <f>H74</f>
        <v>0</v>
      </c>
      <c r="E57" s="1303">
        <f>(E48-E52-E53)*$D$57</f>
        <v>0</v>
      </c>
      <c r="F57" s="1338">
        <f>(F48-F52-F53)*$D$57</f>
        <v>0</v>
      </c>
      <c r="G57" s="1338">
        <f t="shared" ref="G57:R57" si="20">(G48-G52-G53)*$D$57</f>
        <v>0</v>
      </c>
      <c r="H57" s="1338">
        <f>(H48-H52-H53)*$D$57</f>
        <v>0</v>
      </c>
      <c r="I57" s="1338">
        <f t="shared" si="20"/>
        <v>0</v>
      </c>
      <c r="J57" s="1338">
        <f t="shared" si="20"/>
        <v>0</v>
      </c>
      <c r="K57" s="1338">
        <f t="shared" si="20"/>
        <v>0</v>
      </c>
      <c r="L57" s="1338">
        <f t="shared" si="20"/>
        <v>0</v>
      </c>
      <c r="M57" s="1338">
        <f t="shared" si="20"/>
        <v>0</v>
      </c>
      <c r="N57" s="1338">
        <f t="shared" si="20"/>
        <v>0</v>
      </c>
      <c r="O57" s="1338">
        <f t="shared" si="20"/>
        <v>0</v>
      </c>
      <c r="P57" s="1338">
        <f t="shared" si="20"/>
        <v>0</v>
      </c>
      <c r="Q57" s="1338">
        <f t="shared" si="20"/>
        <v>0</v>
      </c>
      <c r="R57" s="1338">
        <f t="shared" si="20"/>
        <v>0</v>
      </c>
      <c r="S57" s="1309">
        <f>(S48-S52-S53)*$D$57</f>
        <v>0</v>
      </c>
      <c r="T57" s="1330">
        <f>(T48-T52-T53)*$J$74</f>
        <v>0</v>
      </c>
      <c r="U57" s="1304">
        <f>(U48-U52-U53)*$J$74</f>
        <v>0</v>
      </c>
      <c r="V57" s="1304">
        <f>(V48-V52-V53)*$J$74</f>
        <v>0</v>
      </c>
      <c r="W57" s="1304">
        <f>(W48-W52-W53)*$J$74</f>
        <v>0</v>
      </c>
      <c r="X57" s="1304">
        <f>(X48-X52-X53)*$J$74</f>
        <v>0</v>
      </c>
      <c r="Y57" s="216"/>
    </row>
    <row r="58" spans="3:25" x14ac:dyDescent="0.25">
      <c r="C58" s="640"/>
      <c r="D58" s="1630"/>
      <c r="E58" s="1305"/>
      <c r="F58" s="1339"/>
      <c r="G58" s="1339"/>
      <c r="H58" s="1339"/>
      <c r="I58" s="1339"/>
      <c r="J58" s="1339"/>
      <c r="K58" s="1339"/>
      <c r="L58" s="1339"/>
      <c r="M58" s="1339"/>
      <c r="N58" s="1339"/>
      <c r="O58" s="1306"/>
      <c r="P58" s="1307"/>
      <c r="Q58" s="1307"/>
      <c r="R58" s="1307"/>
      <c r="S58" s="1308"/>
      <c r="T58" s="1306"/>
      <c r="U58" s="1311"/>
      <c r="V58" s="1311"/>
      <c r="W58" s="1311"/>
      <c r="X58" s="1311"/>
    </row>
    <row r="59" spans="3:25" x14ac:dyDescent="0.25">
      <c r="C59" s="238" t="s">
        <v>2582</v>
      </c>
      <c r="D59" s="1629">
        <f>H75</f>
        <v>0</v>
      </c>
      <c r="E59" s="1303">
        <f>(E48-E52-E53)*$D$59</f>
        <v>0</v>
      </c>
      <c r="F59" s="1338">
        <f t="shared" ref="F59:W59" si="21">(F48-F52-F53)*$D$59</f>
        <v>0</v>
      </c>
      <c r="G59" s="1338">
        <f>(G48-G52-G53)*$D$59</f>
        <v>0</v>
      </c>
      <c r="H59" s="1338">
        <f t="shared" si="21"/>
        <v>0</v>
      </c>
      <c r="I59" s="1338">
        <f t="shared" si="21"/>
        <v>0</v>
      </c>
      <c r="J59" s="1338">
        <f t="shared" si="21"/>
        <v>0</v>
      </c>
      <c r="K59" s="1338">
        <f t="shared" si="21"/>
        <v>0</v>
      </c>
      <c r="L59" s="1338">
        <f t="shared" si="21"/>
        <v>0</v>
      </c>
      <c r="M59" s="1310">
        <f t="shared" si="21"/>
        <v>0</v>
      </c>
      <c r="N59" s="1338">
        <f t="shared" si="21"/>
        <v>0</v>
      </c>
      <c r="O59" s="1338">
        <f t="shared" si="21"/>
        <v>0</v>
      </c>
      <c r="P59" s="1338">
        <f t="shared" si="21"/>
        <v>0</v>
      </c>
      <c r="Q59" s="1338">
        <f t="shared" si="21"/>
        <v>0</v>
      </c>
      <c r="R59" s="1338">
        <f t="shared" si="21"/>
        <v>0</v>
      </c>
      <c r="S59" s="1309">
        <f t="shared" si="21"/>
        <v>0</v>
      </c>
      <c r="T59" s="1330">
        <f>(T48-T52-T53)*$D$59</f>
        <v>0</v>
      </c>
      <c r="U59" s="1304">
        <f t="shared" si="21"/>
        <v>0</v>
      </c>
      <c r="V59" s="1304">
        <f t="shared" si="21"/>
        <v>0</v>
      </c>
      <c r="W59" s="1304">
        <f t="shared" si="21"/>
        <v>0</v>
      </c>
      <c r="X59" s="1304">
        <f>(X48-X52-X53)*$D$59</f>
        <v>0</v>
      </c>
    </row>
    <row r="60" spans="3:25" x14ac:dyDescent="0.25">
      <c r="C60" s="640"/>
      <c r="D60" s="1269"/>
      <c r="E60" s="1296"/>
      <c r="F60" s="1340"/>
      <c r="G60" s="1340"/>
      <c r="H60" s="1340"/>
      <c r="I60" s="1340"/>
      <c r="J60" s="1340"/>
      <c r="K60" s="1340"/>
      <c r="L60" s="1340"/>
      <c r="M60" s="1340"/>
      <c r="N60" s="1340"/>
      <c r="O60" s="1273"/>
      <c r="P60" s="1276"/>
      <c r="Q60" s="1276"/>
      <c r="R60" s="1276"/>
      <c r="S60" s="1297"/>
      <c r="T60" s="1273"/>
      <c r="U60" s="641"/>
      <c r="V60" s="641"/>
      <c r="W60" s="641"/>
      <c r="X60" s="641"/>
    </row>
    <row r="61" spans="3:25" x14ac:dyDescent="0.25">
      <c r="C61" s="238"/>
      <c r="D61" s="1817" t="s">
        <v>80</v>
      </c>
      <c r="E61" s="1298"/>
      <c r="F61" s="1341"/>
      <c r="G61" s="1341"/>
      <c r="H61" s="1341"/>
      <c r="I61" s="1341"/>
      <c r="J61" s="1341"/>
      <c r="K61" s="1341"/>
      <c r="L61" s="1341"/>
      <c r="M61" s="224"/>
      <c r="N61" s="1341"/>
      <c r="O61" s="1341"/>
      <c r="P61" s="1341"/>
      <c r="Q61" s="1341"/>
      <c r="R61" s="1341"/>
      <c r="S61" s="1299"/>
      <c r="T61" s="1331"/>
      <c r="U61" s="642"/>
      <c r="V61" s="642"/>
      <c r="W61" s="642"/>
      <c r="X61" s="642"/>
    </row>
    <row r="62" spans="3:25" x14ac:dyDescent="0.25">
      <c r="C62" s="640"/>
      <c r="D62" s="1354"/>
      <c r="E62" s="1296"/>
      <c r="F62" s="1340"/>
      <c r="G62" s="1340"/>
      <c r="H62" s="1340"/>
      <c r="I62" s="1340"/>
      <c r="J62" s="1340"/>
      <c r="K62" s="1340"/>
      <c r="L62" s="1340"/>
      <c r="M62" s="1340"/>
      <c r="N62" s="1340"/>
      <c r="O62" s="1273"/>
      <c r="P62" s="1276"/>
      <c r="Q62" s="1276"/>
      <c r="R62" s="1276"/>
      <c r="S62" s="1297"/>
      <c r="T62" s="1273"/>
      <c r="U62" s="641"/>
      <c r="V62" s="641"/>
      <c r="W62" s="641"/>
      <c r="X62" s="641"/>
    </row>
    <row r="63" spans="3:25" x14ac:dyDescent="0.25">
      <c r="C63" s="238"/>
      <c r="D63" s="1817" t="s">
        <v>80</v>
      </c>
      <c r="E63" s="1298"/>
      <c r="F63" s="1341"/>
      <c r="G63" s="1341"/>
      <c r="H63" s="1341"/>
      <c r="I63" s="1341"/>
      <c r="J63" s="1341"/>
      <c r="K63" s="1341"/>
      <c r="L63" s="1341"/>
      <c r="M63" s="224"/>
      <c r="N63" s="1341"/>
      <c r="O63" s="1341"/>
      <c r="P63" s="1341"/>
      <c r="Q63" s="1341"/>
      <c r="R63" s="1341"/>
      <c r="S63" s="1299"/>
      <c r="T63" s="1331"/>
      <c r="U63" s="642"/>
      <c r="V63" s="642"/>
      <c r="W63" s="642"/>
      <c r="X63" s="642"/>
    </row>
    <row r="64" spans="3:25" ht="5.7" customHeight="1" x14ac:dyDescent="0.25">
      <c r="C64" s="643"/>
      <c r="D64" s="1278"/>
      <c r="E64" s="1300"/>
      <c r="F64" s="1301"/>
      <c r="G64" s="1301"/>
      <c r="H64" s="1301"/>
      <c r="I64" s="1301"/>
      <c r="J64" s="1301"/>
      <c r="K64" s="1301"/>
      <c r="L64" s="1301"/>
      <c r="M64" s="1301"/>
      <c r="N64" s="1301"/>
      <c r="O64" s="1301"/>
      <c r="P64" s="1301"/>
      <c r="Q64" s="1301"/>
      <c r="R64" s="1301"/>
      <c r="S64" s="955"/>
      <c r="T64" s="1301"/>
      <c r="U64" s="644"/>
      <c r="V64" s="644"/>
      <c r="W64" s="644"/>
      <c r="X64" s="644"/>
    </row>
    <row r="65" spans="3:24" s="43" customFormat="1" x14ac:dyDescent="0.25">
      <c r="C65" s="590" t="s">
        <v>1001</v>
      </c>
      <c r="D65" s="1279"/>
      <c r="E65" s="1612">
        <f>SUM(E52:E63)</f>
        <v>0</v>
      </c>
      <c r="F65" s="1613">
        <f>SUM(F52:F63)</f>
        <v>0</v>
      </c>
      <c r="G65" s="1613">
        <f t="shared" ref="G65:X65" si="22">SUM(G52:G63)</f>
        <v>0</v>
      </c>
      <c r="H65" s="1613">
        <f t="shared" si="22"/>
        <v>0</v>
      </c>
      <c r="I65" s="1613">
        <f t="shared" si="22"/>
        <v>0</v>
      </c>
      <c r="J65" s="1613">
        <f t="shared" si="22"/>
        <v>0</v>
      </c>
      <c r="K65" s="1613">
        <f t="shared" si="22"/>
        <v>0</v>
      </c>
      <c r="L65" s="1613">
        <f t="shared" si="22"/>
        <v>0</v>
      </c>
      <c r="M65" s="1613">
        <f t="shared" si="22"/>
        <v>0</v>
      </c>
      <c r="N65" s="1613">
        <f t="shared" si="22"/>
        <v>0</v>
      </c>
      <c r="O65" s="1613">
        <f t="shared" si="22"/>
        <v>0</v>
      </c>
      <c r="P65" s="1613">
        <f t="shared" si="22"/>
        <v>0</v>
      </c>
      <c r="Q65" s="1613">
        <f t="shared" si="22"/>
        <v>0</v>
      </c>
      <c r="R65" s="1613">
        <f t="shared" si="22"/>
        <v>0</v>
      </c>
      <c r="S65" s="1621">
        <f t="shared" si="22"/>
        <v>0</v>
      </c>
      <c r="T65" s="1613">
        <f t="shared" si="22"/>
        <v>0</v>
      </c>
      <c r="U65" s="1622">
        <f t="shared" si="22"/>
        <v>0</v>
      </c>
      <c r="V65" s="1622">
        <f t="shared" si="22"/>
        <v>0</v>
      </c>
      <c r="W65" s="1622">
        <f t="shared" si="22"/>
        <v>0</v>
      </c>
      <c r="X65" s="1622">
        <f t="shared" si="22"/>
        <v>0</v>
      </c>
    </row>
    <row r="66" spans="3:24" s="43" customFormat="1" x14ac:dyDescent="0.25">
      <c r="C66" s="645" t="s">
        <v>1002</v>
      </c>
      <c r="D66" s="1267"/>
      <c r="E66" s="1614">
        <f>+E48-E65</f>
        <v>0</v>
      </c>
      <c r="F66" s="1615">
        <f t="shared" ref="F66:X66" si="23">+F48-F65</f>
        <v>0</v>
      </c>
      <c r="G66" s="1615">
        <f t="shared" si="23"/>
        <v>0</v>
      </c>
      <c r="H66" s="1615">
        <f t="shared" si="23"/>
        <v>0</v>
      </c>
      <c r="I66" s="1615">
        <f t="shared" si="23"/>
        <v>0</v>
      </c>
      <c r="J66" s="1615">
        <f t="shared" si="23"/>
        <v>0</v>
      </c>
      <c r="K66" s="1615">
        <f t="shared" si="23"/>
        <v>0</v>
      </c>
      <c r="L66" s="1615">
        <f t="shared" si="23"/>
        <v>0</v>
      </c>
      <c r="M66" s="1615">
        <f t="shared" si="23"/>
        <v>0</v>
      </c>
      <c r="N66" s="1615">
        <f t="shared" si="23"/>
        <v>0</v>
      </c>
      <c r="O66" s="1615">
        <f t="shared" si="23"/>
        <v>0</v>
      </c>
      <c r="P66" s="1615">
        <f t="shared" si="23"/>
        <v>0</v>
      </c>
      <c r="Q66" s="1274">
        <f t="shared" si="23"/>
        <v>0</v>
      </c>
      <c r="R66" s="1274">
        <f t="shared" si="23"/>
        <v>0</v>
      </c>
      <c r="S66" s="1302">
        <f t="shared" si="23"/>
        <v>0</v>
      </c>
      <c r="T66" s="1274">
        <f t="shared" si="23"/>
        <v>0</v>
      </c>
      <c r="U66" s="646">
        <f t="shared" si="23"/>
        <v>0</v>
      </c>
      <c r="V66" s="646">
        <f t="shared" si="23"/>
        <v>0</v>
      </c>
      <c r="W66" s="646">
        <f t="shared" si="23"/>
        <v>0</v>
      </c>
      <c r="X66" s="646">
        <f t="shared" si="23"/>
        <v>0</v>
      </c>
    </row>
    <row r="67" spans="3:24" s="43" customFormat="1" ht="13.8" thickBot="1" x14ac:dyDescent="0.3">
      <c r="C67" s="645" t="s">
        <v>998</v>
      </c>
      <c r="D67" s="1267"/>
      <c r="E67" s="1616" t="str">
        <f>IF(E31=0,"",E31/(E47+E65+E66))</f>
        <v/>
      </c>
      <c r="F67" s="1617" t="str">
        <f t="shared" ref="F67:X67" si="24">IF(F31=0,"",F31/(F47+F65+F66))</f>
        <v/>
      </c>
      <c r="G67" s="1617" t="str">
        <f t="shared" si="24"/>
        <v/>
      </c>
      <c r="H67" s="1617" t="str">
        <f t="shared" si="24"/>
        <v/>
      </c>
      <c r="I67" s="1617" t="str">
        <f t="shared" si="24"/>
        <v/>
      </c>
      <c r="J67" s="1617" t="str">
        <f t="shared" si="24"/>
        <v/>
      </c>
      <c r="K67" s="1617" t="str">
        <f t="shared" si="24"/>
        <v/>
      </c>
      <c r="L67" s="1617" t="str">
        <f t="shared" si="24"/>
        <v/>
      </c>
      <c r="M67" s="1617" t="str">
        <f t="shared" si="24"/>
        <v/>
      </c>
      <c r="N67" s="1617" t="str">
        <f t="shared" si="24"/>
        <v/>
      </c>
      <c r="O67" s="1617" t="str">
        <f t="shared" si="24"/>
        <v/>
      </c>
      <c r="P67" s="1617" t="str">
        <f t="shared" si="24"/>
        <v/>
      </c>
      <c r="Q67" s="1617" t="str">
        <f t="shared" si="24"/>
        <v/>
      </c>
      <c r="R67" s="1617" t="str">
        <f t="shared" si="24"/>
        <v/>
      </c>
      <c r="S67" s="1623" t="str">
        <f t="shared" si="24"/>
        <v/>
      </c>
      <c r="T67" s="1624" t="str">
        <f t="shared" si="24"/>
        <v/>
      </c>
      <c r="U67" s="1625" t="str">
        <f t="shared" si="24"/>
        <v/>
      </c>
      <c r="V67" s="1625" t="str">
        <f t="shared" si="24"/>
        <v/>
      </c>
      <c r="W67" s="1625" t="str">
        <f t="shared" si="24"/>
        <v/>
      </c>
      <c r="X67" s="1625" t="str">
        <f t="shared" si="24"/>
        <v/>
      </c>
    </row>
    <row r="68" spans="3:24" s="43" customFormat="1" ht="13.8" thickBot="1" x14ac:dyDescent="0.3">
      <c r="C68" s="47"/>
      <c r="E68" s="217"/>
      <c r="F68" s="217"/>
      <c r="G68" s="217"/>
      <c r="H68" s="217"/>
      <c r="I68" s="217"/>
      <c r="J68" s="217"/>
      <c r="K68" s="217"/>
      <c r="L68" s="217"/>
      <c r="M68" s="217"/>
      <c r="N68" s="217"/>
      <c r="O68" s="217"/>
      <c r="P68" s="217"/>
      <c r="Q68" s="217"/>
      <c r="R68" s="217"/>
      <c r="S68" s="217"/>
      <c r="T68" s="217"/>
      <c r="U68" s="217"/>
      <c r="V68" s="217"/>
      <c r="W68" s="217"/>
      <c r="X68" s="217"/>
    </row>
    <row r="69" spans="3:24" s="43" customFormat="1" ht="14.4" thickBot="1" x14ac:dyDescent="0.3">
      <c r="C69" s="47"/>
      <c r="E69" s="217"/>
      <c r="F69" s="1145" t="s">
        <v>2581</v>
      </c>
      <c r="G69" s="1146"/>
      <c r="H69" s="1146"/>
      <c r="I69" s="1146"/>
      <c r="J69" s="1147"/>
      <c r="K69" s="217"/>
      <c r="L69" s="217"/>
      <c r="M69" s="217"/>
      <c r="N69" s="217"/>
      <c r="O69" s="217"/>
      <c r="P69" s="217"/>
      <c r="Q69" s="217"/>
      <c r="R69" s="217"/>
      <c r="S69" s="217"/>
      <c r="T69" s="218"/>
      <c r="U69" s="218"/>
      <c r="V69" s="218"/>
      <c r="W69" s="218"/>
      <c r="X69" s="218"/>
    </row>
    <row r="70" spans="3:24" x14ac:dyDescent="0.25">
      <c r="E70" s="217"/>
      <c r="F70" s="219"/>
      <c r="G70" s="298"/>
      <c r="H70" s="1258" t="s">
        <v>1003</v>
      </c>
      <c r="I70" s="225"/>
      <c r="J70" s="1258" t="s">
        <v>1004</v>
      </c>
      <c r="L70" s="1618" t="s">
        <v>1005</v>
      </c>
      <c r="M70" s="1619">
        <f>SOURCES!M61</f>
        <v>0</v>
      </c>
    </row>
    <row r="71" spans="3:24" ht="12.75" customHeight="1" x14ac:dyDescent="0.25">
      <c r="E71" s="217"/>
      <c r="F71" s="220"/>
      <c r="G71" s="53"/>
      <c r="H71" s="1259" t="s">
        <v>1006</v>
      </c>
      <c r="I71" s="20"/>
      <c r="J71" s="1259" t="s">
        <v>1006</v>
      </c>
      <c r="L71" s="1620" t="s">
        <v>2727</v>
      </c>
      <c r="M71" s="1619">
        <f>SUM(E55:S55)</f>
        <v>0</v>
      </c>
    </row>
    <row r="72" spans="3:24" ht="25.5" customHeight="1" x14ac:dyDescent="0.25">
      <c r="E72" s="217"/>
      <c r="F72" s="221"/>
      <c r="G72" s="1251"/>
      <c r="H72" s="1260" t="s">
        <v>1007</v>
      </c>
      <c r="I72" s="1252"/>
      <c r="J72" s="1260" t="s">
        <v>1008</v>
      </c>
      <c r="L72" s="1982"/>
      <c r="M72" s="1983"/>
      <c r="N72" s="1983"/>
    </row>
    <row r="73" spans="3:24" ht="13.8" x14ac:dyDescent="0.25">
      <c r="E73" s="217"/>
      <c r="F73" s="300" t="s">
        <v>1009</v>
      </c>
      <c r="G73" s="1253"/>
      <c r="H73" s="1342"/>
      <c r="I73" s="1254"/>
      <c r="J73" s="1342"/>
      <c r="L73" s="1983"/>
      <c r="M73" s="1983"/>
      <c r="N73" s="1983"/>
    </row>
    <row r="74" spans="3:24" x14ac:dyDescent="0.25">
      <c r="E74" s="217"/>
      <c r="F74" s="300" t="s">
        <v>1000</v>
      </c>
      <c r="G74" s="1253"/>
      <c r="H74" s="1342"/>
      <c r="I74" s="1255"/>
      <c r="J74" s="1342"/>
    </row>
    <row r="75" spans="3:24" x14ac:dyDescent="0.25">
      <c r="E75" s="217"/>
      <c r="F75" s="300" t="s">
        <v>2579</v>
      </c>
      <c r="G75" s="1253"/>
      <c r="H75" s="1342"/>
      <c r="I75" s="1255"/>
      <c r="J75" s="1342"/>
    </row>
    <row r="76" spans="3:24" x14ac:dyDescent="0.25">
      <c r="E76" s="217"/>
      <c r="F76" s="301" t="s">
        <v>1012</v>
      </c>
      <c r="G76" s="1256"/>
      <c r="H76" s="1342"/>
      <c r="I76" s="1257"/>
      <c r="J76" s="1342"/>
    </row>
    <row r="77" spans="3:24" ht="13.8" thickBot="1" x14ac:dyDescent="0.3">
      <c r="E77" s="217"/>
      <c r="F77" s="222"/>
      <c r="G77" s="299"/>
      <c r="H77" s="1261">
        <f>SUM(H73:H76)</f>
        <v>0</v>
      </c>
      <c r="I77" s="223"/>
      <c r="J77" s="1262">
        <f>SUM(J73:J76)</f>
        <v>0</v>
      </c>
    </row>
    <row r="81" spans="3:24" x14ac:dyDescent="0.25">
      <c r="C81" s="43" t="s">
        <v>1013</v>
      </c>
    </row>
    <row r="82" spans="3:24" x14ac:dyDescent="0.25">
      <c r="C82" s="630" t="s">
        <v>1014</v>
      </c>
      <c r="D82" s="633"/>
      <c r="E82" s="634">
        <f>USES!J160</f>
        <v>0</v>
      </c>
      <c r="F82" s="635">
        <f>E84</f>
        <v>0</v>
      </c>
      <c r="G82" s="635">
        <f t="shared" ref="G82:X82" si="25">F84</f>
        <v>0</v>
      </c>
      <c r="H82" s="635">
        <f t="shared" si="25"/>
        <v>0</v>
      </c>
      <c r="I82" s="635">
        <f t="shared" si="25"/>
        <v>0</v>
      </c>
      <c r="J82" s="635">
        <f t="shared" si="25"/>
        <v>0</v>
      </c>
      <c r="K82" s="635">
        <f t="shared" si="25"/>
        <v>0</v>
      </c>
      <c r="L82" s="635">
        <f t="shared" si="25"/>
        <v>0</v>
      </c>
      <c r="M82" s="635">
        <f t="shared" si="25"/>
        <v>0</v>
      </c>
      <c r="N82" s="635">
        <f t="shared" si="25"/>
        <v>0</v>
      </c>
      <c r="O82" s="635">
        <f t="shared" si="25"/>
        <v>0</v>
      </c>
      <c r="P82" s="635">
        <f t="shared" si="25"/>
        <v>0</v>
      </c>
      <c r="Q82" s="635">
        <f t="shared" si="25"/>
        <v>0</v>
      </c>
      <c r="R82" s="635">
        <f t="shared" si="25"/>
        <v>0</v>
      </c>
      <c r="S82" s="635">
        <f t="shared" si="25"/>
        <v>0</v>
      </c>
      <c r="T82" s="635">
        <f t="shared" si="25"/>
        <v>0</v>
      </c>
      <c r="U82" s="635">
        <f t="shared" si="25"/>
        <v>0</v>
      </c>
      <c r="V82" s="635">
        <f t="shared" si="25"/>
        <v>0</v>
      </c>
      <c r="W82" s="635">
        <f t="shared" si="25"/>
        <v>0</v>
      </c>
      <c r="X82" s="635">
        <f t="shared" si="25"/>
        <v>0</v>
      </c>
    </row>
    <row r="83" spans="3:24" x14ac:dyDescent="0.25">
      <c r="C83" s="630" t="s">
        <v>1015</v>
      </c>
      <c r="D83" s="633"/>
      <c r="E83" s="647">
        <f t="shared" ref="E83:X83" si="26">-E34</f>
        <v>0</v>
      </c>
      <c r="F83" s="647">
        <f t="shared" si="26"/>
        <v>0</v>
      </c>
      <c r="G83" s="647">
        <f t="shared" si="26"/>
        <v>0</v>
      </c>
      <c r="H83" s="647">
        <f t="shared" si="26"/>
        <v>0</v>
      </c>
      <c r="I83" s="647">
        <f t="shared" si="26"/>
        <v>0</v>
      </c>
      <c r="J83" s="647">
        <f t="shared" si="26"/>
        <v>0</v>
      </c>
      <c r="K83" s="647">
        <f t="shared" si="26"/>
        <v>0</v>
      </c>
      <c r="L83" s="647">
        <f t="shared" si="26"/>
        <v>0</v>
      </c>
      <c r="M83" s="647">
        <f t="shared" si="26"/>
        <v>0</v>
      </c>
      <c r="N83" s="647">
        <f t="shared" si="26"/>
        <v>0</v>
      </c>
      <c r="O83" s="647">
        <f t="shared" si="26"/>
        <v>0</v>
      </c>
      <c r="P83" s="647">
        <f t="shared" si="26"/>
        <v>0</v>
      </c>
      <c r="Q83" s="647">
        <f t="shared" si="26"/>
        <v>0</v>
      </c>
      <c r="R83" s="647">
        <f t="shared" si="26"/>
        <v>0</v>
      </c>
      <c r="S83" s="647">
        <f t="shared" si="26"/>
        <v>0</v>
      </c>
      <c r="T83" s="647">
        <f t="shared" si="26"/>
        <v>0</v>
      </c>
      <c r="U83" s="647">
        <f t="shared" si="26"/>
        <v>0</v>
      </c>
      <c r="V83" s="647">
        <f t="shared" si="26"/>
        <v>0</v>
      </c>
      <c r="W83" s="647">
        <f t="shared" si="26"/>
        <v>0</v>
      </c>
      <c r="X83" s="647">
        <f t="shared" si="26"/>
        <v>0</v>
      </c>
    </row>
    <row r="84" spans="3:24" x14ac:dyDescent="0.25">
      <c r="C84" s="630" t="s">
        <v>1016</v>
      </c>
      <c r="D84" s="633"/>
      <c r="E84" s="631">
        <f>E82+E83</f>
        <v>0</v>
      </c>
      <c r="F84" s="631">
        <f t="shared" ref="F84:X84" si="27">F82+F83</f>
        <v>0</v>
      </c>
      <c r="G84" s="631">
        <f t="shared" si="27"/>
        <v>0</v>
      </c>
      <c r="H84" s="631">
        <f t="shared" si="27"/>
        <v>0</v>
      </c>
      <c r="I84" s="631">
        <f t="shared" si="27"/>
        <v>0</v>
      </c>
      <c r="J84" s="631">
        <f t="shared" si="27"/>
        <v>0</v>
      </c>
      <c r="K84" s="631">
        <f t="shared" si="27"/>
        <v>0</v>
      </c>
      <c r="L84" s="631">
        <f t="shared" si="27"/>
        <v>0</v>
      </c>
      <c r="M84" s="631">
        <f t="shared" si="27"/>
        <v>0</v>
      </c>
      <c r="N84" s="631">
        <f t="shared" si="27"/>
        <v>0</v>
      </c>
      <c r="O84" s="631">
        <f t="shared" si="27"/>
        <v>0</v>
      </c>
      <c r="P84" s="631">
        <f t="shared" si="27"/>
        <v>0</v>
      </c>
      <c r="Q84" s="631">
        <f t="shared" si="27"/>
        <v>0</v>
      </c>
      <c r="R84" s="631">
        <f t="shared" si="27"/>
        <v>0</v>
      </c>
      <c r="S84" s="631">
        <f t="shared" si="27"/>
        <v>0</v>
      </c>
      <c r="T84" s="631">
        <f t="shared" si="27"/>
        <v>0</v>
      </c>
      <c r="U84" s="631">
        <f t="shared" si="27"/>
        <v>0</v>
      </c>
      <c r="V84" s="631">
        <f t="shared" si="27"/>
        <v>0</v>
      </c>
      <c r="W84" s="631">
        <f t="shared" si="27"/>
        <v>0</v>
      </c>
      <c r="X84" s="631">
        <f t="shared" si="27"/>
        <v>0</v>
      </c>
    </row>
  </sheetData>
  <sheetProtection algorithmName="SHA-512" hashValue="zK3LlditcgO/6RnqF84SVwaUJk0fyb3tQqMSx9LqcGbT0rkMEkLG3Z5soLFUslVxcN0MKE+mb/7wDxKpD/P8Pg==" saltValue="oHCBuYgyFH0DksDj88Gwmg==" spinCount="100000" sheet="1" objects="1" scenarios="1"/>
  <customSheetViews>
    <customSheetView guid="{76F395A0-B7E9-4489-8589-E8786779257B}" showPageBreaks="1" zeroValues="0" printArea="1" view="pageLayout">
      <selection activeCell="A2" sqref="A2"/>
      <rowBreaks count="1" manualBreakCount="1">
        <brk id="40" max="16383" man="1"/>
      </rowBreaks>
      <colBreaks count="1" manualBreakCount="1">
        <brk id="12" max="39" man="1"/>
      </colBreaks>
      <pageMargins left="0" right="0" top="0" bottom="0" header="0" footer="0"/>
      <pageSetup scale="95" firstPageNumber="20" orientation="landscape"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cale="75" showPageBreaks="1" zeroValues="0" printArea="1" view="pageBreakPreview">
      <selection activeCell="A2" sqref="A2"/>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cale="75" showPageBreaks="1" zeroValues="0" printArea="1" view="pageBreakPreview">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cale="75" showPageBreaks="1" zeroValues="0" printArea="1" view="pageBreakPreview">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cale="75" showPageBreaks="1" zeroValues="0" printArea="1" view="pageBreakPreview" showRuler="0">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cale="75" showPageBreaks="1" zeroValues="0" printArea="1" view="pageBreakPreview" showRuler="0">
      <selection activeCell="D3" sqref="D3"/>
      <rowBreaks count="1" manualBreakCount="1">
        <brk id="40" max="16383" man="1"/>
      </rowBreaks>
      <colBreaks count="1" manualBreakCount="1">
        <brk id="12" min="1" max="39" man="1"/>
      </colBreaks>
      <pageMargins left="0" right="0" top="0" bottom="0" header="0" footer="0"/>
      <pageSetup scale="95" firstPageNumber="23" orientation="landscape"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zeroValues="0" showRuler="0">
      <selection activeCell="E4" sqref="E4"/>
      <pageMargins left="0" right="0" top="0" bottom="0" header="0" footer="0"/>
      <printOptions horizontalCentered="1"/>
      <pageSetup firstPageNumber="21" orientation="landscape" useFirstPageNumber="1" horizontalDpi="4294967292" r:id="rId7"/>
      <headerFooter alignWithMargins="0"/>
    </customSheetView>
    <customSheetView guid="{714B32FB-A92F-4F7C-8495-8C3BCEB888AE}" scale="75" showPageBreaks="1" zeroValues="0" printArea="1" view="pageBreakPreview" showRuler="0">
      <selection activeCell="D3" sqref="D3"/>
      <rowBreaks count="1" manualBreakCount="1">
        <brk id="40" max="16383" man="1"/>
      </rowBreaks>
      <colBreaks count="1" manualBreakCount="1">
        <brk id="12" min="1" max="39" man="1"/>
      </colBreaks>
      <pageMargins left="0" right="0" top="0" bottom="0" header="0" footer="0"/>
      <pageSetup scale="95" firstPageNumber="23" orientation="landscape"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cale="75" showPageBreaks="1" zeroValues="0" printArea="1" view="pageBreakPreview" showRuler="0">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cale="75" showPageBreaks="1" zeroValues="0" printArea="1" view="pageBreakPreview">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cale="75" showPageBreaks="1" zeroValues="0" printArea="1" view="pageBreakPreview">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cale="75" showPageBreaks="1" zeroValues="0" printArea="1" view="pageBreakPreview">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cale="75" showPageBreaks="1" zeroValues="0" printArea="1" view="pageBreakPreview">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cale="75" showPageBreaks="1" zeroValues="0" printArea="1" view="pageBreakPreview">
      <selection activeCell="H17" sqref="H17"/>
      <rowBreaks count="1" manualBreakCount="1">
        <brk id="40" max="16383" man="1"/>
      </rowBreaks>
      <colBreaks count="1" manualBreakCount="1">
        <brk id="12" max="39" man="1"/>
      </colBreaks>
      <pageMargins left="0" right="0" top="0" bottom="0" header="0" footer="0"/>
      <pageSetup scale="95" firstPageNumber="23" orientation="landscape" useFirstPageNumber="1" horizontalDpi="4294967292" r:id="rId14"/>
      <headerFooter alignWithMargins="0">
        <oddFooter>&amp;L&amp;"Times New Roman,Italic"&amp;8CDA Form 202 (09/23/2008)&amp;C&amp;"Times New Roman,Italic"&amp;9&amp;P&amp;R&amp;"Times New Roman,Italic"&amp;8&amp;A:&amp;D</oddFooter>
      </headerFooter>
    </customSheetView>
  </customSheetViews>
  <mergeCells count="2">
    <mergeCell ref="C2:D2"/>
    <mergeCell ref="L72:N73"/>
  </mergeCells>
  <phoneticPr fontId="19" type="noConversion"/>
  <pageMargins left="0.25" right="0.25" top="0.25" bottom="0.25" header="0.25" footer="0.25"/>
  <pageSetup scale="67" fitToWidth="0" orientation="portrait" useFirstPageNumber="1" r:id="rId15"/>
  <headerFooter scaleWithDoc="0" alignWithMargins="0"/>
  <ignoredErrors>
    <ignoredError sqref="D44:D45 D57 D59 F66 E67:X67 G66:X66 E56:X56 E37:E45 G12:X15 F11:F15 F7:X7 F10:X10 F8 H8:X8 F19:X19 E11 H11:X11 F21:X24 G20:X20 H31:X31 F37:X45 E55 I55:X55 F9 H9:X9 F26:X26 G25:X25 E59:F59 H59:X59 E58:X58 E57 G57 I57:X57" unlockedFormula="1"/>
    <ignoredError sqref="F20" formula="1" unlockedFormula="1"/>
  </ignoredErrors>
  <drawing r:id="rId1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0000FF"/>
    <pageSetUpPr fitToPage="1"/>
  </sheetPr>
  <dimension ref="C2:K45"/>
  <sheetViews>
    <sheetView showGridLines="0" view="pageBreakPreview" zoomScale="150" zoomScaleNormal="100" zoomScaleSheetLayoutView="150" workbookViewId="0">
      <selection activeCell="H38" sqref="H38"/>
    </sheetView>
  </sheetViews>
  <sheetFormatPr defaultColWidth="9" defaultRowHeight="13.2" x14ac:dyDescent="0.25"/>
  <cols>
    <col min="1" max="2" width="2.77734375" style="7" customWidth="1"/>
    <col min="3" max="3" width="14.44140625" style="7" customWidth="1"/>
    <col min="4" max="4" width="20.77734375" style="7" customWidth="1"/>
    <col min="5" max="5" width="4.77734375" style="7" customWidth="1"/>
    <col min="6" max="6" width="14.44140625" style="7" customWidth="1"/>
    <col min="7" max="7" width="20.77734375" style="7" customWidth="1"/>
    <col min="8" max="8" width="13.44140625" style="7" customWidth="1"/>
    <col min="9" max="9" width="9" style="7"/>
    <col min="10" max="10" width="11.77734375" style="7" customWidth="1"/>
    <col min="11" max="11" width="2.77734375" style="7" customWidth="1"/>
    <col min="12" max="12" width="9" style="7"/>
    <col min="13" max="13" width="22" style="7" customWidth="1"/>
    <col min="14" max="16384" width="9" style="7"/>
  </cols>
  <sheetData>
    <row r="2" spans="3:10" x14ac:dyDescent="0.25">
      <c r="J2" s="42">
        <f>projname</f>
        <v>0</v>
      </c>
    </row>
    <row r="3" spans="3:10" x14ac:dyDescent="0.25">
      <c r="H3" s="34"/>
      <c r="I3" s="9" t="s">
        <v>227</v>
      </c>
      <c r="J3" s="35">
        <f>GENERAL!D7</f>
        <v>0</v>
      </c>
    </row>
    <row r="4" spans="3:10" ht="4.95" customHeight="1" x14ac:dyDescent="0.25">
      <c r="G4" s="34"/>
      <c r="H4" s="34"/>
      <c r="I4" s="34"/>
    </row>
    <row r="5" spans="3:10" ht="18" x14ac:dyDescent="0.35">
      <c r="C5" s="1149" t="s">
        <v>2586</v>
      </c>
      <c r="D5" s="139"/>
      <c r="E5" s="139"/>
      <c r="F5" s="149"/>
      <c r="G5" s="149"/>
      <c r="H5" s="44"/>
      <c r="I5" s="44"/>
    </row>
    <row r="6" spans="3:10" ht="39.75" customHeight="1" x14ac:dyDescent="0.25">
      <c r="C6" s="1866" t="s">
        <v>2585</v>
      </c>
      <c r="D6" s="1866"/>
      <c r="E6" s="1866"/>
      <c r="F6" s="1866"/>
      <c r="G6" s="1866"/>
      <c r="H6" s="1866"/>
      <c r="I6" s="1866"/>
      <c r="J6" s="1866"/>
    </row>
    <row r="7" spans="3:10" ht="54.75" customHeight="1" x14ac:dyDescent="0.25">
      <c r="C7" s="1866" t="s">
        <v>2479</v>
      </c>
      <c r="D7" s="1866"/>
      <c r="E7" s="1866"/>
      <c r="F7" s="1866"/>
      <c r="G7" s="1866"/>
      <c r="H7" s="1866"/>
      <c r="I7" s="1866"/>
      <c r="J7" s="1866"/>
    </row>
    <row r="8" spans="3:10" ht="25.2" customHeight="1" x14ac:dyDescent="0.25">
      <c r="C8" s="1866" t="s">
        <v>1052</v>
      </c>
      <c r="D8" s="1866"/>
      <c r="E8" s="1866"/>
      <c r="F8" s="1866"/>
      <c r="G8" s="1866"/>
      <c r="H8" s="1866"/>
      <c r="I8" s="1866"/>
      <c r="J8" s="1866"/>
    </row>
    <row r="9" spans="3:10" ht="27.75" customHeight="1" x14ac:dyDescent="0.25">
      <c r="C9" s="1866" t="s">
        <v>1053</v>
      </c>
      <c r="D9" s="1866"/>
      <c r="E9" s="1866"/>
      <c r="F9" s="1866"/>
      <c r="G9" s="1866"/>
      <c r="H9" s="1866"/>
      <c r="I9" s="1866"/>
      <c r="J9" s="1866"/>
    </row>
    <row r="10" spans="3:10" ht="25.2" customHeight="1" x14ac:dyDescent="0.25">
      <c r="C10" s="1866" t="s">
        <v>1054</v>
      </c>
      <c r="D10" s="1866"/>
      <c r="E10" s="1866"/>
      <c r="F10" s="1866"/>
      <c r="G10" s="1866"/>
      <c r="H10" s="1866"/>
      <c r="I10" s="1866"/>
      <c r="J10" s="1866"/>
    </row>
    <row r="11" spans="3:10" ht="25.2" customHeight="1" thickBot="1" x14ac:dyDescent="0.3">
      <c r="C11" s="1866" t="s">
        <v>1055</v>
      </c>
      <c r="D11" s="1866"/>
      <c r="E11" s="1866"/>
      <c r="F11" s="1866"/>
      <c r="G11" s="1866"/>
      <c r="H11" s="1866"/>
      <c r="I11" s="1866"/>
      <c r="J11" s="1866"/>
    </row>
    <row r="12" spans="3:10" ht="26.4" x14ac:dyDescent="0.25">
      <c r="C12" s="1988" t="s">
        <v>2588</v>
      </c>
      <c r="D12" s="1989"/>
      <c r="E12" s="150"/>
      <c r="F12" s="150" t="s">
        <v>2438</v>
      </c>
      <c r="G12" s="655" t="s">
        <v>1056</v>
      </c>
      <c r="H12" s="151"/>
      <c r="I12" s="1991" t="s">
        <v>1057</v>
      </c>
      <c r="J12" s="1992"/>
    </row>
    <row r="13" spans="3:10" x14ac:dyDescent="0.25">
      <c r="C13" s="1986"/>
      <c r="D13" s="1987"/>
      <c r="E13" s="146"/>
      <c r="F13" s="153">
        <v>0.2</v>
      </c>
      <c r="G13" s="1631">
        <f t="shared" ref="G13:G19" si="0">C13*F13</f>
        <v>0</v>
      </c>
      <c r="H13" s="151"/>
      <c r="I13" s="1993" t="s">
        <v>1058</v>
      </c>
      <c r="J13" s="1994"/>
    </row>
    <row r="14" spans="3:10" x14ac:dyDescent="0.25">
      <c r="C14" s="1986"/>
      <c r="D14" s="1987"/>
      <c r="E14" s="147"/>
      <c r="F14" s="153">
        <v>0.3</v>
      </c>
      <c r="G14" s="1631">
        <f t="shared" si="0"/>
        <v>0</v>
      </c>
      <c r="I14" s="1995"/>
      <c r="J14" s="1996"/>
    </row>
    <row r="15" spans="3:10" ht="12.75" customHeight="1" x14ac:dyDescent="0.25">
      <c r="C15" s="1986"/>
      <c r="D15" s="1987"/>
      <c r="E15" s="148"/>
      <c r="F15" s="154">
        <v>0.4</v>
      </c>
      <c r="G15" s="1632">
        <f t="shared" si="0"/>
        <v>0</v>
      </c>
      <c r="I15" s="1995"/>
      <c r="J15" s="1996"/>
    </row>
    <row r="16" spans="3:10" ht="12.75" customHeight="1" x14ac:dyDescent="0.25">
      <c r="C16" s="1986"/>
      <c r="D16" s="1987"/>
      <c r="E16" s="148"/>
      <c r="F16" s="154">
        <v>0.5</v>
      </c>
      <c r="G16" s="1632">
        <f>C16*F16</f>
        <v>0</v>
      </c>
      <c r="H16" s="151"/>
      <c r="I16" s="1995"/>
      <c r="J16" s="1996"/>
    </row>
    <row r="17" spans="3:10" ht="13.8" thickBot="1" x14ac:dyDescent="0.3">
      <c r="C17" s="1986"/>
      <c r="D17" s="1990"/>
      <c r="E17" s="148"/>
      <c r="F17" s="154">
        <v>0.6</v>
      </c>
      <c r="G17" s="1632">
        <f>C17*F17</f>
        <v>0</v>
      </c>
      <c r="I17" s="1997"/>
      <c r="J17" s="1998"/>
    </row>
    <row r="18" spans="3:10" x14ac:dyDescent="0.25">
      <c r="C18" s="1986"/>
      <c r="D18" s="1987"/>
      <c r="E18" s="148"/>
      <c r="F18" s="154">
        <v>0.7</v>
      </c>
      <c r="G18" s="1633">
        <f t="shared" si="0"/>
        <v>0</v>
      </c>
      <c r="I18" s="155"/>
      <c r="J18" s="92"/>
    </row>
    <row r="19" spans="3:10" x14ac:dyDescent="0.25">
      <c r="C19" s="1986"/>
      <c r="D19" s="1987"/>
      <c r="E19" s="148"/>
      <c r="F19" s="154">
        <v>0.8</v>
      </c>
      <c r="G19" s="1633">
        <f t="shared" si="0"/>
        <v>0</v>
      </c>
      <c r="H19" s="92"/>
      <c r="I19" s="155" t="s">
        <v>1059</v>
      </c>
      <c r="J19" s="1635">
        <f>SUM(C13:C19)</f>
        <v>0</v>
      </c>
    </row>
    <row r="20" spans="3:10" ht="13.8" thickBot="1" x14ac:dyDescent="0.3">
      <c r="C20" s="1986"/>
      <c r="D20" s="1987"/>
      <c r="E20" s="148"/>
      <c r="F20" s="148" t="s">
        <v>1060</v>
      </c>
      <c r="G20" s="1634"/>
      <c r="H20" s="92"/>
      <c r="I20" s="155" t="s">
        <v>1061</v>
      </c>
      <c r="J20" s="1635">
        <f>C20</f>
        <v>0</v>
      </c>
    </row>
    <row r="21" spans="3:10" x14ac:dyDescent="0.25">
      <c r="C21" s="156"/>
      <c r="D21" s="157"/>
      <c r="E21" s="157"/>
      <c r="F21" s="158" t="s">
        <v>1062</v>
      </c>
      <c r="G21" s="27" t="e">
        <f>SUM(G13:G19)/J19</f>
        <v>#DIV/0!</v>
      </c>
      <c r="J21"/>
    </row>
    <row r="22" spans="3:10" ht="13.8" thickBot="1" x14ac:dyDescent="0.3">
      <c r="I22" s="159" t="s">
        <v>1063</v>
      </c>
      <c r="J22" s="1635">
        <f>SUM(J19:J20)</f>
        <v>0</v>
      </c>
    </row>
    <row r="23" spans="3:10" ht="27" thickBot="1" x14ac:dyDescent="0.3">
      <c r="C23" s="160" t="s">
        <v>1064</v>
      </c>
      <c r="D23" s="161" t="s">
        <v>1065</v>
      </c>
      <c r="E23" s="124"/>
      <c r="F23" s="160" t="s">
        <v>1064</v>
      </c>
      <c r="G23" s="161" t="s">
        <v>1065</v>
      </c>
      <c r="H23" s="162"/>
      <c r="I23" s="8"/>
    </row>
    <row r="24" spans="3:10" ht="14.25" customHeight="1" thickBot="1" x14ac:dyDescent="0.3">
      <c r="C24" s="176">
        <v>10</v>
      </c>
      <c r="D24" s="177" t="s">
        <v>1066</v>
      </c>
      <c r="E24" s="163"/>
      <c r="F24" s="173"/>
      <c r="G24" s="174"/>
    </row>
    <row r="25" spans="3:10" ht="14.25" customHeight="1" thickBot="1" x14ac:dyDescent="0.3">
      <c r="C25" s="175">
        <v>9.5</v>
      </c>
      <c r="D25" s="174" t="s">
        <v>1067</v>
      </c>
      <c r="E25" s="163"/>
      <c r="F25" s="175">
        <v>4.5</v>
      </c>
      <c r="G25" s="174" t="s">
        <v>1068</v>
      </c>
      <c r="H25" s="152"/>
      <c r="I25" s="152"/>
    </row>
    <row r="26" spans="3:10" ht="14.25" customHeight="1" thickBot="1" x14ac:dyDescent="0.3">
      <c r="C26" s="175">
        <v>9</v>
      </c>
      <c r="D26" s="174" t="s">
        <v>1069</v>
      </c>
      <c r="E26" s="163"/>
      <c r="F26" s="175">
        <v>4</v>
      </c>
      <c r="G26" s="174" t="s">
        <v>1070</v>
      </c>
      <c r="H26" s="152"/>
      <c r="I26" s="152"/>
    </row>
    <row r="27" spans="3:10" ht="14.25" customHeight="1" thickBot="1" x14ac:dyDescent="0.3">
      <c r="C27" s="175">
        <v>8.5</v>
      </c>
      <c r="D27" s="174" t="s">
        <v>1071</v>
      </c>
      <c r="E27" s="163"/>
      <c r="F27" s="175">
        <v>3.5</v>
      </c>
      <c r="G27" s="174" t="s">
        <v>1072</v>
      </c>
      <c r="H27" s="152"/>
      <c r="I27" s="152"/>
    </row>
    <row r="28" spans="3:10" ht="14.25" customHeight="1" thickBot="1" x14ac:dyDescent="0.3">
      <c r="C28" s="175">
        <v>8</v>
      </c>
      <c r="D28" s="174" t="s">
        <v>1073</v>
      </c>
      <c r="E28" s="163"/>
      <c r="F28" s="175">
        <v>3</v>
      </c>
      <c r="G28" s="174" t="s">
        <v>1074</v>
      </c>
      <c r="H28" s="152"/>
      <c r="I28" s="152"/>
    </row>
    <row r="29" spans="3:10" ht="14.25" customHeight="1" thickBot="1" x14ac:dyDescent="0.3">
      <c r="C29" s="175">
        <v>7.5</v>
      </c>
      <c r="D29" s="174" t="s">
        <v>1075</v>
      </c>
      <c r="E29" s="163"/>
      <c r="F29" s="175">
        <v>2.5</v>
      </c>
      <c r="G29" s="174" t="s">
        <v>1076</v>
      </c>
      <c r="H29" s="152"/>
      <c r="I29" s="152"/>
    </row>
    <row r="30" spans="3:10" ht="14.25" customHeight="1" thickBot="1" x14ac:dyDescent="0.3">
      <c r="C30" s="175">
        <v>7</v>
      </c>
      <c r="D30" s="174" t="s">
        <v>1077</v>
      </c>
      <c r="E30" s="163"/>
      <c r="F30" s="175">
        <v>2</v>
      </c>
      <c r="G30" s="174" t="s">
        <v>1078</v>
      </c>
      <c r="H30" s="152"/>
      <c r="I30" s="152"/>
    </row>
    <row r="31" spans="3:10" ht="14.25" customHeight="1" thickBot="1" x14ac:dyDescent="0.3">
      <c r="C31" s="175">
        <v>6.5</v>
      </c>
      <c r="D31" s="174" t="s">
        <v>1079</v>
      </c>
      <c r="E31" s="163"/>
      <c r="F31" s="175">
        <v>1.5</v>
      </c>
      <c r="G31" s="174" t="s">
        <v>1080</v>
      </c>
      <c r="H31" s="152"/>
      <c r="I31" s="152"/>
    </row>
    <row r="32" spans="3:10" ht="14.25" customHeight="1" thickBot="1" x14ac:dyDescent="0.3">
      <c r="C32" s="175">
        <v>6</v>
      </c>
      <c r="D32" s="174" t="s">
        <v>1081</v>
      </c>
      <c r="E32" s="163"/>
      <c r="F32" s="175">
        <v>1</v>
      </c>
      <c r="G32" s="174" t="s">
        <v>1082</v>
      </c>
      <c r="H32" s="152"/>
      <c r="I32" s="152"/>
    </row>
    <row r="33" spans="3:11" ht="14.25" customHeight="1" thickBot="1" x14ac:dyDescent="0.3">
      <c r="C33" s="175">
        <v>5.5</v>
      </c>
      <c r="D33" s="174" t="s">
        <v>1083</v>
      </c>
      <c r="E33" s="163"/>
      <c r="F33" s="175">
        <v>0.5</v>
      </c>
      <c r="G33" s="174" t="s">
        <v>1084</v>
      </c>
      <c r="H33" s="152"/>
    </row>
    <row r="34" spans="3:11" ht="14.25" customHeight="1" thickBot="1" x14ac:dyDescent="0.3">
      <c r="C34" s="175">
        <v>5</v>
      </c>
      <c r="D34" s="174" t="s">
        <v>1085</v>
      </c>
      <c r="E34" s="163"/>
      <c r="F34" s="175">
        <v>0</v>
      </c>
      <c r="G34" s="174" t="s">
        <v>1086</v>
      </c>
      <c r="H34" s="152"/>
      <c r="I34" s="1636" t="e">
        <f>IF(G21&lt;32.01%,10,IF(G21&lt;33.51%,9.5,IF(G21&lt;35.01%,9,IF(G21&lt;36.51%,8.5,IF(G21&lt;38.01%,8,IF(G21&lt;39.51%,7.5,IF(G21&lt;41.01%,7,IF(G21&lt;42.51%,6.5,IF(G21&lt;44.01%,6,IF(G21&lt;45.51%,5.5,IF(G21&lt;47.01%,5,IF(G21&lt;48.51%,4.5,IF(G21&lt;50.01%,4,IF(G21&lt;51.01%,3.5,IF(G21&lt;52.01%,3,IF(G21&lt;53.01%,2.5,IF(G21&lt;54.01%,2,IF(G21&lt;54.51%,1.5,IF(G21&lt;55.01%,1,IF(G21&lt;55.51%,1,0))))))))))))))))))))</f>
        <v>#DIV/0!</v>
      </c>
      <c r="J34" s="100" t="s">
        <v>1033</v>
      </c>
      <c r="K34" s="164"/>
    </row>
    <row r="35" spans="3:11" x14ac:dyDescent="0.25">
      <c r="C35" s="165"/>
      <c r="D35" s="92"/>
      <c r="E35" s="92"/>
      <c r="F35" s="92"/>
      <c r="G35" s="92"/>
      <c r="H35" s="92"/>
      <c r="I35" s="152"/>
      <c r="J35" s="152"/>
    </row>
    <row r="36" spans="3:11" ht="105" customHeight="1" thickBot="1" x14ac:dyDescent="0.3">
      <c r="C36" s="1984" t="s">
        <v>1087</v>
      </c>
      <c r="D36" s="1985"/>
      <c r="E36" s="1985"/>
      <c r="F36" s="1985"/>
      <c r="G36" s="1985"/>
      <c r="H36" s="1985"/>
      <c r="I36" s="1985"/>
      <c r="J36" s="1985"/>
    </row>
    <row r="37" spans="3:11" ht="13.8" thickBot="1" x14ac:dyDescent="0.3">
      <c r="C37" s="166"/>
      <c r="D37" s="178" t="s">
        <v>1088</v>
      </c>
      <c r="E37" s="167"/>
      <c r="F37" s="1713"/>
      <c r="G37" s="152"/>
      <c r="H37" s="152"/>
      <c r="I37" s="168"/>
      <c r="J37" s="169"/>
    </row>
    <row r="38" spans="3:11" ht="13.8" thickBot="1" x14ac:dyDescent="0.3">
      <c r="C38" s="166"/>
      <c r="D38" s="170" t="s">
        <v>1089</v>
      </c>
      <c r="E38" s="170"/>
      <c r="F38" s="1637">
        <f>INCOME!F41</f>
        <v>0</v>
      </c>
      <c r="G38" s="152"/>
      <c r="H38" s="152"/>
      <c r="I38" s="99"/>
      <c r="J38" s="171"/>
    </row>
    <row r="39" spans="3:11" ht="13.8" thickBot="1" x14ac:dyDescent="0.3">
      <c r="C39" s="166"/>
      <c r="D39" s="170" t="s">
        <v>734</v>
      </c>
      <c r="E39" s="77"/>
      <c r="F39" s="1148">
        <f>IF(F37=0,0,F37/F38)</f>
        <v>0</v>
      </c>
      <c r="G39" s="152"/>
      <c r="H39" s="152"/>
      <c r="I39" s="152"/>
      <c r="J39" s="152"/>
    </row>
    <row r="40" spans="3:11" ht="13.8" thickBot="1" x14ac:dyDescent="0.3">
      <c r="C40" s="166"/>
      <c r="D40" s="152"/>
      <c r="E40" s="152"/>
      <c r="F40" s="1638"/>
      <c r="G40" s="152"/>
      <c r="H40" s="152"/>
      <c r="I40" s="152"/>
      <c r="J40" s="152"/>
    </row>
    <row r="41" spans="3:11" ht="13.8" thickBot="1" x14ac:dyDescent="0.3">
      <c r="C41" s="166"/>
      <c r="D41" s="172" t="s">
        <v>1090</v>
      </c>
      <c r="E41" s="172"/>
      <c r="F41" s="1639">
        <f>IF(F39=0,0,IF(F39&gt;0.0999,5,0))</f>
        <v>0</v>
      </c>
      <c r="G41" s="152"/>
      <c r="H41" s="152"/>
      <c r="I41" s="152"/>
      <c r="J41" s="152"/>
    </row>
    <row r="42" spans="3:11" x14ac:dyDescent="0.25">
      <c r="C42" s="166"/>
      <c r="D42" s="172"/>
      <c r="E42" s="172"/>
      <c r="F42" s="101"/>
      <c r="G42" s="152"/>
      <c r="H42" s="152"/>
      <c r="I42" s="152"/>
      <c r="J42" s="152"/>
    </row>
    <row r="43" spans="3:11" s="136" customFormat="1" ht="30" customHeight="1" thickBot="1" x14ac:dyDescent="0.3">
      <c r="C43" s="7"/>
      <c r="D43" s="7"/>
      <c r="E43" s="7"/>
      <c r="F43" s="7"/>
      <c r="G43" s="7"/>
      <c r="H43" s="7"/>
      <c r="I43" s="7"/>
      <c r="J43" s="7"/>
    </row>
    <row r="44" spans="3:11" s="136" customFormat="1" ht="12.75" customHeight="1" thickBot="1" x14ac:dyDescent="0.3">
      <c r="C44" s="7"/>
      <c r="D44" s="99" t="s">
        <v>1091</v>
      </c>
      <c r="E44" s="99"/>
      <c r="F44" s="1122" t="e">
        <f>F41+I34</f>
        <v>#DIV/0!</v>
      </c>
      <c r="G44" s="7"/>
      <c r="H44" s="7"/>
      <c r="I44" s="7"/>
      <c r="J44" s="7"/>
    </row>
    <row r="45" spans="3:11" s="136" customFormat="1" ht="12.75" customHeight="1" x14ac:dyDescent="0.25">
      <c r="C45" s="7"/>
      <c r="D45" s="7"/>
      <c r="E45" s="7"/>
      <c r="F45" s="7"/>
      <c r="G45" s="7"/>
      <c r="H45" s="7"/>
      <c r="I45" s="7"/>
      <c r="J45" s="7"/>
    </row>
  </sheetData>
  <sheetProtection algorithmName="SHA-512" hashValue="4plgXBfU5ZkBAycbpbrCMedyioI7G1K5gTDhoL114AsM4a6Gy5wVDLPrtkjKdGr0PYTnYLXPNkRbV7HPb8OU9w==" saltValue="CbYBnZunS4HeJYg8IAsunw==" spinCount="100000" sheet="1" objects="1" scenarios="1"/>
  <mergeCells count="18">
    <mergeCell ref="C6:J6"/>
    <mergeCell ref="C7:J7"/>
    <mergeCell ref="C8:J8"/>
    <mergeCell ref="C9:J9"/>
    <mergeCell ref="C10:J10"/>
    <mergeCell ref="C11:J11"/>
    <mergeCell ref="C36:J36"/>
    <mergeCell ref="C13:D13"/>
    <mergeCell ref="C18:D18"/>
    <mergeCell ref="C19:D19"/>
    <mergeCell ref="C12:D12"/>
    <mergeCell ref="C14:D14"/>
    <mergeCell ref="C15:D15"/>
    <mergeCell ref="C16:D16"/>
    <mergeCell ref="C17:D17"/>
    <mergeCell ref="C20:D20"/>
    <mergeCell ref="I12:J12"/>
    <mergeCell ref="I13:J17"/>
  </mergeCells>
  <pageMargins left="0.25" right="0.25" top="0.25" bottom="0.25" header="0.25" footer="0.25"/>
  <pageSetup scale="92" orientation="portrait" useFirstPageNumber="1" r:id="rId1"/>
  <headerFooter scaleWithDoc="0" alignWithMargins="0"/>
  <ignoredErrors>
    <ignoredError sqref="I34 J2:J3" unlocked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rgb="FF0000FF"/>
    <pageSetUpPr fitToPage="1"/>
  </sheetPr>
  <dimension ref="B2:N49"/>
  <sheetViews>
    <sheetView showGridLines="0" view="pageBreakPreview" zoomScaleNormal="100" zoomScaleSheetLayoutView="100" workbookViewId="0">
      <selection activeCell="N14" sqref="N14"/>
    </sheetView>
  </sheetViews>
  <sheetFormatPr defaultColWidth="10.109375" defaultRowHeight="13.2" x14ac:dyDescent="0.25"/>
  <cols>
    <col min="1" max="1" width="2.77734375" style="7" customWidth="1"/>
    <col min="2" max="2" width="5.109375" style="7" customWidth="1"/>
    <col min="3" max="3" width="49.77734375" style="7" customWidth="1"/>
    <col min="4" max="4" width="19" style="7" customWidth="1"/>
    <col min="5" max="5" width="43.109375" style="7" customWidth="1"/>
    <col min="6" max="6" width="24.109375" style="7" customWidth="1"/>
    <col min="7" max="7" width="16.77734375" style="92" customWidth="1"/>
    <col min="8" max="8" width="3.109375" style="92" customWidth="1"/>
    <col min="9" max="9" width="35.44140625" style="92" customWidth="1"/>
    <col min="10" max="10" width="22" style="152" customWidth="1"/>
    <col min="11" max="11" width="17.77734375" style="152" customWidth="1"/>
    <col min="12" max="13" width="17.77734375" style="7" customWidth="1"/>
    <col min="14" max="14" width="15.44140625" style="7" customWidth="1"/>
    <col min="15" max="16384" width="10.109375" style="7"/>
  </cols>
  <sheetData>
    <row r="2" spans="2:14" ht="18" x14ac:dyDescent="0.25">
      <c r="B2" s="1150" t="s">
        <v>2590</v>
      </c>
      <c r="C2" s="656"/>
      <c r="D2" s="656"/>
      <c r="E2" s="656"/>
      <c r="F2" s="656"/>
      <c r="G2" s="656"/>
      <c r="H2" s="656"/>
      <c r="I2" s="1150"/>
      <c r="J2" s="1152"/>
      <c r="K2" s="234"/>
      <c r="L2" s="234"/>
      <c r="M2" s="234"/>
      <c r="N2" s="234"/>
    </row>
    <row r="3" spans="2:14" ht="12.75" customHeight="1" x14ac:dyDescent="0.3">
      <c r="B3" s="36"/>
      <c r="C3" s="37"/>
      <c r="D3" s="657"/>
      <c r="E3" s="1153"/>
      <c r="F3" s="18"/>
      <c r="G3" s="42"/>
      <c r="H3" s="1151"/>
      <c r="I3" s="1151"/>
      <c r="J3" s="1154"/>
      <c r="K3" s="7"/>
      <c r="N3" s="42">
        <f>projname</f>
        <v>0</v>
      </c>
    </row>
    <row r="4" spans="2:14" ht="12.75" customHeight="1" x14ac:dyDescent="0.3">
      <c r="D4" s="1155"/>
      <c r="E4" s="1155"/>
      <c r="F4" s="9"/>
      <c r="G4" s="1151"/>
      <c r="H4" s="1151"/>
      <c r="I4" s="1156"/>
      <c r="J4" s="7"/>
      <c r="M4" s="1157" t="s">
        <v>227</v>
      </c>
      <c r="N4" s="1158">
        <f>GENERAL!D7</f>
        <v>0</v>
      </c>
    </row>
    <row r="5" spans="2:14" ht="13.8" x14ac:dyDescent="0.25">
      <c r="B5" s="1117" t="s">
        <v>1092</v>
      </c>
      <c r="C5" s="180"/>
      <c r="D5" s="152"/>
      <c r="E5" s="152"/>
      <c r="F5" s="152"/>
      <c r="G5" s="7"/>
      <c r="H5" s="7"/>
    </row>
    <row r="6" spans="2:14" ht="15.6" x14ac:dyDescent="0.25">
      <c r="B6" s="1159" t="s">
        <v>1093</v>
      </c>
      <c r="C6" s="187"/>
      <c r="D6" s="152"/>
      <c r="E6" s="152"/>
      <c r="F6" s="152"/>
      <c r="G6" s="180"/>
      <c r="H6" s="181"/>
      <c r="I6" s="182" t="s">
        <v>1094</v>
      </c>
      <c r="J6" s="183"/>
      <c r="K6" s="183"/>
      <c r="L6" s="183"/>
      <c r="M6" s="1160"/>
      <c r="N6" s="26"/>
    </row>
    <row r="7" spans="2:14" ht="13.8" x14ac:dyDescent="0.25">
      <c r="B7" s="878"/>
      <c r="C7" s="1714" t="s">
        <v>2772</v>
      </c>
      <c r="D7" s="1162"/>
      <c r="E7" s="1163"/>
      <c r="F7" s="1164"/>
      <c r="G7" s="180"/>
      <c r="H7" s="181"/>
      <c r="I7" s="1840" t="s">
        <v>1096</v>
      </c>
      <c r="J7" s="1840"/>
      <c r="K7" s="1840"/>
      <c r="L7" s="1840"/>
      <c r="M7" s="1195"/>
      <c r="N7" s="26"/>
    </row>
    <row r="8" spans="2:14" ht="13.8" x14ac:dyDescent="0.25">
      <c r="B8" s="878" t="s">
        <v>1095</v>
      </c>
      <c r="C8" s="1161"/>
      <c r="D8" s="1162"/>
      <c r="E8" s="1163"/>
      <c r="F8" s="1164"/>
      <c r="G8" s="9"/>
      <c r="H8" s="1166"/>
      <c r="I8" s="1838" t="s">
        <v>1098</v>
      </c>
      <c r="J8" s="1841" t="s">
        <v>1099</v>
      </c>
      <c r="K8" s="1841" t="s">
        <v>1100</v>
      </c>
      <c r="L8" s="1841" t="s">
        <v>2646</v>
      </c>
      <c r="M8" s="1838" t="s">
        <v>240</v>
      </c>
      <c r="N8" s="26"/>
    </row>
    <row r="9" spans="2:14" ht="13.8" x14ac:dyDescent="0.25">
      <c r="B9" s="878" t="s">
        <v>1097</v>
      </c>
      <c r="C9" s="1165"/>
      <c r="D9" s="1165"/>
      <c r="E9" s="1163"/>
      <c r="F9" s="1164"/>
      <c r="G9" s="9"/>
      <c r="H9" s="1166"/>
      <c r="I9" s="1839"/>
      <c r="J9" s="1842"/>
      <c r="K9" s="1842"/>
      <c r="L9" s="1842"/>
      <c r="M9" s="1839"/>
      <c r="N9" s="1195"/>
    </row>
    <row r="10" spans="2:14" ht="13.8" x14ac:dyDescent="0.25">
      <c r="B10" s="878" t="s">
        <v>2771</v>
      </c>
      <c r="C10" s="1165"/>
      <c r="D10" s="1165"/>
      <c r="E10" s="1163"/>
      <c r="F10" s="1164"/>
      <c r="G10" s="9"/>
      <c r="H10" s="1166"/>
      <c r="I10" s="1196"/>
      <c r="J10" s="1197"/>
      <c r="K10" s="1197"/>
      <c r="L10" s="1196"/>
      <c r="M10" s="1196"/>
      <c r="N10" s="26"/>
    </row>
    <row r="11" spans="2:14" ht="12.75" customHeight="1" x14ac:dyDescent="0.25">
      <c r="B11" s="184"/>
      <c r="C11" s="185"/>
      <c r="D11" s="185"/>
      <c r="E11" s="186"/>
      <c r="F11" s="186"/>
      <c r="G11" s="9"/>
      <c r="H11" s="1166"/>
      <c r="I11" s="1198" t="s">
        <v>1102</v>
      </c>
      <c r="J11" s="1199"/>
      <c r="K11" s="1199"/>
      <c r="L11" s="1199"/>
      <c r="M11" s="1200">
        <f>SUM(J11:L11)</f>
        <v>0</v>
      </c>
      <c r="N11" s="1195"/>
    </row>
    <row r="12" spans="2:14" ht="12.75" customHeight="1" x14ac:dyDescent="0.25">
      <c r="B12" s="1159" t="s">
        <v>1101</v>
      </c>
      <c r="C12" s="187"/>
      <c r="D12" s="187"/>
      <c r="F12" s="186"/>
      <c r="G12" s="9"/>
      <c r="H12" s="1166"/>
      <c r="I12" s="1198" t="s">
        <v>1104</v>
      </c>
      <c r="J12" s="1201"/>
      <c r="K12" s="1201"/>
      <c r="L12" s="1201"/>
      <c r="M12" s="1640"/>
      <c r="N12" s="1195"/>
    </row>
    <row r="13" spans="2:14" ht="13.8" x14ac:dyDescent="0.25">
      <c r="B13" s="1187" t="s">
        <v>2591</v>
      </c>
      <c r="C13" s="1188"/>
      <c r="D13" s="879"/>
      <c r="E13" s="880" t="s">
        <v>1103</v>
      </c>
      <c r="F13" s="1167"/>
      <c r="G13" s="1168"/>
      <c r="H13" s="1166"/>
      <c r="I13" s="1198" t="s">
        <v>1106</v>
      </c>
      <c r="J13" s="1641">
        <f>J11*J12</f>
        <v>0</v>
      </c>
      <c r="K13" s="1641">
        <f>K11*K12</f>
        <v>0</v>
      </c>
      <c r="L13" s="1641">
        <f>L11*L12</f>
        <v>0</v>
      </c>
      <c r="M13" s="1200">
        <f>SUM(J13:L13)</f>
        <v>0</v>
      </c>
      <c r="N13" s="26"/>
    </row>
    <row r="14" spans="2:14" ht="13.8" x14ac:dyDescent="0.25">
      <c r="B14" s="1189" t="s">
        <v>1105</v>
      </c>
      <c r="C14" s="1190"/>
      <c r="D14" s="1169"/>
      <c r="E14" s="1170"/>
      <c r="F14" s="658">
        <f>IF(F8="yes",F13-F13/1.3,0)</f>
        <v>0</v>
      </c>
      <c r="G14" s="1171"/>
      <c r="H14" s="1166"/>
      <c r="I14" s="1198" t="s">
        <v>2729</v>
      </c>
      <c r="J14" s="1201"/>
      <c r="K14" s="1201"/>
      <c r="L14" s="1201"/>
      <c r="M14" s="1640"/>
      <c r="N14" s="26"/>
    </row>
    <row r="15" spans="2:14" ht="13.8" x14ac:dyDescent="0.25">
      <c r="B15" s="1189" t="s">
        <v>1107</v>
      </c>
      <c r="C15" s="1190"/>
      <c r="D15" s="1169"/>
      <c r="E15" s="1170"/>
      <c r="F15" s="1172">
        <f>F13-F14</f>
        <v>0</v>
      </c>
      <c r="G15" s="1173"/>
      <c r="H15" s="1166"/>
      <c r="I15" s="1198" t="s">
        <v>1109</v>
      </c>
      <c r="J15" s="1641">
        <f>J13*J14</f>
        <v>0</v>
      </c>
      <c r="K15" s="1641">
        <f>K13*K14</f>
        <v>0</v>
      </c>
      <c r="L15" s="1641">
        <f>L13*L14</f>
        <v>0</v>
      </c>
      <c r="M15" s="1202">
        <f>SUM(J15:L15)</f>
        <v>0</v>
      </c>
      <c r="N15" s="26"/>
    </row>
    <row r="16" spans="2:14" ht="13.8" x14ac:dyDescent="0.25">
      <c r="B16" s="1189" t="s">
        <v>1108</v>
      </c>
      <c r="C16" s="1190"/>
      <c r="D16" s="1169"/>
      <c r="E16" s="1170"/>
      <c r="F16" s="658">
        <v>10</v>
      </c>
      <c r="G16" s="1173"/>
      <c r="H16" s="1166"/>
      <c r="I16" s="1198" t="s">
        <v>2730</v>
      </c>
      <c r="J16" s="1642">
        <f>INCOME!F41</f>
        <v>0</v>
      </c>
      <c r="K16" s="1642">
        <f>$J$16</f>
        <v>0</v>
      </c>
      <c r="L16" s="1642">
        <f>$J$16</f>
        <v>0</v>
      </c>
      <c r="M16" s="1203">
        <f>$J$16</f>
        <v>0</v>
      </c>
      <c r="N16" s="26"/>
    </row>
    <row r="17" spans="2:14" s="1176" customFormat="1" ht="13.8" x14ac:dyDescent="0.25">
      <c r="B17" s="1189" t="s">
        <v>1110</v>
      </c>
      <c r="C17" s="1190"/>
      <c r="D17" s="1169"/>
      <c r="E17" s="881" t="s">
        <v>2656</v>
      </c>
      <c r="F17" s="1174">
        <v>0.84</v>
      </c>
      <c r="G17" s="9"/>
      <c r="H17" s="1166"/>
      <c r="I17" s="1198" t="s">
        <v>2728</v>
      </c>
      <c r="J17" s="1641" t="str">
        <f>IFERROR(IF(J16=0,"",(J15/J16/J14)),0)</f>
        <v/>
      </c>
      <c r="K17" s="1641" t="str">
        <f>IFERROR(IF(K16=0,"",(K15/K16/K14)),0)</f>
        <v/>
      </c>
      <c r="L17" s="1641" t="str">
        <f>IFERROR(IF(L16=0,"",(L15/L16/L14)),0)</f>
        <v/>
      </c>
      <c r="M17" s="1200">
        <f>SUM(J17:L17)</f>
        <v>0</v>
      </c>
      <c r="N17" s="26"/>
    </row>
    <row r="18" spans="2:14" ht="13.8" x14ac:dyDescent="0.25">
      <c r="B18" s="1189" t="s">
        <v>1111</v>
      </c>
      <c r="C18" s="1190"/>
      <c r="D18" s="1169"/>
      <c r="E18" s="1170"/>
      <c r="F18" s="658">
        <f>F15*F16*F17</f>
        <v>0</v>
      </c>
      <c r="G18" s="1175"/>
      <c r="H18" s="1166"/>
      <c r="I18" s="1204"/>
      <c r="J18" s="1177" t="s">
        <v>1113</v>
      </c>
      <c r="K18" s="1177" t="s">
        <v>2455</v>
      </c>
      <c r="L18" s="1177"/>
      <c r="M18" s="1195"/>
      <c r="N18" s="1195"/>
    </row>
    <row r="19" spans="2:14" ht="13.8" x14ac:dyDescent="0.25">
      <c r="B19" s="1189" t="s">
        <v>1112</v>
      </c>
      <c r="C19" s="1190"/>
      <c r="D19" s="1169"/>
      <c r="E19" s="1170"/>
      <c r="F19" s="658">
        <f>F18</f>
        <v>0</v>
      </c>
      <c r="G19" s="9"/>
      <c r="H19" s="1166"/>
      <c r="I19" s="1176"/>
      <c r="J19" s="1205"/>
      <c r="K19" s="1206"/>
      <c r="L19" s="1195"/>
      <c r="M19" s="1176"/>
      <c r="N19" s="1195"/>
    </row>
    <row r="20" spans="2:14" ht="13.8" x14ac:dyDescent="0.25">
      <c r="B20" s="75"/>
      <c r="C20" s="75"/>
      <c r="D20" s="75"/>
      <c r="E20" s="75"/>
      <c r="F20" s="9"/>
      <c r="G20" s="1168"/>
      <c r="H20" s="1166"/>
      <c r="I20" s="1847" t="s">
        <v>1115</v>
      </c>
      <c r="J20" s="1205"/>
      <c r="K20" s="1205"/>
      <c r="L20" s="1195"/>
      <c r="M20" s="1195"/>
      <c r="N20" s="1195"/>
    </row>
    <row r="21" spans="2:14" ht="16.2" thickBot="1" x14ac:dyDescent="0.3">
      <c r="B21" s="1159" t="s">
        <v>1114</v>
      </c>
      <c r="C21" s="187"/>
      <c r="D21" s="187"/>
      <c r="E21" s="1178"/>
      <c r="F21" s="9"/>
      <c r="G21" s="1168"/>
      <c r="H21" s="1166"/>
      <c r="I21" s="1848"/>
      <c r="J21" s="1195"/>
      <c r="K21" s="1195"/>
      <c r="L21" s="1205"/>
      <c r="M21" s="1195"/>
      <c r="N21" s="1195"/>
    </row>
    <row r="22" spans="2:14" ht="16.2" thickBot="1" x14ac:dyDescent="0.3">
      <c r="B22" s="1644" t="str">
        <f>SOURCES!C29</f>
        <v>Rental Housing Program Funds</v>
      </c>
      <c r="C22" s="1645"/>
      <c r="D22" s="1646"/>
      <c r="E22" s="1647"/>
      <c r="F22" s="1184">
        <f>SOURCES!M29</f>
        <v>0</v>
      </c>
      <c r="G22" s="32"/>
      <c r="H22" s="1166"/>
      <c r="I22" s="1207"/>
      <c r="J22" s="1208"/>
      <c r="K22" s="1205"/>
      <c r="L22" s="1205"/>
      <c r="M22" s="1709" t="s">
        <v>2769</v>
      </c>
      <c r="N22" s="1643">
        <f>IF(IF(I22="YES",((M17/600)*10),((M17/300)*10))&lt;=10,IF(I22="YES",((M17/600)*10),((M17/300)*10)),10)</f>
        <v>0</v>
      </c>
    </row>
    <row r="23" spans="2:14" ht="13.8" x14ac:dyDescent="0.25">
      <c r="B23" s="1644" t="str">
        <f>SOURCES!C30</f>
        <v>Rental Housing Works</v>
      </c>
      <c r="C23" s="1645"/>
      <c r="D23" s="1646"/>
      <c r="E23" s="1647"/>
      <c r="F23" s="658">
        <f>SOURCES!M30</f>
        <v>0</v>
      </c>
      <c r="G23" s="32"/>
      <c r="H23" s="1166"/>
      <c r="I23" s="1204"/>
      <c r="J23" s="1209"/>
      <c r="K23" s="1205"/>
      <c r="L23" s="1205"/>
      <c r="M23" s="1210"/>
      <c r="N23" s="1195"/>
    </row>
    <row r="24" spans="2:14" ht="13.8" x14ac:dyDescent="0.25">
      <c r="B24" s="1644" t="str">
        <f>SOURCES!C31</f>
        <v>Housing Trust Fund</v>
      </c>
      <c r="C24" s="1645"/>
      <c r="D24" s="1646"/>
      <c r="E24" s="1647"/>
      <c r="F24" s="658">
        <f>SOURCES!M31</f>
        <v>0</v>
      </c>
      <c r="G24" s="32"/>
      <c r="H24" s="1166"/>
      <c r="I24" s="1204"/>
      <c r="J24" s="1195"/>
      <c r="K24" s="1210"/>
      <c r="L24" s="1205"/>
      <c r="M24" s="1210"/>
      <c r="N24" s="1195"/>
    </row>
    <row r="25" spans="2:14" ht="13.8" x14ac:dyDescent="0.25">
      <c r="B25" s="1644" t="str">
        <f>SOURCES!C32</f>
        <v>HOME Funds (DHCD)</v>
      </c>
      <c r="C25" s="1645"/>
      <c r="D25" s="1646"/>
      <c r="E25" s="1647"/>
      <c r="F25" s="658">
        <f>SOURCES!M32</f>
        <v>0</v>
      </c>
      <c r="G25" s="32"/>
      <c r="I25" s="1849" t="s">
        <v>2775</v>
      </c>
      <c r="J25" s="1850"/>
      <c r="K25" s="1850"/>
      <c r="L25" s="1850"/>
      <c r="M25" s="1851"/>
      <c r="N25" s="1195"/>
    </row>
    <row r="26" spans="2:14" ht="15.75" customHeight="1" x14ac:dyDescent="0.25">
      <c r="B26" s="1644" t="str">
        <f>SOURCES!C33</f>
        <v>HOME ARP (DHCD)</v>
      </c>
      <c r="C26" s="1645"/>
      <c r="D26" s="1646"/>
      <c r="E26" s="1647"/>
      <c r="F26" s="658">
        <f>SOURCES!M33</f>
        <v>0</v>
      </c>
      <c r="G26" s="32"/>
      <c r="H26" s="1168"/>
      <c r="I26" s="1852"/>
      <c r="J26" s="1853"/>
      <c r="K26" s="1853"/>
      <c r="L26" s="1853"/>
      <c r="M26" s="1854"/>
      <c r="N26" s="1195"/>
    </row>
    <row r="27" spans="2:14" ht="62.25" customHeight="1" x14ac:dyDescent="0.25">
      <c r="B27" s="1644" t="str">
        <f>SOURCES!C34</f>
        <v>Partnership Rental Housing Program Funds</v>
      </c>
      <c r="C27" s="1645"/>
      <c r="D27" s="1646"/>
      <c r="E27" s="1476"/>
      <c r="F27" s="658">
        <f>SOURCES!M34</f>
        <v>0</v>
      </c>
      <c r="G27" s="32"/>
      <c r="H27" s="1168"/>
      <c r="I27" s="1855"/>
      <c r="J27" s="1856"/>
      <c r="K27" s="1856"/>
      <c r="L27" s="1856"/>
      <c r="M27" s="1857"/>
      <c r="N27" s="1195"/>
    </row>
    <row r="28" spans="2:14" ht="27.6" x14ac:dyDescent="0.25">
      <c r="B28" s="1843" t="s">
        <v>2592</v>
      </c>
      <c r="C28" s="1844"/>
      <c r="D28" s="1844"/>
      <c r="E28" s="1191" t="s">
        <v>2593</v>
      </c>
      <c r="F28" s="1179"/>
      <c r="G28" s="32"/>
      <c r="I28" s="39"/>
      <c r="J28" s="39"/>
      <c r="K28" s="39"/>
      <c r="L28" s="39"/>
      <c r="M28" s="39"/>
    </row>
    <row r="29" spans="2:14" ht="13.8" x14ac:dyDescent="0.25">
      <c r="B29" s="1845" t="s">
        <v>1116</v>
      </c>
      <c r="C29" s="1845"/>
      <c r="D29" s="1845"/>
      <c r="E29" s="1845"/>
      <c r="F29" s="659">
        <f>SUM(F22:F28)</f>
        <v>0</v>
      </c>
      <c r="I29" s="39"/>
      <c r="J29" s="39"/>
      <c r="K29" s="39"/>
      <c r="L29" s="39"/>
      <c r="M29" s="39"/>
    </row>
    <row r="30" spans="2:14" x14ac:dyDescent="0.25">
      <c r="H30" s="1166"/>
    </row>
    <row r="31" spans="2:14" ht="15.6" x14ac:dyDescent="0.25">
      <c r="B31" s="1159" t="s">
        <v>1117</v>
      </c>
      <c r="C31" s="185"/>
      <c r="D31" s="185"/>
      <c r="E31" s="185"/>
      <c r="G31" s="9"/>
      <c r="H31" s="1166"/>
    </row>
    <row r="32" spans="2:14" ht="13.8" x14ac:dyDescent="0.25">
      <c r="B32" s="1846" t="s">
        <v>1118</v>
      </c>
      <c r="C32" s="1846"/>
      <c r="D32" s="1846"/>
      <c r="E32" s="1846"/>
      <c r="F32" s="659">
        <f>F19+F29</f>
        <v>0</v>
      </c>
      <c r="G32" s="9"/>
      <c r="H32" s="1166"/>
    </row>
    <row r="33" spans="2:11" x14ac:dyDescent="0.25">
      <c r="G33" s="9"/>
      <c r="H33" s="1166"/>
    </row>
    <row r="34" spans="2:11" ht="15.6" x14ac:dyDescent="0.25">
      <c r="B34" s="1159" t="s">
        <v>1119</v>
      </c>
      <c r="C34" s="1159"/>
      <c r="D34" s="1159"/>
      <c r="E34" s="1159"/>
      <c r="F34" s="9"/>
      <c r="G34" s="9"/>
      <c r="H34" s="1166"/>
    </row>
    <row r="35" spans="2:11" ht="13.8" x14ac:dyDescent="0.25">
      <c r="B35" s="1189" t="s">
        <v>1120</v>
      </c>
      <c r="C35" s="1192"/>
      <c r="D35" s="1180"/>
      <c r="E35" s="1170"/>
      <c r="F35" s="1181">
        <f>'INCOME TARGETING'!J19</f>
        <v>0</v>
      </c>
      <c r="G35" s="1182"/>
      <c r="H35" s="1166"/>
      <c r="I35" s="9"/>
      <c r="J35" s="9"/>
      <c r="K35" s="9"/>
    </row>
    <row r="36" spans="2:11" ht="13.8" x14ac:dyDescent="0.25">
      <c r="B36" s="1189" t="s">
        <v>1063</v>
      </c>
      <c r="C36" s="1192"/>
      <c r="D36" s="1180"/>
      <c r="E36" s="1170"/>
      <c r="F36" s="1181">
        <f>'INCOME TARGETING'!J22</f>
        <v>0</v>
      </c>
      <c r="G36" s="1168"/>
      <c r="H36" s="1166"/>
      <c r="I36" s="9"/>
      <c r="J36" s="9"/>
      <c r="K36" s="9"/>
    </row>
    <row r="37" spans="2:11" ht="13.8" x14ac:dyDescent="0.25">
      <c r="B37" s="1189" t="s">
        <v>1121</v>
      </c>
      <c r="C37" s="1192"/>
      <c r="D37" s="1180"/>
      <c r="E37" s="1170"/>
      <c r="F37" s="1183">
        <f>IF(F36=0,,F35/F36)</f>
        <v>0</v>
      </c>
      <c r="G37" s="1168"/>
      <c r="H37" s="1166"/>
      <c r="I37" s="9"/>
      <c r="J37" s="9"/>
      <c r="K37" s="9"/>
    </row>
    <row r="38" spans="2:11" ht="13.8" x14ac:dyDescent="0.25">
      <c r="B38" s="1189" t="s">
        <v>1122</v>
      </c>
      <c r="C38" s="1192"/>
      <c r="D38" s="1180"/>
      <c r="E38" s="1170"/>
      <c r="F38" s="1184">
        <f>USES!J164</f>
        <v>0</v>
      </c>
      <c r="G38" s="9"/>
      <c r="H38" s="1166"/>
      <c r="I38" s="9"/>
      <c r="J38" s="10"/>
      <c r="K38" s="181"/>
    </row>
    <row r="39" spans="2:11" ht="13.8" x14ac:dyDescent="0.25">
      <c r="B39" s="1189" t="s">
        <v>1123</v>
      </c>
      <c r="C39" s="1192"/>
      <c r="D39" s="1180"/>
      <c r="E39" s="1170"/>
      <c r="F39" s="1184">
        <f>F37*F38</f>
        <v>0</v>
      </c>
      <c r="G39" s="9"/>
      <c r="H39" s="1166"/>
      <c r="I39" s="9"/>
      <c r="J39" s="10"/>
      <c r="K39" s="181"/>
    </row>
    <row r="40" spans="2:11" ht="13.8" x14ac:dyDescent="0.25">
      <c r="B40" s="1189" t="s">
        <v>1124</v>
      </c>
      <c r="C40" s="1192"/>
      <c r="D40" s="1180"/>
      <c r="E40" s="1170"/>
      <c r="F40" s="1185">
        <f>IF(F32=0,0%,(F39-F32)/F39)</f>
        <v>0</v>
      </c>
      <c r="G40" s="9"/>
    </row>
    <row r="42" spans="2:11" x14ac:dyDescent="0.25">
      <c r="H42" s="1166"/>
      <c r="I42" s="9"/>
      <c r="J42" s="10"/>
      <c r="K42" s="181"/>
    </row>
    <row r="43" spans="2:11" ht="13.8" x14ac:dyDescent="0.25">
      <c r="B43" s="1178"/>
      <c r="C43" s="1178"/>
      <c r="D43" s="1178"/>
      <c r="E43" s="1193" t="s">
        <v>1125</v>
      </c>
      <c r="F43" s="1194" t="str">
        <f>IF(F9="no",MIN(15,F40/0.06667),"0")</f>
        <v>0</v>
      </c>
      <c r="G43" s="9"/>
      <c r="H43" s="1166"/>
      <c r="I43" s="9"/>
      <c r="J43" s="10"/>
      <c r="K43" s="181"/>
    </row>
    <row r="44" spans="2:11" ht="13.8" x14ac:dyDescent="0.25">
      <c r="B44" s="1178"/>
      <c r="C44" s="1178"/>
      <c r="D44" s="1178"/>
      <c r="E44" s="1193" t="s">
        <v>1126</v>
      </c>
      <c r="F44" s="1194" t="str">
        <f>IF(F9="yes",MIN(15,F40/0.06),"0")</f>
        <v>0</v>
      </c>
      <c r="G44" s="9"/>
      <c r="H44" s="1166"/>
      <c r="I44" s="9"/>
      <c r="J44" s="10"/>
      <c r="K44" s="181"/>
    </row>
    <row r="45" spans="2:11" x14ac:dyDescent="0.25">
      <c r="B45" s="1178"/>
      <c r="C45" s="1178"/>
      <c r="D45" s="1178"/>
      <c r="E45" s="1178"/>
      <c r="F45" s="88"/>
      <c r="G45" s="9"/>
      <c r="H45" s="1166"/>
      <c r="I45" s="9"/>
      <c r="J45" s="10"/>
      <c r="K45" s="7"/>
    </row>
    <row r="46" spans="2:11" ht="16.2" thickBot="1" x14ac:dyDescent="0.3">
      <c r="B46" s="1178"/>
      <c r="C46" s="1178"/>
      <c r="D46" s="1178"/>
      <c r="E46" s="1178"/>
      <c r="F46" s="1186"/>
      <c r="G46" s="1708"/>
      <c r="J46" s="10"/>
      <c r="K46" s="7"/>
    </row>
    <row r="47" spans="2:11" ht="16.2" thickBot="1" x14ac:dyDescent="0.3">
      <c r="F47" s="1709" t="s">
        <v>2773</v>
      </c>
      <c r="G47" s="1710">
        <f>IF(F7="Yes",2,0)</f>
        <v>0</v>
      </c>
      <c r="J47" s="10"/>
      <c r="K47" s="7"/>
    </row>
    <row r="48" spans="2:11" ht="16.2" thickBot="1" x14ac:dyDescent="0.3">
      <c r="F48" s="1711" t="s">
        <v>2768</v>
      </c>
      <c r="G48" s="1710" t="str">
        <f>IF(F9="No",F43,F44)</f>
        <v>0</v>
      </c>
      <c r="J48" s="10"/>
      <c r="K48" s="7"/>
    </row>
    <row r="49" spans="6:7" ht="16.2" thickBot="1" x14ac:dyDescent="0.3">
      <c r="F49" s="1709" t="s">
        <v>2774</v>
      </c>
      <c r="G49" s="1710">
        <f>SUM(G47,G48)</f>
        <v>0</v>
      </c>
    </row>
  </sheetData>
  <sheetProtection algorithmName="SHA-512" hashValue="CH9rucKYJWGU+vqt5jJYrjUzgZ047oFQ0SxBwFzAA3uUG/3TrXMjBVy46WQrhOupVHgpw33QL9zU2qUvvZNdzw==" saltValue="VXeih0yT7oGYN3MiXYQIlA==" spinCount="100000" sheet="1" objects="1" scenarios="1"/>
  <mergeCells count="11">
    <mergeCell ref="B28:D28"/>
    <mergeCell ref="B29:E29"/>
    <mergeCell ref="B32:E32"/>
    <mergeCell ref="I20:I21"/>
    <mergeCell ref="I25:M27"/>
    <mergeCell ref="M8:M9"/>
    <mergeCell ref="I7:L7"/>
    <mergeCell ref="I8:I9"/>
    <mergeCell ref="J8:J9"/>
    <mergeCell ref="K8:K9"/>
    <mergeCell ref="L8:L9"/>
  </mergeCells>
  <dataValidations count="3">
    <dataValidation type="list" allowBlank="1" showInputMessage="1" showErrorMessage="1" sqref="F9" xr:uid="{00000000-0002-0000-0E00-000000000000}">
      <formula1>"  Yes, No"</formula1>
    </dataValidation>
    <dataValidation type="list" allowBlank="1" showInputMessage="1" showErrorMessage="1" sqref="F10 F7:F8" xr:uid="{00000000-0002-0000-0E00-000001000000}">
      <formula1>" Yes, No"</formula1>
    </dataValidation>
    <dataValidation type="list" allowBlank="1" showInputMessage="1" showErrorMessage="1" sqref="I22" xr:uid="{00000000-0002-0000-0E00-000003000000}">
      <formula1>"Yes, No"</formula1>
    </dataValidation>
  </dataValidations>
  <pageMargins left="0.25" right="0.25" top="0.25" bottom="0.25" header="0.25" footer="0.25"/>
  <pageSetup scale="80" fitToWidth="0" orientation="landscape" useFirstPageNumber="1" r:id="rId1"/>
  <headerFooter scaleWithDoc="0" alignWithMargins="0"/>
  <ignoredErrors>
    <ignoredError sqref="F22:F27 N3:N4 J15:K16 L15:L16 J13:L13" unlockedFormula="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0000FF"/>
    <pageSetUpPr fitToPage="1"/>
  </sheetPr>
  <dimension ref="C2:Q59"/>
  <sheetViews>
    <sheetView showGridLines="0" view="pageBreakPreview" zoomScale="130" zoomScaleNormal="100" zoomScaleSheetLayoutView="130" workbookViewId="0">
      <selection activeCell="L5" sqref="L5"/>
    </sheetView>
  </sheetViews>
  <sheetFormatPr defaultColWidth="9.109375" defaultRowHeight="15.6" x14ac:dyDescent="0.3"/>
  <cols>
    <col min="1" max="2" width="2.77734375" style="179" customWidth="1"/>
    <col min="3" max="3" width="3.44140625" style="188" customWidth="1"/>
    <col min="4" max="4" width="51.109375" style="179" customWidth="1"/>
    <col min="5" max="6" width="19.44140625" style="189" customWidth="1"/>
    <col min="7" max="7" width="26.44140625" style="189" customWidth="1"/>
    <col min="8" max="8" width="5.44140625" style="189" customWidth="1"/>
    <col min="9" max="9" width="16.44140625" style="708" hidden="1" customWidth="1"/>
    <col min="10" max="10" width="16.44140625" style="189" hidden="1" customWidth="1"/>
    <col min="11" max="16384" width="9.109375" style="179"/>
  </cols>
  <sheetData>
    <row r="2" spans="3:17" x14ac:dyDescent="0.3">
      <c r="H2" s="42"/>
    </row>
    <row r="3" spans="3:17" ht="18" x14ac:dyDescent="0.3">
      <c r="C3" s="1150" t="s">
        <v>2597</v>
      </c>
      <c r="D3" s="1150"/>
      <c r="E3" s="1150"/>
      <c r="F3" s="1150"/>
      <c r="G3" s="1150"/>
      <c r="I3" s="709"/>
      <c r="J3" s="660"/>
    </row>
    <row r="4" spans="3:17" x14ac:dyDescent="0.3">
      <c r="G4" s="42">
        <f>projname</f>
        <v>0</v>
      </c>
    </row>
    <row r="5" spans="3:17" x14ac:dyDescent="0.3">
      <c r="F5" s="190" t="s">
        <v>227</v>
      </c>
      <c r="G5" s="401">
        <f>GENERAL!D7</f>
        <v>0</v>
      </c>
      <c r="I5" s="710"/>
      <c r="J5" s="191"/>
    </row>
    <row r="6" spans="3:17" ht="4.95" customHeight="1" x14ac:dyDescent="0.3">
      <c r="E6" s="866"/>
      <c r="F6" s="867"/>
      <c r="G6" s="867"/>
      <c r="I6" s="710"/>
      <c r="J6" s="191"/>
    </row>
    <row r="7" spans="3:17" ht="37.799999999999997" x14ac:dyDescent="0.3">
      <c r="C7" s="192" t="s">
        <v>1127</v>
      </c>
      <c r="D7" s="193"/>
      <c r="E7" s="868" t="s">
        <v>2220</v>
      </c>
      <c r="F7" s="868" t="s">
        <v>1128</v>
      </c>
      <c r="G7" s="868" t="s">
        <v>2453</v>
      </c>
      <c r="H7" s="194"/>
      <c r="I7" s="711" t="s">
        <v>1129</v>
      </c>
      <c r="J7" s="195"/>
    </row>
    <row r="8" spans="3:17" x14ac:dyDescent="0.3">
      <c r="C8" s="192" t="s">
        <v>1130</v>
      </c>
      <c r="D8" s="193"/>
      <c r="E8" s="869"/>
      <c r="F8" s="869"/>
      <c r="G8" s="869"/>
      <c r="H8" s="196"/>
      <c r="I8" s="712"/>
      <c r="J8" s="195"/>
    </row>
    <row r="9" spans="3:17" x14ac:dyDescent="0.3">
      <c r="C9" s="193"/>
      <c r="D9" s="197" t="s">
        <v>1131</v>
      </c>
      <c r="E9" s="1105">
        <v>42</v>
      </c>
      <c r="F9" s="1113"/>
      <c r="G9" s="1113"/>
      <c r="H9" s="196"/>
      <c r="I9" s="713"/>
      <c r="J9" s="198"/>
      <c r="K9" s="1999"/>
      <c r="L9" s="2000"/>
      <c r="M9" s="2000"/>
      <c r="N9" s="2000"/>
      <c r="O9" s="2000"/>
      <c r="P9" s="2000"/>
      <c r="Q9" s="2000"/>
    </row>
    <row r="10" spans="3:17" ht="27.6" x14ac:dyDescent="0.3">
      <c r="C10" s="193"/>
      <c r="D10" s="1116" t="s">
        <v>2452</v>
      </c>
      <c r="E10" s="1107">
        <v>-10</v>
      </c>
      <c r="F10" s="1113"/>
      <c r="G10" s="1113"/>
      <c r="H10" s="196"/>
      <c r="I10" s="713"/>
      <c r="J10" s="198"/>
    </row>
    <row r="11" spans="3:17" ht="15.75" customHeight="1" x14ac:dyDescent="0.3">
      <c r="C11" s="193"/>
      <c r="D11" s="197" t="s">
        <v>1133</v>
      </c>
      <c r="E11" s="1105">
        <v>18</v>
      </c>
      <c r="F11" s="1113"/>
      <c r="G11" s="1113"/>
      <c r="H11" s="196"/>
      <c r="I11" s="713"/>
      <c r="J11" s="198"/>
    </row>
    <row r="12" spans="3:17" ht="28.2" thickBot="1" x14ac:dyDescent="0.35">
      <c r="C12" s="193"/>
      <c r="D12" s="199" t="s">
        <v>2450</v>
      </c>
      <c r="E12" s="1108">
        <v>14</v>
      </c>
      <c r="F12" s="1113"/>
      <c r="G12" s="1113"/>
      <c r="H12" s="201"/>
      <c r="I12" s="714"/>
      <c r="J12" s="200"/>
    </row>
    <row r="13" spans="3:17" x14ac:dyDescent="0.3">
      <c r="C13" s="193"/>
      <c r="D13" s="202" t="s">
        <v>1134</v>
      </c>
      <c r="E13" s="1109">
        <f>SUM(E9:E12)-E10</f>
        <v>74</v>
      </c>
      <c r="F13" s="1109">
        <f>SUM(F9:F12)-F10</f>
        <v>0</v>
      </c>
      <c r="G13" s="1109"/>
      <c r="H13" s="204"/>
      <c r="I13" s="715">
        <f>SUM(I9:I12)</f>
        <v>0</v>
      </c>
      <c r="J13" s="203"/>
    </row>
    <row r="14" spans="3:17" x14ac:dyDescent="0.3">
      <c r="C14" s="192" t="s">
        <v>2439</v>
      </c>
      <c r="D14" s="193"/>
      <c r="E14" s="1106"/>
      <c r="F14" s="1106"/>
      <c r="G14" s="1106"/>
      <c r="H14" s="196"/>
      <c r="I14" s="712"/>
      <c r="J14" s="195"/>
    </row>
    <row r="15" spans="3:17" x14ac:dyDescent="0.3">
      <c r="C15" s="193"/>
      <c r="D15" s="197" t="s">
        <v>1135</v>
      </c>
      <c r="E15" s="1105" t="s">
        <v>1136</v>
      </c>
      <c r="F15" s="1113"/>
      <c r="G15" s="1113"/>
      <c r="H15" s="196"/>
      <c r="I15" s="713"/>
      <c r="J15" s="198"/>
    </row>
    <row r="16" spans="3:17" x14ac:dyDescent="0.3">
      <c r="C16" s="193"/>
      <c r="D16" s="197" t="s">
        <v>1137</v>
      </c>
      <c r="E16" s="1105" t="s">
        <v>1136</v>
      </c>
      <c r="F16" s="1113"/>
      <c r="G16" s="1113"/>
      <c r="H16" s="196"/>
      <c r="I16" s="713"/>
      <c r="J16" s="198"/>
    </row>
    <row r="17" spans="3:9" ht="16.2" thickBot="1" x14ac:dyDescent="0.35">
      <c r="C17" s="193"/>
      <c r="D17" s="197" t="s">
        <v>1138</v>
      </c>
      <c r="E17" s="1105" t="s">
        <v>1136</v>
      </c>
      <c r="F17" s="1113"/>
      <c r="G17" s="1113"/>
      <c r="H17" s="196"/>
      <c r="I17" s="716"/>
    </row>
    <row r="18" spans="3:9" x14ac:dyDescent="0.3">
      <c r="C18" s="193"/>
      <c r="D18" s="202" t="s">
        <v>1134</v>
      </c>
      <c r="E18" s="1109">
        <v>16</v>
      </c>
      <c r="F18" s="1109">
        <f>(MIN(SUM(F15:F17),16))</f>
        <v>0</v>
      </c>
      <c r="G18" s="1109"/>
      <c r="H18" s="204"/>
      <c r="I18" s="715">
        <f>(MIN(SUM(I15:I17),16))</f>
        <v>0</v>
      </c>
    </row>
    <row r="19" spans="3:9" x14ac:dyDescent="0.3">
      <c r="C19" s="193"/>
      <c r="D19" s="192"/>
      <c r="E19" s="1106"/>
      <c r="F19" s="1106"/>
      <c r="G19" s="1106"/>
      <c r="H19" s="196"/>
      <c r="I19" s="712"/>
    </row>
    <row r="20" spans="3:9" ht="16.2" thickBot="1" x14ac:dyDescent="0.35">
      <c r="C20" s="192" t="s">
        <v>1139</v>
      </c>
      <c r="D20" s="193"/>
      <c r="E20" s="1105">
        <v>8</v>
      </c>
      <c r="F20" s="1113"/>
      <c r="G20" s="1113"/>
      <c r="H20" s="196"/>
      <c r="I20" s="717"/>
    </row>
    <row r="21" spans="3:9" x14ac:dyDescent="0.3">
      <c r="C21" s="192"/>
      <c r="D21" s="202" t="s">
        <v>1134</v>
      </c>
      <c r="E21" s="1109">
        <f>SUM(E20)</f>
        <v>8</v>
      </c>
      <c r="F21" s="1109">
        <f>SUM(F20)</f>
        <v>0</v>
      </c>
      <c r="G21" s="1109"/>
      <c r="H21" s="204"/>
      <c r="I21" s="715">
        <f>SUM(I20)</f>
        <v>0</v>
      </c>
    </row>
    <row r="22" spans="3:9" x14ac:dyDescent="0.3">
      <c r="C22" s="192"/>
      <c r="D22" s="192"/>
      <c r="E22" s="1106"/>
      <c r="F22" s="1106"/>
      <c r="G22" s="1106"/>
      <c r="H22" s="196"/>
      <c r="I22" s="712"/>
    </row>
    <row r="23" spans="3:9" x14ac:dyDescent="0.3">
      <c r="C23" s="192" t="s">
        <v>1140</v>
      </c>
      <c r="D23" s="193"/>
      <c r="E23" s="1106"/>
      <c r="F23" s="1106"/>
      <c r="G23" s="1106"/>
      <c r="H23" s="196"/>
      <c r="I23" s="712"/>
    </row>
    <row r="24" spans="3:9" ht="16.5" customHeight="1" x14ac:dyDescent="0.3">
      <c r="C24" s="193"/>
      <c r="D24" s="197" t="s">
        <v>1141</v>
      </c>
      <c r="E24" s="1105">
        <v>15</v>
      </c>
      <c r="F24" s="1113"/>
      <c r="G24" s="1113"/>
      <c r="H24" s="205"/>
      <c r="I24" s="713"/>
    </row>
    <row r="25" spans="3:9" x14ac:dyDescent="0.3">
      <c r="C25" s="193"/>
      <c r="D25" s="197" t="s">
        <v>1142</v>
      </c>
      <c r="E25" s="1105">
        <v>10</v>
      </c>
      <c r="F25" s="1113"/>
      <c r="G25" s="1113"/>
      <c r="H25" s="205"/>
      <c r="I25" s="718"/>
    </row>
    <row r="26" spans="3:9" x14ac:dyDescent="0.3">
      <c r="C26" s="193"/>
      <c r="D26" s="197" t="s">
        <v>1143</v>
      </c>
      <c r="E26" s="1105">
        <v>8</v>
      </c>
      <c r="F26" s="1113"/>
      <c r="G26" s="1113"/>
      <c r="H26" s="196"/>
      <c r="I26" s="713"/>
    </row>
    <row r="27" spans="3:9" x14ac:dyDescent="0.3">
      <c r="C27" s="193"/>
      <c r="D27" s="197" t="s">
        <v>1144</v>
      </c>
      <c r="E27" s="1105">
        <v>8</v>
      </c>
      <c r="F27" s="1113"/>
      <c r="G27" s="1113"/>
      <c r="H27" s="196"/>
      <c r="I27" s="713"/>
    </row>
    <row r="28" spans="3:9" x14ac:dyDescent="0.3">
      <c r="C28" s="193"/>
      <c r="D28" s="296" t="s">
        <v>1145</v>
      </c>
      <c r="E28" s="1110">
        <v>10</v>
      </c>
      <c r="F28" s="1113"/>
      <c r="G28" s="1113"/>
      <c r="H28" s="196"/>
      <c r="I28" s="719"/>
    </row>
    <row r="29" spans="3:9" ht="16.2" thickBot="1" x14ac:dyDescent="0.35">
      <c r="C29" s="193"/>
      <c r="D29" s="296" t="s">
        <v>1146</v>
      </c>
      <c r="E29" s="1110">
        <v>4</v>
      </c>
      <c r="F29" s="1111"/>
      <c r="G29" s="1111"/>
      <c r="H29" s="204"/>
      <c r="I29" s="716"/>
    </row>
    <row r="30" spans="3:9" x14ac:dyDescent="0.3">
      <c r="C30" s="193"/>
      <c r="D30" s="202" t="s">
        <v>1134</v>
      </c>
      <c r="E30" s="1109">
        <f>SUM(E24:E29)</f>
        <v>55</v>
      </c>
      <c r="F30" s="1109">
        <f>SUM(F24:F28)</f>
        <v>0</v>
      </c>
      <c r="G30" s="1109"/>
      <c r="H30" s="206"/>
      <c r="I30" s="720">
        <f>SUM(I24:I29)</f>
        <v>0</v>
      </c>
    </row>
    <row r="31" spans="3:9" x14ac:dyDescent="0.3">
      <c r="C31" s="192" t="s">
        <v>1147</v>
      </c>
      <c r="D31" s="193"/>
      <c r="E31" s="1106"/>
      <c r="F31" s="1106"/>
      <c r="G31" s="1106"/>
      <c r="H31" s="196"/>
      <c r="I31" s="712"/>
    </row>
    <row r="32" spans="3:9" x14ac:dyDescent="0.3">
      <c r="C32" s="193"/>
      <c r="D32" s="197" t="s">
        <v>1148</v>
      </c>
      <c r="E32" s="1105">
        <v>15</v>
      </c>
      <c r="F32" s="1113"/>
      <c r="G32" s="1113"/>
      <c r="H32" s="205"/>
      <c r="I32" s="718"/>
    </row>
    <row r="33" spans="3:9" x14ac:dyDescent="0.3">
      <c r="C33" s="193"/>
      <c r="D33" s="197" t="s">
        <v>1149</v>
      </c>
      <c r="E33" s="1105">
        <v>10</v>
      </c>
      <c r="F33" s="1113"/>
      <c r="G33" s="1113"/>
      <c r="H33" s="196"/>
      <c r="I33" s="713"/>
    </row>
    <row r="34" spans="3:9" ht="28.2" thickBot="1" x14ac:dyDescent="0.35">
      <c r="C34" s="193"/>
      <c r="D34" s="1116" t="s">
        <v>2451</v>
      </c>
      <c r="E34" s="1107">
        <v>-8</v>
      </c>
      <c r="F34" s="1113"/>
      <c r="G34" s="1113"/>
      <c r="H34" s="196"/>
      <c r="I34" s="716"/>
    </row>
    <row r="35" spans="3:9" x14ac:dyDescent="0.3">
      <c r="C35" s="193"/>
      <c r="D35" s="202" t="s">
        <v>1134</v>
      </c>
      <c r="E35" s="1109">
        <f>SUM(E32:E34)-E34</f>
        <v>25</v>
      </c>
      <c r="F35" s="1109">
        <f>SUM(F32:F34)</f>
        <v>0</v>
      </c>
      <c r="G35" s="1109"/>
      <c r="H35" s="206"/>
      <c r="I35" s="720">
        <f>SUM(I32:I34)</f>
        <v>0</v>
      </c>
    </row>
    <row r="36" spans="3:9" x14ac:dyDescent="0.3">
      <c r="C36" s="192" t="s">
        <v>1151</v>
      </c>
      <c r="D36" s="193"/>
      <c r="E36" s="1106"/>
      <c r="F36" s="1106"/>
      <c r="G36" s="1106"/>
      <c r="H36" s="196"/>
      <c r="I36" s="712"/>
    </row>
    <row r="37" spans="3:9" x14ac:dyDescent="0.3">
      <c r="C37" s="193"/>
      <c r="D37" s="197" t="s">
        <v>1152</v>
      </c>
      <c r="E37" s="1105">
        <v>10</v>
      </c>
      <c r="F37" s="1113"/>
      <c r="G37" s="1113"/>
      <c r="H37" s="196"/>
      <c r="I37" s="713"/>
    </row>
    <row r="38" spans="3:9" x14ac:dyDescent="0.3">
      <c r="C38" s="193"/>
      <c r="D38" s="197" t="s">
        <v>1153</v>
      </c>
      <c r="E38" s="1105">
        <v>6</v>
      </c>
      <c r="F38" s="1113"/>
      <c r="G38" s="1113"/>
      <c r="H38" s="196"/>
      <c r="I38" s="713"/>
    </row>
    <row r="39" spans="3:9" x14ac:dyDescent="0.3">
      <c r="C39" s="193"/>
      <c r="D39" s="197" t="s">
        <v>2776</v>
      </c>
      <c r="E39" s="1105">
        <v>13</v>
      </c>
      <c r="F39" s="1113"/>
      <c r="G39" s="1113"/>
      <c r="H39" s="196"/>
      <c r="I39" s="719"/>
    </row>
    <row r="40" spans="3:9" ht="16.2" thickBot="1" x14ac:dyDescent="0.35">
      <c r="C40" s="193"/>
      <c r="D40" s="197" t="s">
        <v>1155</v>
      </c>
      <c r="E40" s="1105">
        <v>4</v>
      </c>
      <c r="F40" s="1113"/>
      <c r="G40" s="1113"/>
      <c r="H40" s="196"/>
      <c r="I40" s="716"/>
    </row>
    <row r="41" spans="3:9" x14ac:dyDescent="0.3">
      <c r="C41" s="193"/>
      <c r="D41" s="202" t="s">
        <v>1134</v>
      </c>
      <c r="E41" s="1109">
        <f>SUM(E37:E40)</f>
        <v>33</v>
      </c>
      <c r="F41" s="1109">
        <f>SUM(F37:F40)</f>
        <v>0</v>
      </c>
      <c r="G41" s="1109"/>
      <c r="H41" s="204"/>
      <c r="I41" s="715">
        <f>SUM(I37:I40)</f>
        <v>0</v>
      </c>
    </row>
    <row r="42" spans="3:9" x14ac:dyDescent="0.3">
      <c r="C42" s="193"/>
      <c r="D42" s="202"/>
      <c r="E42" s="1112"/>
      <c r="F42" s="1112"/>
      <c r="G42" s="1112"/>
      <c r="H42" s="204"/>
      <c r="I42" s="715"/>
    </row>
    <row r="43" spans="3:9" x14ac:dyDescent="0.3">
      <c r="C43" s="1101" t="s">
        <v>2446</v>
      </c>
      <c r="D43" s="193"/>
      <c r="E43" s="1106">
        <v>10</v>
      </c>
      <c r="F43" s="1113"/>
      <c r="G43" s="1113"/>
      <c r="H43" s="196"/>
      <c r="I43" s="712"/>
    </row>
    <row r="44" spans="3:9" x14ac:dyDescent="0.3">
      <c r="C44" s="193"/>
      <c r="D44" s="202" t="s">
        <v>1134</v>
      </c>
      <c r="E44" s="1114">
        <f>SUM(E43)</f>
        <v>10</v>
      </c>
      <c r="F44" s="1114">
        <f>SUM(F43)</f>
        <v>0</v>
      </c>
      <c r="G44" s="1114"/>
      <c r="H44" s="196"/>
      <c r="I44" s="712"/>
    </row>
    <row r="45" spans="3:9" x14ac:dyDescent="0.3">
      <c r="C45" s="193"/>
      <c r="D45" s="202"/>
      <c r="E45" s="1115"/>
      <c r="F45" s="1115"/>
      <c r="G45" s="1115"/>
      <c r="H45" s="196"/>
      <c r="I45" s="1119"/>
    </row>
    <row r="46" spans="3:9" x14ac:dyDescent="0.3">
      <c r="C46" s="2001" t="s">
        <v>2471</v>
      </c>
      <c r="D46" s="2001"/>
      <c r="E46" s="1120">
        <f>SUM(E13,E18,E21,E30,E35,E41,E44)</f>
        <v>221</v>
      </c>
      <c r="F46" s="1120">
        <f>SUM(F13,F18,F21,F30,F35,F41,F44)</f>
        <v>0</v>
      </c>
      <c r="G46" s="1120"/>
      <c r="H46" s="206"/>
      <c r="I46" s="721"/>
    </row>
    <row r="47" spans="3:9" x14ac:dyDescent="0.3">
      <c r="C47" s="193"/>
      <c r="D47" s="202"/>
      <c r="E47" s="1115"/>
      <c r="F47" s="1115"/>
      <c r="G47" s="1115"/>
      <c r="H47" s="196"/>
      <c r="I47" s="712"/>
    </row>
    <row r="48" spans="3:9" x14ac:dyDescent="0.3">
      <c r="C48" s="1101" t="s">
        <v>2658</v>
      </c>
      <c r="D48" s="193"/>
      <c r="E48" s="1106">
        <v>15</v>
      </c>
      <c r="F48" s="1106">
        <v>0</v>
      </c>
      <c r="G48" s="1115"/>
      <c r="H48" s="196"/>
      <c r="I48" s="712"/>
    </row>
    <row r="49" spans="3:9" x14ac:dyDescent="0.3">
      <c r="C49" s="193"/>
      <c r="D49" s="202" t="s">
        <v>1134</v>
      </c>
      <c r="E49" s="1114">
        <f>SUM(E48)</f>
        <v>15</v>
      </c>
      <c r="F49" s="1114">
        <f>SUM(F48)</f>
        <v>0</v>
      </c>
      <c r="G49" s="1115"/>
      <c r="H49" s="196"/>
      <c r="I49" s="712"/>
    </row>
    <row r="50" spans="3:9" x14ac:dyDescent="0.3">
      <c r="C50" s="193"/>
      <c r="D50" s="202"/>
      <c r="E50" s="1389"/>
      <c r="F50" s="1389"/>
      <c r="G50" s="1389"/>
      <c r="H50" s="196"/>
      <c r="I50" s="712"/>
    </row>
    <row r="51" spans="3:9" x14ac:dyDescent="0.3">
      <c r="C51" s="1101" t="s">
        <v>2447</v>
      </c>
      <c r="D51" s="193"/>
      <c r="E51" s="1106"/>
      <c r="F51" s="1106"/>
      <c r="G51" s="1106"/>
      <c r="H51" s="196"/>
      <c r="I51" s="712"/>
    </row>
    <row r="52" spans="3:9" x14ac:dyDescent="0.3">
      <c r="C52" s="193"/>
      <c r="D52" s="197" t="s">
        <v>2448</v>
      </c>
      <c r="E52" s="1105">
        <v>15</v>
      </c>
      <c r="F52" s="1113"/>
      <c r="G52" s="1113"/>
      <c r="H52" s="196"/>
      <c r="I52" s="713"/>
    </row>
    <row r="53" spans="3:9" x14ac:dyDescent="0.3">
      <c r="C53" s="193"/>
      <c r="D53" s="197" t="s">
        <v>2449</v>
      </c>
      <c r="E53" s="1105">
        <v>20</v>
      </c>
      <c r="F53" s="1113"/>
      <c r="G53" s="1113"/>
      <c r="H53" s="196"/>
      <c r="I53" s="713"/>
    </row>
    <row r="54" spans="3:9" x14ac:dyDescent="0.3">
      <c r="C54" s="193"/>
      <c r="D54" s="202" t="s">
        <v>1134</v>
      </c>
      <c r="E54" s="1109">
        <f>SUM(E52:E53)</f>
        <v>35</v>
      </c>
      <c r="F54" s="1109">
        <f>SUM(F52:F53)</f>
        <v>0</v>
      </c>
      <c r="G54" s="1109"/>
      <c r="H54" s="196"/>
      <c r="I54" s="712"/>
    </row>
    <row r="55" spans="3:9" x14ac:dyDescent="0.3">
      <c r="C55" s="193"/>
      <c r="D55" s="202"/>
      <c r="E55" s="1115"/>
      <c r="F55" s="1115"/>
      <c r="G55" s="1115"/>
      <c r="H55" s="196"/>
      <c r="I55" s="712"/>
    </row>
    <row r="56" spans="3:9" x14ac:dyDescent="0.3">
      <c r="C56" s="2001" t="s">
        <v>1156</v>
      </c>
      <c r="D56" s="2001"/>
      <c r="E56" s="1120">
        <f>SUM(E46,E49,E54)</f>
        <v>271</v>
      </c>
      <c r="F56" s="1120">
        <f>SUM(F46,F49,F54)</f>
        <v>0</v>
      </c>
      <c r="G56" s="1120"/>
      <c r="H56" s="206"/>
      <c r="I56" s="721" t="e">
        <f>I13+I18+I21+I30+I35+I41+#REF!</f>
        <v>#REF!</v>
      </c>
    </row>
    <row r="57" spans="3:9" x14ac:dyDescent="0.3">
      <c r="C57" s="193"/>
      <c r="D57" s="207"/>
      <c r="E57" s="7"/>
      <c r="F57" s="7"/>
      <c r="G57" s="7"/>
      <c r="H57" s="7"/>
      <c r="I57"/>
    </row>
    <row r="58" spans="3:9" ht="30" customHeight="1" x14ac:dyDescent="0.3">
      <c r="D58" s="2002" t="s">
        <v>1157</v>
      </c>
      <c r="E58" s="2002"/>
      <c r="F58" s="2002"/>
      <c r="G58" s="1048"/>
      <c r="H58" s="76"/>
      <c r="I58" s="722"/>
    </row>
    <row r="59" spans="3:9" x14ac:dyDescent="0.3">
      <c r="C59" s="208"/>
      <c r="D59" s="209"/>
      <c r="E59" s="209"/>
      <c r="F59" s="209"/>
      <c r="G59" s="209"/>
      <c r="H59" s="209"/>
    </row>
  </sheetData>
  <sheetProtection algorithmName="SHA-512" hashValue="PbPjEJaikZY87HKo9QybHpCdI+encJaXJg3dnRphB4mjnIw8naCknEIlbxTxrmoJWRx0kGAa4ajOnfd9NKoO8w==" saltValue="jzognoIpWVlSMKm8ivjG8g==" spinCount="100000" sheet="1" objects="1" scenarios="1"/>
  <mergeCells count="4">
    <mergeCell ref="K9:Q9"/>
    <mergeCell ref="C56:D56"/>
    <mergeCell ref="D58:F58"/>
    <mergeCell ref="C46:D46"/>
  </mergeCells>
  <dataValidations count="1">
    <dataValidation type="textLength" operator="lessThanOrEqual" allowBlank="1" showInputMessage="1" showErrorMessage="1" errorTitle="Character limit exceeded" error="Character limit exceeded" sqref="G9:G12 G15:G17 G20 G24:G28 G32:G34 G37:G40 G43 G52:G53" xr:uid="{433E8B34-EA1A-4DD0-9B03-B0ABC85E23B3}">
      <formula1>30</formula1>
    </dataValidation>
  </dataValidations>
  <pageMargins left="0.25" right="0.25" top="0.25" bottom="0.25" header="0.25" footer="0.25"/>
  <pageSetup scale="80" orientation="portrait" useFirstPageNumber="1" r:id="rId1"/>
  <headerFooter scaleWithDoc="0" alignWithMargins="0"/>
  <ignoredErrors>
    <ignoredError sqref="G4:G5"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
    <tabColor rgb="FF00FF00"/>
    <pageSetUpPr fitToPage="1"/>
  </sheetPr>
  <dimension ref="B2:B183"/>
  <sheetViews>
    <sheetView showGridLines="0" tabSelected="1" view="pageBreakPreview" zoomScale="150" zoomScaleNormal="100" zoomScaleSheetLayoutView="150" workbookViewId="0"/>
  </sheetViews>
  <sheetFormatPr defaultColWidth="9.44140625" defaultRowHeight="15.6" x14ac:dyDescent="0.3"/>
  <cols>
    <col min="1" max="1" width="2.77734375" style="1126" customWidth="1"/>
    <col min="2" max="2" width="101.44140625" style="1135" customWidth="1"/>
    <col min="3" max="3" width="3.44140625" style="1126" customWidth="1"/>
    <col min="4" max="16384" width="9.44140625" style="1126"/>
  </cols>
  <sheetData>
    <row r="2" spans="2:2" s="1123" customFormat="1" ht="16.2" x14ac:dyDescent="0.35">
      <c r="B2" s="747" t="s">
        <v>2008</v>
      </c>
    </row>
    <row r="3" spans="2:2" s="1124" customFormat="1" x14ac:dyDescent="0.3"/>
    <row r="4" spans="2:2" ht="20.399999999999999" x14ac:dyDescent="0.3">
      <c r="B4" s="875" t="s">
        <v>0</v>
      </c>
    </row>
    <row r="5" spans="2:2" ht="16.2" x14ac:dyDescent="0.3">
      <c r="B5" s="1125"/>
    </row>
    <row r="6" spans="2:2" s="1129" customFormat="1" ht="16.2" thickBot="1" x14ac:dyDescent="0.35">
      <c r="B6" s="1136" t="s">
        <v>2537</v>
      </c>
    </row>
    <row r="7" spans="2:2" x14ac:dyDescent="0.3">
      <c r="B7" s="1127" t="s">
        <v>2230</v>
      </c>
    </row>
    <row r="8" spans="2:2" x14ac:dyDescent="0.3">
      <c r="B8" s="1128" t="s">
        <v>2231</v>
      </c>
    </row>
    <row r="9" spans="2:2" x14ac:dyDescent="0.3">
      <c r="B9" s="1127" t="s">
        <v>2233</v>
      </c>
    </row>
    <row r="10" spans="2:2" x14ac:dyDescent="0.3">
      <c r="B10" s="1127" t="s">
        <v>2236</v>
      </c>
    </row>
    <row r="11" spans="2:2" x14ac:dyDescent="0.3">
      <c r="B11" s="1127" t="s">
        <v>2234</v>
      </c>
    </row>
    <row r="12" spans="2:2" x14ac:dyDescent="0.3">
      <c r="B12" s="1127" t="s">
        <v>2248</v>
      </c>
    </row>
    <row r="13" spans="2:2" x14ac:dyDescent="0.3">
      <c r="B13" s="1128" t="s">
        <v>2232</v>
      </c>
    </row>
    <row r="14" spans="2:2" x14ac:dyDescent="0.3">
      <c r="B14" s="1127" t="s">
        <v>2235</v>
      </c>
    </row>
    <row r="15" spans="2:2" x14ac:dyDescent="0.3">
      <c r="B15" s="1127" t="s">
        <v>2237</v>
      </c>
    </row>
    <row r="16" spans="2:2" x14ac:dyDescent="0.3">
      <c r="B16" s="1128" t="s">
        <v>2238</v>
      </c>
    </row>
    <row r="17" spans="2:2" x14ac:dyDescent="0.3">
      <c r="B17" s="1127" t="s">
        <v>2239</v>
      </c>
    </row>
    <row r="18" spans="2:2" x14ac:dyDescent="0.3">
      <c r="B18" s="1127" t="s">
        <v>2240</v>
      </c>
    </row>
    <row r="19" spans="2:2" ht="31.2" x14ac:dyDescent="0.3">
      <c r="B19" s="1127" t="s">
        <v>2602</v>
      </c>
    </row>
    <row r="20" spans="2:2" x14ac:dyDescent="0.3">
      <c r="B20" s="1127" t="s">
        <v>2241</v>
      </c>
    </row>
    <row r="21" spans="2:2" ht="31.2" x14ac:dyDescent="0.3">
      <c r="B21" s="1127" t="s">
        <v>2242</v>
      </c>
    </row>
    <row r="22" spans="2:2" x14ac:dyDescent="0.3">
      <c r="B22" s="1128" t="s">
        <v>2243</v>
      </c>
    </row>
    <row r="23" spans="2:2" x14ac:dyDescent="0.3">
      <c r="B23" s="1127" t="s">
        <v>2603</v>
      </c>
    </row>
    <row r="24" spans="2:2" x14ac:dyDescent="0.3">
      <c r="B24" s="1127" t="s">
        <v>2245</v>
      </c>
    </row>
    <row r="25" spans="2:2" x14ac:dyDescent="0.3">
      <c r="B25" s="1127" t="s">
        <v>2246</v>
      </c>
    </row>
    <row r="26" spans="2:2" x14ac:dyDescent="0.3">
      <c r="B26" s="1127" t="s">
        <v>2247</v>
      </c>
    </row>
    <row r="27" spans="2:2" x14ac:dyDescent="0.3">
      <c r="B27" s="1128" t="s">
        <v>2244</v>
      </c>
    </row>
    <row r="28" spans="2:2" x14ac:dyDescent="0.3">
      <c r="B28" s="1127" t="s">
        <v>2249</v>
      </c>
    </row>
    <row r="29" spans="2:2" x14ac:dyDescent="0.3">
      <c r="B29" s="1127" t="s">
        <v>2250</v>
      </c>
    </row>
    <row r="30" spans="2:2" x14ac:dyDescent="0.3">
      <c r="B30" s="1128" t="s">
        <v>2252</v>
      </c>
    </row>
    <row r="31" spans="2:2" ht="31.2" x14ac:dyDescent="0.3">
      <c r="B31" s="1127" t="s">
        <v>2255</v>
      </c>
    </row>
    <row r="32" spans="2:2" x14ac:dyDescent="0.3">
      <c r="B32" s="1128" t="s">
        <v>2251</v>
      </c>
    </row>
    <row r="33" spans="2:2" ht="31.2" x14ac:dyDescent="0.3">
      <c r="B33" s="1127" t="s">
        <v>2256</v>
      </c>
    </row>
    <row r="34" spans="2:2" x14ac:dyDescent="0.3">
      <c r="B34" s="1127"/>
    </row>
    <row r="35" spans="2:2" s="1129" customFormat="1" ht="16.2" thickBot="1" x14ac:dyDescent="0.35">
      <c r="B35" s="1136" t="s">
        <v>2253</v>
      </c>
    </row>
    <row r="36" spans="2:2" x14ac:dyDescent="0.3">
      <c r="B36" s="1130" t="s">
        <v>2373</v>
      </c>
    </row>
    <row r="37" spans="2:2" x14ac:dyDescent="0.3">
      <c r="B37" s="1130" t="s">
        <v>2535</v>
      </c>
    </row>
    <row r="38" spans="2:2" x14ac:dyDescent="0.3">
      <c r="B38" s="1130" t="s">
        <v>2374</v>
      </c>
    </row>
    <row r="39" spans="2:2" x14ac:dyDescent="0.3">
      <c r="B39" s="1130" t="s">
        <v>2327</v>
      </c>
    </row>
    <row r="40" spans="2:2" x14ac:dyDescent="0.3">
      <c r="B40" s="1130" t="s">
        <v>2536</v>
      </c>
    </row>
    <row r="41" spans="2:2" x14ac:dyDescent="0.3">
      <c r="B41" s="1130" t="s">
        <v>2081</v>
      </c>
    </row>
    <row r="42" spans="2:2" x14ac:dyDescent="0.3">
      <c r="B42" s="1130" t="s">
        <v>2254</v>
      </c>
    </row>
    <row r="43" spans="2:2" x14ac:dyDescent="0.3">
      <c r="B43" s="1130" t="s">
        <v>2093</v>
      </c>
    </row>
    <row r="44" spans="2:2" x14ac:dyDescent="0.3">
      <c r="B44" s="1131"/>
    </row>
    <row r="45" spans="2:2" s="1129" customFormat="1" ht="16.2" thickBot="1" x14ac:dyDescent="0.35">
      <c r="B45" s="1136" t="s">
        <v>2</v>
      </c>
    </row>
    <row r="46" spans="2:2" x14ac:dyDescent="0.3">
      <c r="B46" s="1132" t="s">
        <v>2698</v>
      </c>
    </row>
    <row r="47" spans="2:2" ht="31.2" x14ac:dyDescent="0.3">
      <c r="B47" s="1132" t="s">
        <v>2481</v>
      </c>
    </row>
    <row r="48" spans="2:2" ht="62.4" x14ac:dyDescent="0.3">
      <c r="B48" s="1133" t="s">
        <v>2482</v>
      </c>
    </row>
    <row r="49" spans="2:2" s="1138" customFormat="1" x14ac:dyDescent="0.3">
      <c r="B49" s="1137" t="s">
        <v>2541</v>
      </c>
    </row>
    <row r="50" spans="2:2" s="1138" customFormat="1" x14ac:dyDescent="0.3">
      <c r="B50" s="1137" t="s">
        <v>2542</v>
      </c>
    </row>
    <row r="51" spans="2:2" ht="62.4" x14ac:dyDescent="0.3">
      <c r="B51" s="1133" t="s">
        <v>2483</v>
      </c>
    </row>
    <row r="52" spans="2:2" ht="46.8" x14ac:dyDescent="0.3">
      <c r="B52" s="1132" t="s">
        <v>2543</v>
      </c>
    </row>
    <row r="53" spans="2:2" x14ac:dyDescent="0.3">
      <c r="B53" s="1132" t="s">
        <v>2484</v>
      </c>
    </row>
    <row r="54" spans="2:2" ht="31.2" x14ac:dyDescent="0.3">
      <c r="B54" s="1133" t="s">
        <v>2485</v>
      </c>
    </row>
    <row r="55" spans="2:2" ht="109.2" x14ac:dyDescent="0.3">
      <c r="B55" s="1133" t="s">
        <v>2486</v>
      </c>
    </row>
    <row r="56" spans="2:2" ht="31.2" x14ac:dyDescent="0.3">
      <c r="B56" s="1132" t="s">
        <v>2487</v>
      </c>
    </row>
    <row r="57" spans="2:2" ht="31.2" x14ac:dyDescent="0.3">
      <c r="B57" s="1133" t="s">
        <v>2488</v>
      </c>
    </row>
    <row r="58" spans="2:2" ht="31.2" x14ac:dyDescent="0.3">
      <c r="B58" s="1132" t="s">
        <v>2489</v>
      </c>
    </row>
    <row r="59" spans="2:2" x14ac:dyDescent="0.3">
      <c r="B59" s="1133" t="s">
        <v>2490</v>
      </c>
    </row>
    <row r="60" spans="2:2" ht="62.4" x14ac:dyDescent="0.3">
      <c r="B60" s="1133" t="s">
        <v>2491</v>
      </c>
    </row>
    <row r="61" spans="2:2" ht="31.2" x14ac:dyDescent="0.3">
      <c r="B61" s="1133" t="s">
        <v>2492</v>
      </c>
    </row>
    <row r="62" spans="2:2" x14ac:dyDescent="0.3">
      <c r="B62" s="1133" t="s">
        <v>2493</v>
      </c>
    </row>
    <row r="63" spans="2:2" x14ac:dyDescent="0.3">
      <c r="B63" s="1133" t="s">
        <v>2494</v>
      </c>
    </row>
    <row r="64" spans="2:2" ht="31.2" x14ac:dyDescent="0.3">
      <c r="B64" s="1133" t="s">
        <v>2495</v>
      </c>
    </row>
    <row r="65" spans="2:2" x14ac:dyDescent="0.3">
      <c r="B65" s="1133" t="s">
        <v>2496</v>
      </c>
    </row>
    <row r="66" spans="2:2" ht="46.8" x14ac:dyDescent="0.3">
      <c r="B66" s="1133" t="s">
        <v>2497</v>
      </c>
    </row>
    <row r="67" spans="2:2" ht="62.4" x14ac:dyDescent="0.3">
      <c r="B67" s="1133" t="s">
        <v>2498</v>
      </c>
    </row>
    <row r="68" spans="2:2" ht="265.2" x14ac:dyDescent="0.3">
      <c r="B68" s="1132" t="s">
        <v>2538</v>
      </c>
    </row>
    <row r="69" spans="2:2" x14ac:dyDescent="0.3">
      <c r="B69" s="1132"/>
    </row>
    <row r="70" spans="2:2" s="1129" customFormat="1" ht="16.2" thickBot="1" x14ac:dyDescent="0.35">
      <c r="B70" s="1136" t="s">
        <v>1</v>
      </c>
    </row>
    <row r="71" spans="2:2" ht="46.8" x14ac:dyDescent="0.3">
      <c r="B71" s="1130" t="s">
        <v>2083</v>
      </c>
    </row>
    <row r="72" spans="2:2" x14ac:dyDescent="0.3">
      <c r="B72" s="1130" t="s">
        <v>2082</v>
      </c>
    </row>
    <row r="74" spans="2:2" s="1129" customFormat="1" ht="16.2" thickBot="1" x14ac:dyDescent="0.35">
      <c r="B74" s="1136" t="s">
        <v>1471</v>
      </c>
    </row>
    <row r="75" spans="2:2" x14ac:dyDescent="0.3">
      <c r="B75" s="1130" t="s">
        <v>2229</v>
      </c>
    </row>
    <row r="76" spans="2:2" x14ac:dyDescent="0.3">
      <c r="B76" s="1130" t="s">
        <v>2228</v>
      </c>
    </row>
    <row r="78" spans="2:2" s="1129" customFormat="1" ht="16.2" thickBot="1" x14ac:dyDescent="0.35">
      <c r="B78" s="1136" t="s">
        <v>2548</v>
      </c>
    </row>
    <row r="79" spans="2:2" x14ac:dyDescent="0.3">
      <c r="B79" s="1130" t="s">
        <v>2713</v>
      </c>
    </row>
    <row r="80" spans="2:2" ht="62.4" x14ac:dyDescent="0.3">
      <c r="B80" s="1137" t="s">
        <v>2604</v>
      </c>
    </row>
    <row r="81" spans="2:2" ht="62.4" x14ac:dyDescent="0.3">
      <c r="B81" s="1130" t="s">
        <v>2605</v>
      </c>
    </row>
    <row r="82" spans="2:2" x14ac:dyDescent="0.3">
      <c r="B82" s="1137" t="s">
        <v>2549</v>
      </c>
    </row>
    <row r="83" spans="2:2" x14ac:dyDescent="0.3">
      <c r="B83" s="1137"/>
    </row>
    <row r="84" spans="2:2" s="1129" customFormat="1" ht="16.2" thickBot="1" x14ac:dyDescent="0.35">
      <c r="B84" s="1136" t="s">
        <v>2499</v>
      </c>
    </row>
    <row r="85" spans="2:2" ht="46.8" x14ac:dyDescent="0.3">
      <c r="B85" s="1134" t="s">
        <v>2146</v>
      </c>
    </row>
    <row r="86" spans="2:2" ht="31.2" x14ac:dyDescent="0.3">
      <c r="B86" s="1132" t="s">
        <v>2500</v>
      </c>
    </row>
    <row r="87" spans="2:2" ht="31.2" x14ac:dyDescent="0.3">
      <c r="B87" s="1132" t="s">
        <v>2501</v>
      </c>
    </row>
    <row r="88" spans="2:2" ht="46.8" x14ac:dyDescent="0.3">
      <c r="B88" s="1133" t="s">
        <v>2502</v>
      </c>
    </row>
    <row r="89" spans="2:2" x14ac:dyDescent="0.3">
      <c r="B89" s="1133"/>
    </row>
    <row r="90" spans="2:2" s="1129" customFormat="1" ht="16.2" thickBot="1" x14ac:dyDescent="0.35">
      <c r="B90" s="1136" t="s">
        <v>2552</v>
      </c>
    </row>
    <row r="91" spans="2:2" ht="31.2" x14ac:dyDescent="0.3">
      <c r="B91" s="1134" t="s">
        <v>2710</v>
      </c>
    </row>
    <row r="93" spans="2:2" s="1129" customFormat="1" ht="16.2" thickBot="1" x14ac:dyDescent="0.35">
      <c r="B93" s="1136" t="s">
        <v>4</v>
      </c>
    </row>
    <row r="94" spans="2:2" x14ac:dyDescent="0.3">
      <c r="B94" s="1130" t="s">
        <v>2558</v>
      </c>
    </row>
    <row r="95" spans="2:2" x14ac:dyDescent="0.3">
      <c r="B95" s="1130" t="s">
        <v>2559</v>
      </c>
    </row>
    <row r="96" spans="2:2" ht="109.2" x14ac:dyDescent="0.3">
      <c r="B96" s="1132" t="s">
        <v>2512</v>
      </c>
    </row>
    <row r="97" spans="2:2" ht="46.8" x14ac:dyDescent="0.3">
      <c r="B97" s="1132" t="s">
        <v>2561</v>
      </c>
    </row>
    <row r="98" spans="2:2" ht="31.2" x14ac:dyDescent="0.3">
      <c r="B98" s="1133" t="s">
        <v>2513</v>
      </c>
    </row>
    <row r="99" spans="2:2" ht="124.8" x14ac:dyDescent="0.3">
      <c r="B99" s="1132" t="s">
        <v>2606</v>
      </c>
    </row>
    <row r="100" spans="2:2" ht="31.2" x14ac:dyDescent="0.3">
      <c r="B100" s="1133" t="s">
        <v>2514</v>
      </c>
    </row>
    <row r="101" spans="2:2" x14ac:dyDescent="0.3">
      <c r="B101" s="1132"/>
    </row>
    <row r="102" spans="2:2" s="1129" customFormat="1" ht="16.2" thickBot="1" x14ac:dyDescent="0.35">
      <c r="B102" s="1136" t="s">
        <v>2515</v>
      </c>
    </row>
    <row r="103" spans="2:2" ht="62.4" x14ac:dyDescent="0.3">
      <c r="B103" s="1134" t="s">
        <v>2711</v>
      </c>
    </row>
    <row r="104" spans="2:2" ht="93.6" x14ac:dyDescent="0.3">
      <c r="B104" s="1127" t="s">
        <v>5</v>
      </c>
    </row>
    <row r="105" spans="2:2" ht="140.4" x14ac:dyDescent="0.3">
      <c r="B105" s="1133" t="s">
        <v>2563</v>
      </c>
    </row>
    <row r="106" spans="2:2" ht="78" x14ac:dyDescent="0.3">
      <c r="B106" s="1133" t="s">
        <v>2564</v>
      </c>
    </row>
    <row r="107" spans="2:2" ht="156" x14ac:dyDescent="0.3">
      <c r="B107" s="1135" t="s">
        <v>2766</v>
      </c>
    </row>
    <row r="108" spans="2:2" ht="46.8" x14ac:dyDescent="0.3">
      <c r="B108" s="1133" t="s">
        <v>2516</v>
      </c>
    </row>
    <row r="109" spans="2:2" ht="31.2" x14ac:dyDescent="0.3">
      <c r="B109" s="1133" t="s">
        <v>2517</v>
      </c>
    </row>
    <row r="110" spans="2:2" ht="93.6" x14ac:dyDescent="0.3">
      <c r="B110" s="1133" t="s">
        <v>2518</v>
      </c>
    </row>
    <row r="111" spans="2:2" ht="46.8" x14ac:dyDescent="0.3">
      <c r="B111" s="1133" t="s">
        <v>2519</v>
      </c>
    </row>
    <row r="112" spans="2:2" ht="62.4" x14ac:dyDescent="0.3">
      <c r="B112" s="1133" t="s">
        <v>2520</v>
      </c>
    </row>
    <row r="113" spans="2:2" ht="31.2" x14ac:dyDescent="0.3">
      <c r="B113" s="1133" t="s">
        <v>2521</v>
      </c>
    </row>
    <row r="115" spans="2:2" s="1129" customFormat="1" ht="16.2" thickBot="1" x14ac:dyDescent="0.35">
      <c r="B115" s="1136" t="s">
        <v>2565</v>
      </c>
    </row>
    <row r="116" spans="2:2" ht="31.2" x14ac:dyDescent="0.3">
      <c r="B116" s="1134" t="s">
        <v>2607</v>
      </c>
    </row>
    <row r="117" spans="2:2" ht="46.8" x14ac:dyDescent="0.3">
      <c r="B117" s="1134" t="s">
        <v>2566</v>
      </c>
    </row>
    <row r="118" spans="2:2" ht="31.2" x14ac:dyDescent="0.3">
      <c r="B118" s="1134" t="s">
        <v>2567</v>
      </c>
    </row>
    <row r="119" spans="2:2" x14ac:dyDescent="0.3">
      <c r="B119" s="1134" t="s">
        <v>2568</v>
      </c>
    </row>
    <row r="120" spans="2:2" ht="46.8" x14ac:dyDescent="0.3">
      <c r="B120" s="1134" t="s">
        <v>2569</v>
      </c>
    </row>
    <row r="122" spans="2:2" s="1129" customFormat="1" ht="16.2" thickBot="1" x14ac:dyDescent="0.35">
      <c r="B122" s="1136" t="s">
        <v>2381</v>
      </c>
    </row>
    <row r="123" spans="2:2" x14ac:dyDescent="0.3">
      <c r="B123" s="1134" t="s">
        <v>2570</v>
      </c>
    </row>
    <row r="124" spans="2:2" s="1138" customFormat="1" x14ac:dyDescent="0.3">
      <c r="B124" s="1134" t="s">
        <v>2571</v>
      </c>
    </row>
    <row r="125" spans="2:2" s="1138" customFormat="1" x14ac:dyDescent="0.3">
      <c r="B125" s="1134" t="s">
        <v>2572</v>
      </c>
    </row>
    <row r="126" spans="2:2" s="1138" customFormat="1" x14ac:dyDescent="0.3">
      <c r="B126" s="1134" t="s">
        <v>2573</v>
      </c>
    </row>
    <row r="127" spans="2:2" s="1138" customFormat="1" x14ac:dyDescent="0.3">
      <c r="B127" s="1134" t="s">
        <v>2731</v>
      </c>
    </row>
    <row r="128" spans="2:2" s="1138" customFormat="1" x14ac:dyDescent="0.3">
      <c r="B128" s="1134" t="s">
        <v>2732</v>
      </c>
    </row>
    <row r="130" spans="2:2" s="1129" customFormat="1" ht="16.2" thickBot="1" x14ac:dyDescent="0.35">
      <c r="B130" s="1136" t="s">
        <v>2522</v>
      </c>
    </row>
    <row r="131" spans="2:2" ht="46.8" x14ac:dyDescent="0.3">
      <c r="B131" s="1127" t="s">
        <v>6</v>
      </c>
    </row>
    <row r="132" spans="2:2" ht="78" x14ac:dyDescent="0.3">
      <c r="B132" s="1133" t="s">
        <v>2523</v>
      </c>
    </row>
    <row r="133" spans="2:2" ht="124.8" x14ac:dyDescent="0.3">
      <c r="B133" s="1133" t="s">
        <v>2524</v>
      </c>
    </row>
    <row r="134" spans="2:2" ht="62.4" x14ac:dyDescent="0.3">
      <c r="B134" s="1132" t="s">
        <v>2525</v>
      </c>
    </row>
    <row r="135" spans="2:2" ht="124.8" x14ac:dyDescent="0.3">
      <c r="B135" s="1133" t="s">
        <v>2576</v>
      </c>
    </row>
    <row r="136" spans="2:2" ht="31.2" x14ac:dyDescent="0.3">
      <c r="B136" s="1133" t="s">
        <v>2526</v>
      </c>
    </row>
    <row r="137" spans="2:2" ht="46.8" x14ac:dyDescent="0.3">
      <c r="B137" s="1133" t="s">
        <v>2527</v>
      </c>
    </row>
    <row r="138" spans="2:2" ht="140.4" x14ac:dyDescent="0.3">
      <c r="B138" s="1133" t="s">
        <v>2528</v>
      </c>
    </row>
    <row r="139" spans="2:2" ht="140.4" x14ac:dyDescent="0.3">
      <c r="B139" s="1131" t="s">
        <v>2480</v>
      </c>
    </row>
    <row r="140" spans="2:2" ht="93.6" x14ac:dyDescent="0.3">
      <c r="B140" s="1133" t="s">
        <v>2529</v>
      </c>
    </row>
    <row r="141" spans="2:2" ht="109.2" x14ac:dyDescent="0.3">
      <c r="B141" s="1127" t="s">
        <v>2577</v>
      </c>
    </row>
    <row r="142" spans="2:2" ht="46.8" x14ac:dyDescent="0.3">
      <c r="B142" s="1133" t="s">
        <v>2530</v>
      </c>
    </row>
    <row r="143" spans="2:2" ht="46.8" x14ac:dyDescent="0.3">
      <c r="B143" s="1133" t="s">
        <v>2531</v>
      </c>
    </row>
    <row r="144" spans="2:2" ht="46.8" x14ac:dyDescent="0.3">
      <c r="B144" s="1133" t="s">
        <v>2532</v>
      </c>
    </row>
    <row r="145" spans="2:2" ht="31.2" x14ac:dyDescent="0.3">
      <c r="B145" s="1133" t="s">
        <v>2533</v>
      </c>
    </row>
    <row r="147" spans="2:2" s="1129" customFormat="1" ht="16.2" thickBot="1" x14ac:dyDescent="0.35">
      <c r="B147" s="1136" t="s">
        <v>2503</v>
      </c>
    </row>
    <row r="148" spans="2:2" x14ac:dyDescent="0.3">
      <c r="B148" s="1130" t="s">
        <v>2147</v>
      </c>
    </row>
    <row r="149" spans="2:2" ht="156" x14ac:dyDescent="0.3">
      <c r="B149" s="1132" t="s">
        <v>2504</v>
      </c>
    </row>
    <row r="150" spans="2:2" ht="140.4" x14ac:dyDescent="0.3">
      <c r="B150" s="1133" t="s">
        <v>2505</v>
      </c>
    </row>
    <row r="151" spans="2:2" ht="31.2" x14ac:dyDescent="0.3">
      <c r="B151" s="1133" t="s">
        <v>2506</v>
      </c>
    </row>
    <row r="152" spans="2:2" ht="109.2" x14ac:dyDescent="0.3">
      <c r="B152" s="1133" t="s">
        <v>2507</v>
      </c>
    </row>
    <row r="153" spans="2:2" ht="31.2" x14ac:dyDescent="0.3">
      <c r="B153" s="1132" t="s">
        <v>2508</v>
      </c>
    </row>
    <row r="154" spans="2:2" ht="78" x14ac:dyDescent="0.3">
      <c r="B154" s="1133" t="s">
        <v>2509</v>
      </c>
    </row>
    <row r="156" spans="2:2" s="1129" customFormat="1" ht="16.2" thickBot="1" x14ac:dyDescent="0.35">
      <c r="B156" s="1136" t="s">
        <v>3</v>
      </c>
    </row>
    <row r="157" spans="2:2" ht="78" x14ac:dyDescent="0.3">
      <c r="B157" s="1133" t="s">
        <v>2510</v>
      </c>
    </row>
    <row r="158" spans="2:2" ht="46.8" x14ac:dyDescent="0.3">
      <c r="B158" s="1133" t="s">
        <v>2578</v>
      </c>
    </row>
    <row r="159" spans="2:2" ht="31.2" x14ac:dyDescent="0.3">
      <c r="B159" s="1133" t="s">
        <v>2511</v>
      </c>
    </row>
    <row r="161" spans="2:2" s="1129" customFormat="1" ht="16.2" thickBot="1" x14ac:dyDescent="0.35">
      <c r="B161" s="1136" t="s">
        <v>7</v>
      </c>
    </row>
    <row r="162" spans="2:2" ht="93.6" x14ac:dyDescent="0.3">
      <c r="B162" s="1133" t="s">
        <v>2534</v>
      </c>
    </row>
    <row r="163" spans="2:2" ht="93.6" x14ac:dyDescent="0.3">
      <c r="B163" s="1133" t="s">
        <v>2583</v>
      </c>
    </row>
    <row r="164" spans="2:2" ht="31.2" x14ac:dyDescent="0.3">
      <c r="B164" s="1133" t="s">
        <v>2584</v>
      </c>
    </row>
    <row r="165" spans="2:2" ht="31.2" x14ac:dyDescent="0.3">
      <c r="B165" s="1137" t="s">
        <v>2712</v>
      </c>
    </row>
    <row r="167" spans="2:2" s="1129" customFormat="1" ht="16.2" thickBot="1" x14ac:dyDescent="0.35">
      <c r="B167" s="1136" t="s">
        <v>2587</v>
      </c>
    </row>
    <row r="168" spans="2:2" x14ac:dyDescent="0.3">
      <c r="B168" s="1130" t="s">
        <v>2589</v>
      </c>
    </row>
    <row r="170" spans="2:2" s="1129" customFormat="1" ht="16.2" thickBot="1" x14ac:dyDescent="0.35">
      <c r="B170" s="1136" t="s">
        <v>2594</v>
      </c>
    </row>
    <row r="171" spans="2:2" x14ac:dyDescent="0.3">
      <c r="B171" s="1130" t="s">
        <v>2595</v>
      </c>
    </row>
    <row r="172" spans="2:2" x14ac:dyDescent="0.3">
      <c r="B172" s="1135" t="s">
        <v>2596</v>
      </c>
    </row>
    <row r="174" spans="2:2" s="1129" customFormat="1" ht="16.2" thickBot="1" x14ac:dyDescent="0.35">
      <c r="B174" s="1136" t="s">
        <v>2597</v>
      </c>
    </row>
    <row r="175" spans="2:2" x14ac:dyDescent="0.3">
      <c r="B175" s="1130" t="s">
        <v>2598</v>
      </c>
    </row>
    <row r="177" spans="2:2" s="1129" customFormat="1" ht="16.2" thickBot="1" x14ac:dyDescent="0.35">
      <c r="B177" s="1136" t="s">
        <v>2599</v>
      </c>
    </row>
    <row r="178" spans="2:2" ht="46.8" x14ac:dyDescent="0.3">
      <c r="B178" s="1130" t="s">
        <v>2704</v>
      </c>
    </row>
    <row r="179" spans="2:2" ht="31.2" x14ac:dyDescent="0.3">
      <c r="B179" s="1134" t="s">
        <v>2703</v>
      </c>
    </row>
    <row r="181" spans="2:2" s="1129" customFormat="1" ht="16.2" thickBot="1" x14ac:dyDescent="0.35">
      <c r="B181" s="1136" t="s">
        <v>2600</v>
      </c>
    </row>
    <row r="182" spans="2:2" x14ac:dyDescent="0.3">
      <c r="B182" s="1130" t="s">
        <v>2601</v>
      </c>
    </row>
    <row r="183" spans="2:2" x14ac:dyDescent="0.3">
      <c r="B183" s="1134"/>
    </row>
  </sheetData>
  <sheetProtection algorithmName="SHA-512" hashValue="hCCkzqQ0YsEtViVlVpNIcxbXVr5iRhjK7x1MFZ+sWfm7aE3O3HlO6J/+8zqAu9ETqSzD6m/iUHkVZX6tOIHRWQ==" saltValue="6pGDTnz22ADlEAK1eSpBCA==" spinCount="100000" sheet="1" objects="1" scenarios="1"/>
  <pageMargins left="0.25" right="0.25" top="0.25" bottom="0.25" header="0.25" footer="0.25"/>
  <pageSetup fitToHeight="0" orientation="portrait" useFirstPageNumber="1"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C96CB-3442-4664-ACF0-C3C883092763}">
  <sheetPr codeName="Sheet17"/>
  <dimension ref="C2:DH86"/>
  <sheetViews>
    <sheetView workbookViewId="0"/>
  </sheetViews>
  <sheetFormatPr defaultColWidth="9" defaultRowHeight="13.2" x14ac:dyDescent="0.25"/>
  <sheetData>
    <row r="2" spans="3:112" x14ac:dyDescent="0.25">
      <c r="C2" s="310" t="s">
        <v>14</v>
      </c>
      <c r="D2">
        <v>17</v>
      </c>
      <c r="E2" s="310" t="s">
        <v>296</v>
      </c>
      <c r="F2">
        <v>3</v>
      </c>
      <c r="G2" s="310" t="s">
        <v>297</v>
      </c>
      <c r="H2">
        <v>20</v>
      </c>
      <c r="I2" s="310" t="s">
        <v>298</v>
      </c>
      <c r="J2">
        <v>38</v>
      </c>
      <c r="K2" s="310" t="s">
        <v>299</v>
      </c>
      <c r="L2">
        <v>252</v>
      </c>
      <c r="M2" s="310" t="s">
        <v>299</v>
      </c>
      <c r="N2">
        <v>254</v>
      </c>
      <c r="O2" s="310" t="s">
        <v>300</v>
      </c>
      <c r="P2">
        <v>256</v>
      </c>
      <c r="Q2" s="310" t="s">
        <v>40</v>
      </c>
      <c r="R2">
        <v>1</v>
      </c>
      <c r="S2" s="310" t="s">
        <v>254</v>
      </c>
      <c r="T2">
        <v>285</v>
      </c>
      <c r="U2" s="310" t="s">
        <v>301</v>
      </c>
      <c r="V2">
        <v>10</v>
      </c>
      <c r="W2" s="310" t="s">
        <v>301</v>
      </c>
      <c r="X2">
        <v>18</v>
      </c>
      <c r="Y2" s="310" t="s">
        <v>299</v>
      </c>
      <c r="Z2">
        <v>146</v>
      </c>
      <c r="AA2" s="310" t="s">
        <v>299</v>
      </c>
      <c r="AB2">
        <v>148</v>
      </c>
      <c r="AC2" s="310" t="s">
        <v>299</v>
      </c>
      <c r="AD2">
        <v>150</v>
      </c>
      <c r="AE2" s="310" t="s">
        <v>299</v>
      </c>
      <c r="AF2">
        <v>152</v>
      </c>
      <c r="AG2" s="310" t="s">
        <v>299</v>
      </c>
      <c r="AH2">
        <v>154</v>
      </c>
      <c r="AI2" s="310" t="s">
        <v>299</v>
      </c>
      <c r="AJ2">
        <v>156</v>
      </c>
      <c r="AK2" s="310" t="s">
        <v>299</v>
      </c>
      <c r="AL2">
        <v>158</v>
      </c>
      <c r="AM2" s="310" t="s">
        <v>299</v>
      </c>
      <c r="AN2">
        <v>188</v>
      </c>
      <c r="AO2" s="310" t="s">
        <v>299</v>
      </c>
      <c r="AP2">
        <v>190</v>
      </c>
      <c r="AQ2" s="310" t="s">
        <v>299</v>
      </c>
      <c r="AR2">
        <v>192</v>
      </c>
      <c r="AS2" s="310" t="s">
        <v>299</v>
      </c>
      <c r="AT2">
        <v>194</v>
      </c>
      <c r="AU2" s="310" t="s">
        <v>2012</v>
      </c>
      <c r="AV2">
        <v>56</v>
      </c>
      <c r="AW2" s="310" t="s">
        <v>302</v>
      </c>
      <c r="AX2">
        <v>15</v>
      </c>
      <c r="AY2" s="310" t="s">
        <v>318</v>
      </c>
      <c r="AZ2">
        <v>57</v>
      </c>
      <c r="BA2" s="310" t="s">
        <v>299</v>
      </c>
      <c r="BB2">
        <v>144</v>
      </c>
      <c r="BC2" s="310" t="s">
        <v>299</v>
      </c>
      <c r="BD2">
        <v>126</v>
      </c>
      <c r="BE2" s="310" t="s">
        <v>299</v>
      </c>
      <c r="BF2">
        <v>128</v>
      </c>
      <c r="BG2" s="310" t="s">
        <v>299</v>
      </c>
      <c r="BH2">
        <v>130</v>
      </c>
      <c r="BI2" s="310" t="s">
        <v>299</v>
      </c>
      <c r="BJ2">
        <v>132</v>
      </c>
      <c r="BK2" s="310" t="s">
        <v>299</v>
      </c>
      <c r="BL2">
        <v>134</v>
      </c>
      <c r="BM2" s="310" t="s">
        <v>299</v>
      </c>
      <c r="BN2">
        <v>136</v>
      </c>
      <c r="BO2" s="310" t="s">
        <v>299</v>
      </c>
      <c r="BP2">
        <v>138</v>
      </c>
      <c r="BQ2" s="310" t="s">
        <v>299</v>
      </c>
      <c r="BR2">
        <v>140</v>
      </c>
      <c r="BS2" s="310" t="s">
        <v>196</v>
      </c>
      <c r="BT2">
        <v>5</v>
      </c>
      <c r="BU2" s="310" t="s">
        <v>303</v>
      </c>
      <c r="BV2">
        <v>1</v>
      </c>
      <c r="BW2" s="310" t="s">
        <v>152</v>
      </c>
      <c r="BX2">
        <v>229</v>
      </c>
      <c r="BY2" s="310" t="s">
        <v>298</v>
      </c>
      <c r="BZ2">
        <v>8</v>
      </c>
      <c r="CA2" s="310" t="s">
        <v>304</v>
      </c>
      <c r="CB2">
        <v>5</v>
      </c>
      <c r="CC2" s="310" t="s">
        <v>299</v>
      </c>
      <c r="CD2">
        <v>162</v>
      </c>
      <c r="CE2" s="310" t="s">
        <v>299</v>
      </c>
      <c r="CF2">
        <v>164</v>
      </c>
      <c r="CG2" s="310" t="s">
        <v>299</v>
      </c>
      <c r="CH2">
        <v>166</v>
      </c>
      <c r="CI2" s="310" t="s">
        <v>299</v>
      </c>
      <c r="CJ2">
        <v>168</v>
      </c>
      <c r="CK2" s="310" t="s">
        <v>174</v>
      </c>
      <c r="CL2">
        <v>170</v>
      </c>
      <c r="CM2" s="310" t="s">
        <v>174</v>
      </c>
      <c r="CN2">
        <v>174</v>
      </c>
      <c r="CO2" s="310" t="s">
        <v>299</v>
      </c>
      <c r="CP2">
        <v>186</v>
      </c>
      <c r="CQ2" s="310" t="s">
        <v>299</v>
      </c>
      <c r="CR2">
        <v>235</v>
      </c>
      <c r="CS2" s="310" t="s">
        <v>305</v>
      </c>
      <c r="CT2">
        <v>237</v>
      </c>
      <c r="CU2" s="310" t="s">
        <v>306</v>
      </c>
      <c r="CV2">
        <v>239</v>
      </c>
      <c r="CW2" s="310" t="s">
        <v>307</v>
      </c>
      <c r="CX2">
        <v>241</v>
      </c>
      <c r="CY2" s="310" t="s">
        <v>308</v>
      </c>
      <c r="CZ2">
        <v>244</v>
      </c>
      <c r="DA2" s="310" t="s">
        <v>309</v>
      </c>
      <c r="DB2">
        <v>1</v>
      </c>
      <c r="DC2" s="310" t="s">
        <v>2715</v>
      </c>
      <c r="DD2">
        <v>68</v>
      </c>
      <c r="DE2" s="310" t="s">
        <v>299</v>
      </c>
      <c r="DF2">
        <v>124</v>
      </c>
      <c r="DG2" s="310" t="s">
        <v>311</v>
      </c>
      <c r="DH2">
        <v>4</v>
      </c>
    </row>
    <row r="3" spans="3:112" x14ac:dyDescent="0.25">
      <c r="C3" s="310" t="s">
        <v>15</v>
      </c>
      <c r="D3">
        <v>18</v>
      </c>
      <c r="E3" s="310" t="s">
        <v>312</v>
      </c>
      <c r="F3">
        <v>4</v>
      </c>
      <c r="G3" s="310" t="s">
        <v>313</v>
      </c>
      <c r="H3">
        <v>21</v>
      </c>
      <c r="I3" s="310" t="s">
        <v>314</v>
      </c>
      <c r="J3">
        <v>5</v>
      </c>
      <c r="K3" s="310" t="s">
        <v>288</v>
      </c>
      <c r="L3">
        <v>253</v>
      </c>
      <c r="M3" s="310" t="s">
        <v>288</v>
      </c>
      <c r="N3">
        <v>255</v>
      </c>
      <c r="O3" s="310" t="s">
        <v>315</v>
      </c>
      <c r="P3">
        <v>257</v>
      </c>
      <c r="Q3" s="310" t="s">
        <v>37</v>
      </c>
      <c r="R3">
        <v>2</v>
      </c>
      <c r="S3" s="310" t="s">
        <v>256</v>
      </c>
      <c r="T3">
        <v>286</v>
      </c>
      <c r="U3" s="310" t="s">
        <v>316</v>
      </c>
      <c r="V3">
        <v>11</v>
      </c>
      <c r="W3" s="310" t="s">
        <v>316</v>
      </c>
      <c r="X3">
        <v>19</v>
      </c>
      <c r="Y3" s="310" t="s">
        <v>288</v>
      </c>
      <c r="Z3">
        <v>147</v>
      </c>
      <c r="AA3" s="310" t="s">
        <v>288</v>
      </c>
      <c r="AB3">
        <v>149</v>
      </c>
      <c r="AC3" s="310" t="s">
        <v>288</v>
      </c>
      <c r="AD3">
        <v>151</v>
      </c>
      <c r="AE3" s="310" t="s">
        <v>288</v>
      </c>
      <c r="AF3">
        <v>153</v>
      </c>
      <c r="AG3" s="310" t="s">
        <v>288</v>
      </c>
      <c r="AH3">
        <v>155</v>
      </c>
      <c r="AI3" s="310" t="s">
        <v>288</v>
      </c>
      <c r="AJ3">
        <v>157</v>
      </c>
      <c r="AK3" s="310" t="s">
        <v>288</v>
      </c>
      <c r="AL3">
        <v>159</v>
      </c>
      <c r="AM3" s="310" t="s">
        <v>288</v>
      </c>
      <c r="AN3">
        <v>189</v>
      </c>
      <c r="AO3" s="310" t="s">
        <v>288</v>
      </c>
      <c r="AP3">
        <v>191</v>
      </c>
      <c r="AQ3" s="310" t="s">
        <v>288</v>
      </c>
      <c r="AR3">
        <v>193</v>
      </c>
      <c r="AS3" s="310" t="s">
        <v>288</v>
      </c>
      <c r="AT3">
        <v>195</v>
      </c>
      <c r="AU3" s="310" t="s">
        <v>2013</v>
      </c>
      <c r="AV3">
        <v>19</v>
      </c>
      <c r="AW3" s="310" t="s">
        <v>317</v>
      </c>
      <c r="AX3">
        <v>14</v>
      </c>
      <c r="AY3" s="310" t="s">
        <v>334</v>
      </c>
      <c r="AZ3">
        <v>3</v>
      </c>
      <c r="BA3" s="310" t="s">
        <v>288</v>
      </c>
      <c r="BB3">
        <v>145</v>
      </c>
      <c r="BC3" s="310" t="s">
        <v>288</v>
      </c>
      <c r="BD3">
        <v>127</v>
      </c>
      <c r="BE3" s="310" t="s">
        <v>288</v>
      </c>
      <c r="BF3">
        <v>129</v>
      </c>
      <c r="BG3" s="310" t="s">
        <v>288</v>
      </c>
      <c r="BH3">
        <v>131</v>
      </c>
      <c r="BI3" s="310" t="s">
        <v>288</v>
      </c>
      <c r="BJ3">
        <v>133</v>
      </c>
      <c r="BK3" s="310" t="s">
        <v>288</v>
      </c>
      <c r="BL3">
        <v>135</v>
      </c>
      <c r="BM3" s="310" t="s">
        <v>288</v>
      </c>
      <c r="BN3">
        <v>137</v>
      </c>
      <c r="BO3" s="310" t="s">
        <v>288</v>
      </c>
      <c r="BP3">
        <v>139</v>
      </c>
      <c r="BQ3" s="310" t="s">
        <v>288</v>
      </c>
      <c r="BR3">
        <v>141</v>
      </c>
      <c r="BS3" s="310" t="s">
        <v>198</v>
      </c>
      <c r="BT3">
        <v>6</v>
      </c>
      <c r="BU3" s="310" t="s">
        <v>319</v>
      </c>
      <c r="BV3">
        <v>2</v>
      </c>
      <c r="BW3" s="310" t="s">
        <v>153</v>
      </c>
      <c r="BX3">
        <v>230</v>
      </c>
      <c r="BY3" s="310" t="s">
        <v>314</v>
      </c>
      <c r="BZ3">
        <v>1</v>
      </c>
      <c r="CA3" s="310" t="s">
        <v>320</v>
      </c>
      <c r="CB3">
        <v>6</v>
      </c>
      <c r="CC3" s="310" t="s">
        <v>288</v>
      </c>
      <c r="CD3">
        <v>163</v>
      </c>
      <c r="CE3" s="310" t="s">
        <v>288</v>
      </c>
      <c r="CF3">
        <v>165</v>
      </c>
      <c r="CG3" s="310" t="s">
        <v>288</v>
      </c>
      <c r="CH3">
        <v>167</v>
      </c>
      <c r="CI3" s="310" t="s">
        <v>288</v>
      </c>
      <c r="CJ3">
        <v>169</v>
      </c>
      <c r="CK3" s="310" t="s">
        <v>175</v>
      </c>
      <c r="CL3">
        <v>171</v>
      </c>
      <c r="CM3" s="310" t="s">
        <v>175</v>
      </c>
      <c r="CN3">
        <v>175</v>
      </c>
      <c r="CO3" s="310" t="s">
        <v>288</v>
      </c>
      <c r="CP3">
        <v>187</v>
      </c>
      <c r="CQ3" s="310" t="s">
        <v>288</v>
      </c>
      <c r="CR3">
        <v>236</v>
      </c>
      <c r="CS3" s="310" t="s">
        <v>321</v>
      </c>
      <c r="CT3">
        <v>238</v>
      </c>
      <c r="CU3" s="310" t="s">
        <v>322</v>
      </c>
      <c r="CV3">
        <v>240</v>
      </c>
      <c r="CW3" s="310" t="s">
        <v>323</v>
      </c>
      <c r="CX3">
        <v>242</v>
      </c>
      <c r="CY3" s="310" t="s">
        <v>324</v>
      </c>
      <c r="CZ3">
        <v>245</v>
      </c>
      <c r="DA3" s="310" t="s">
        <v>325</v>
      </c>
      <c r="DB3">
        <v>2</v>
      </c>
      <c r="DC3" s="310" t="s">
        <v>447</v>
      </c>
      <c r="DD3">
        <v>4</v>
      </c>
      <c r="DE3" s="310" t="s">
        <v>288</v>
      </c>
      <c r="DF3">
        <v>125</v>
      </c>
      <c r="DG3" s="310" t="s">
        <v>327</v>
      </c>
      <c r="DH3">
        <v>1</v>
      </c>
    </row>
    <row r="4" spans="3:112" x14ac:dyDescent="0.25">
      <c r="C4" s="310" t="s">
        <v>11</v>
      </c>
      <c r="D4">
        <v>19</v>
      </c>
      <c r="E4" s="310" t="s">
        <v>328</v>
      </c>
      <c r="F4">
        <v>10</v>
      </c>
      <c r="G4" s="310" t="s">
        <v>329</v>
      </c>
      <c r="H4">
        <v>22</v>
      </c>
      <c r="I4" s="310" t="s">
        <v>330</v>
      </c>
      <c r="J4">
        <v>39</v>
      </c>
      <c r="O4" s="310" t="s">
        <v>331</v>
      </c>
      <c r="P4">
        <v>258</v>
      </c>
      <c r="Q4" s="310" t="s">
        <v>46</v>
      </c>
      <c r="R4">
        <v>3</v>
      </c>
      <c r="S4" s="310" t="s">
        <v>258</v>
      </c>
      <c r="T4">
        <v>308</v>
      </c>
      <c r="U4" s="310" t="s">
        <v>332</v>
      </c>
      <c r="V4">
        <v>12</v>
      </c>
      <c r="W4" s="310" t="s">
        <v>332</v>
      </c>
      <c r="X4">
        <v>20</v>
      </c>
      <c r="AU4" s="310" t="s">
        <v>2014</v>
      </c>
      <c r="AV4">
        <v>24</v>
      </c>
      <c r="AW4" s="310" t="s">
        <v>333</v>
      </c>
      <c r="AX4">
        <v>16</v>
      </c>
      <c r="AY4" s="310" t="s">
        <v>2756</v>
      </c>
      <c r="AZ4">
        <v>86</v>
      </c>
      <c r="BS4" s="310" t="s">
        <v>199</v>
      </c>
      <c r="BT4">
        <v>7</v>
      </c>
      <c r="BU4" s="310" t="s">
        <v>335</v>
      </c>
      <c r="BV4">
        <v>3</v>
      </c>
      <c r="BW4" s="310" t="s">
        <v>154</v>
      </c>
      <c r="BX4">
        <v>231</v>
      </c>
      <c r="BY4" s="310" t="s">
        <v>330</v>
      </c>
      <c r="BZ4">
        <v>2</v>
      </c>
      <c r="CA4" s="310" t="s">
        <v>336</v>
      </c>
      <c r="CB4">
        <v>7</v>
      </c>
      <c r="CK4" s="310" t="s">
        <v>176</v>
      </c>
      <c r="CL4">
        <v>172</v>
      </c>
      <c r="CM4" s="310" t="s">
        <v>176</v>
      </c>
      <c r="CN4">
        <v>176</v>
      </c>
      <c r="CW4" s="310" t="s">
        <v>337</v>
      </c>
      <c r="CX4">
        <v>243</v>
      </c>
      <c r="DC4" s="310" t="s">
        <v>2051</v>
      </c>
      <c r="DD4">
        <v>63</v>
      </c>
      <c r="DG4" s="310" t="s">
        <v>339</v>
      </c>
      <c r="DH4">
        <v>5</v>
      </c>
    </row>
    <row r="5" spans="3:112" x14ac:dyDescent="0.25">
      <c r="C5" s="310" t="s">
        <v>13</v>
      </c>
      <c r="D5">
        <v>20</v>
      </c>
      <c r="E5" s="310" t="s">
        <v>341</v>
      </c>
      <c r="F5">
        <v>5</v>
      </c>
      <c r="G5" s="310" t="s">
        <v>342</v>
      </c>
      <c r="H5">
        <v>12</v>
      </c>
      <c r="I5" s="310" t="s">
        <v>343</v>
      </c>
      <c r="J5">
        <v>40</v>
      </c>
      <c r="O5" s="310" t="s">
        <v>344</v>
      </c>
      <c r="P5">
        <v>259</v>
      </c>
      <c r="Q5" s="310" t="s">
        <v>43</v>
      </c>
      <c r="R5">
        <v>4</v>
      </c>
      <c r="S5" s="310" t="s">
        <v>259</v>
      </c>
      <c r="T5">
        <v>287</v>
      </c>
      <c r="U5" s="310" t="s">
        <v>345</v>
      </c>
      <c r="V5">
        <v>13</v>
      </c>
      <c r="W5" s="310" t="s">
        <v>345</v>
      </c>
      <c r="X5">
        <v>21</v>
      </c>
      <c r="AU5" s="310" t="s">
        <v>2015</v>
      </c>
      <c r="AV5">
        <v>40</v>
      </c>
      <c r="AW5" s="310" t="s">
        <v>317</v>
      </c>
      <c r="AX5">
        <v>12</v>
      </c>
      <c r="AY5" s="310" t="s">
        <v>2080</v>
      </c>
      <c r="AZ5">
        <v>85</v>
      </c>
      <c r="BS5" s="310" t="s">
        <v>201</v>
      </c>
      <c r="BT5">
        <v>8</v>
      </c>
      <c r="BU5" s="310" t="s">
        <v>347</v>
      </c>
      <c r="BV5">
        <v>4</v>
      </c>
      <c r="BW5" s="310" t="s">
        <v>156</v>
      </c>
      <c r="BX5">
        <v>232</v>
      </c>
      <c r="BY5" s="310" t="s">
        <v>343</v>
      </c>
      <c r="BZ5">
        <v>3</v>
      </c>
      <c r="CA5" s="310" t="s">
        <v>348</v>
      </c>
      <c r="CB5">
        <v>8</v>
      </c>
      <c r="CK5" s="310" t="s">
        <v>177</v>
      </c>
      <c r="CL5">
        <v>173</v>
      </c>
      <c r="CM5" s="310" t="s">
        <v>177</v>
      </c>
      <c r="CN5">
        <v>177</v>
      </c>
      <c r="DC5" s="310" t="s">
        <v>2744</v>
      </c>
      <c r="DD5">
        <v>66</v>
      </c>
      <c r="DG5" s="310" t="s">
        <v>350</v>
      </c>
      <c r="DH5">
        <v>2</v>
      </c>
    </row>
    <row r="6" spans="3:112" x14ac:dyDescent="0.25">
      <c r="C6" s="310" t="s">
        <v>10</v>
      </c>
      <c r="D6">
        <v>21</v>
      </c>
      <c r="E6" s="310" t="s">
        <v>351</v>
      </c>
      <c r="F6">
        <v>11</v>
      </c>
      <c r="G6" s="310" t="s">
        <v>352</v>
      </c>
      <c r="H6">
        <v>13</v>
      </c>
      <c r="I6" s="310" t="s">
        <v>353</v>
      </c>
      <c r="J6">
        <v>41</v>
      </c>
      <c r="O6" s="310" t="s">
        <v>354</v>
      </c>
      <c r="P6">
        <v>260</v>
      </c>
      <c r="Q6" s="310" t="s">
        <v>48</v>
      </c>
      <c r="R6">
        <v>5</v>
      </c>
      <c r="S6" s="310" t="s">
        <v>260</v>
      </c>
      <c r="T6">
        <v>288</v>
      </c>
      <c r="U6" s="310" t="s">
        <v>355</v>
      </c>
      <c r="V6">
        <v>14</v>
      </c>
      <c r="W6" s="310" t="s">
        <v>355</v>
      </c>
      <c r="X6">
        <v>22</v>
      </c>
      <c r="AU6" s="310" t="s">
        <v>2016</v>
      </c>
      <c r="AV6">
        <v>20</v>
      </c>
      <c r="AW6" s="310" t="s">
        <v>302</v>
      </c>
      <c r="AX6">
        <v>13</v>
      </c>
      <c r="AY6" s="310" t="s">
        <v>346</v>
      </c>
      <c r="AZ6">
        <v>2</v>
      </c>
      <c r="BU6" s="310" t="s">
        <v>357</v>
      </c>
      <c r="BV6">
        <v>5</v>
      </c>
      <c r="BW6" s="310" t="s">
        <v>158</v>
      </c>
      <c r="BX6">
        <v>233</v>
      </c>
      <c r="BY6" s="310" t="s">
        <v>353</v>
      </c>
      <c r="BZ6">
        <v>4</v>
      </c>
      <c r="CA6" s="310" t="s">
        <v>358</v>
      </c>
      <c r="CB6">
        <v>9</v>
      </c>
      <c r="CK6" s="310" t="s">
        <v>2749</v>
      </c>
      <c r="CL6">
        <v>584</v>
      </c>
      <c r="DC6" s="310" t="s">
        <v>2052</v>
      </c>
      <c r="DD6">
        <v>43</v>
      </c>
      <c r="DG6" s="310" t="s">
        <v>360</v>
      </c>
      <c r="DH6">
        <v>3</v>
      </c>
    </row>
    <row r="7" spans="3:112" x14ac:dyDescent="0.25">
      <c r="E7" s="310" t="s">
        <v>361</v>
      </c>
      <c r="F7">
        <v>12</v>
      </c>
      <c r="G7" s="310" t="s">
        <v>362</v>
      </c>
      <c r="H7">
        <v>14</v>
      </c>
      <c r="I7" s="310" t="s">
        <v>363</v>
      </c>
      <c r="J7">
        <v>42</v>
      </c>
      <c r="O7" s="310" t="s">
        <v>364</v>
      </c>
      <c r="P7">
        <v>261</v>
      </c>
      <c r="Q7" s="310" t="s">
        <v>50</v>
      </c>
      <c r="R7">
        <v>6</v>
      </c>
      <c r="S7" s="310" t="s">
        <v>261</v>
      </c>
      <c r="T7">
        <v>289</v>
      </c>
      <c r="U7" s="310" t="s">
        <v>365</v>
      </c>
      <c r="V7">
        <v>15</v>
      </c>
      <c r="W7" s="310" t="s">
        <v>365</v>
      </c>
      <c r="X7">
        <v>23</v>
      </c>
      <c r="AU7" s="310" t="s">
        <v>2017</v>
      </c>
      <c r="AV7">
        <v>25</v>
      </c>
      <c r="AW7" s="310" t="s">
        <v>333</v>
      </c>
      <c r="AX7">
        <v>11</v>
      </c>
      <c r="AY7" s="310" t="s">
        <v>356</v>
      </c>
      <c r="AZ7">
        <v>62</v>
      </c>
      <c r="BU7" s="310" t="s">
        <v>367</v>
      </c>
      <c r="BV7">
        <v>6</v>
      </c>
      <c r="BW7" s="310" t="s">
        <v>160</v>
      </c>
      <c r="BX7">
        <v>234</v>
      </c>
      <c r="BY7" s="310" t="s">
        <v>363</v>
      </c>
      <c r="BZ7">
        <v>5</v>
      </c>
      <c r="CA7" s="310" t="s">
        <v>368</v>
      </c>
      <c r="CB7">
        <v>1</v>
      </c>
      <c r="DC7" s="310" t="s">
        <v>310</v>
      </c>
      <c r="DD7">
        <v>27</v>
      </c>
    </row>
    <row r="8" spans="3:112" x14ac:dyDescent="0.25">
      <c r="E8" s="310" t="s">
        <v>370</v>
      </c>
      <c r="F8">
        <v>6</v>
      </c>
      <c r="G8" s="310" t="s">
        <v>371</v>
      </c>
      <c r="H8">
        <v>15</v>
      </c>
      <c r="I8" s="310" t="s">
        <v>372</v>
      </c>
      <c r="J8">
        <v>43</v>
      </c>
      <c r="O8" s="310" t="s">
        <v>373</v>
      </c>
      <c r="P8">
        <v>262</v>
      </c>
      <c r="Q8" s="310" t="s">
        <v>51</v>
      </c>
      <c r="R8">
        <v>7</v>
      </c>
      <c r="S8" s="310" t="s">
        <v>262</v>
      </c>
      <c r="T8">
        <v>290</v>
      </c>
      <c r="U8" s="310" t="s">
        <v>374</v>
      </c>
      <c r="V8">
        <v>16</v>
      </c>
      <c r="W8" s="310" t="s">
        <v>374</v>
      </c>
      <c r="X8">
        <v>24</v>
      </c>
      <c r="AU8" s="310" t="s">
        <v>340</v>
      </c>
      <c r="AV8">
        <v>21</v>
      </c>
      <c r="AY8" s="310" t="s">
        <v>366</v>
      </c>
      <c r="AZ8">
        <v>41</v>
      </c>
      <c r="BU8" s="310" t="s">
        <v>376</v>
      </c>
      <c r="BV8">
        <v>7</v>
      </c>
      <c r="BY8" s="310" t="s">
        <v>372</v>
      </c>
      <c r="BZ8">
        <v>6</v>
      </c>
      <c r="CA8" s="310" t="s">
        <v>377</v>
      </c>
      <c r="CB8">
        <v>2</v>
      </c>
      <c r="DC8" s="310" t="s">
        <v>326</v>
      </c>
      <c r="DD8">
        <v>-1</v>
      </c>
    </row>
    <row r="9" spans="3:112" x14ac:dyDescent="0.25">
      <c r="E9" s="310" t="s">
        <v>379</v>
      </c>
      <c r="F9">
        <v>13</v>
      </c>
      <c r="G9" s="310" t="s">
        <v>380</v>
      </c>
      <c r="H9">
        <v>16</v>
      </c>
      <c r="I9" s="310" t="s">
        <v>381</v>
      </c>
      <c r="J9">
        <v>44</v>
      </c>
      <c r="O9" s="310" t="s">
        <v>382</v>
      </c>
      <c r="P9">
        <v>263</v>
      </c>
      <c r="Q9" s="310" t="s">
        <v>53</v>
      </c>
      <c r="R9">
        <v>8</v>
      </c>
      <c r="S9" s="310" t="s">
        <v>263</v>
      </c>
      <c r="T9">
        <v>291</v>
      </c>
      <c r="U9" s="310" t="s">
        <v>383</v>
      </c>
      <c r="V9">
        <v>17</v>
      </c>
      <c r="W9" s="310" t="s">
        <v>383</v>
      </c>
      <c r="X9">
        <v>25</v>
      </c>
      <c r="AU9" s="310" t="s">
        <v>2018</v>
      </c>
      <c r="AV9">
        <v>41</v>
      </c>
      <c r="AY9" s="310" t="s">
        <v>375</v>
      </c>
      <c r="AZ9">
        <v>1</v>
      </c>
      <c r="BY9" s="310" t="s">
        <v>381</v>
      </c>
      <c r="BZ9">
        <v>7</v>
      </c>
      <c r="CA9" s="310" t="s">
        <v>385</v>
      </c>
      <c r="CB9">
        <v>3</v>
      </c>
      <c r="DC9" s="310" t="s">
        <v>2136</v>
      </c>
      <c r="DD9">
        <v>69</v>
      </c>
    </row>
    <row r="10" spans="3:112" x14ac:dyDescent="0.25">
      <c r="E10" s="310" t="s">
        <v>386</v>
      </c>
      <c r="F10">
        <v>7</v>
      </c>
      <c r="G10" s="310" t="s">
        <v>387</v>
      </c>
      <c r="H10">
        <v>17</v>
      </c>
      <c r="Q10" s="310" t="s">
        <v>54</v>
      </c>
      <c r="R10">
        <v>9</v>
      </c>
      <c r="S10" s="310" t="s">
        <v>264</v>
      </c>
      <c r="T10">
        <v>292</v>
      </c>
      <c r="W10" s="310" t="s">
        <v>388</v>
      </c>
      <c r="X10">
        <v>26</v>
      </c>
      <c r="AU10" s="310" t="s">
        <v>2019</v>
      </c>
      <c r="AV10">
        <v>48</v>
      </c>
      <c r="AY10" s="310" t="s">
        <v>384</v>
      </c>
      <c r="AZ10">
        <v>74</v>
      </c>
      <c r="CA10" s="310" t="s">
        <v>390</v>
      </c>
      <c r="CB10">
        <v>10</v>
      </c>
      <c r="DC10" s="310" t="s">
        <v>255</v>
      </c>
      <c r="DD10">
        <v>5</v>
      </c>
    </row>
    <row r="11" spans="3:112" x14ac:dyDescent="0.25">
      <c r="E11" s="310" t="s">
        <v>391</v>
      </c>
      <c r="F11">
        <v>14</v>
      </c>
      <c r="G11" s="310" t="s">
        <v>392</v>
      </c>
      <c r="H11">
        <v>18</v>
      </c>
      <c r="Q11" s="310" t="s">
        <v>57</v>
      </c>
      <c r="R11">
        <v>10</v>
      </c>
      <c r="S11" s="310" t="s">
        <v>265</v>
      </c>
      <c r="T11">
        <v>293</v>
      </c>
      <c r="W11" s="310" t="s">
        <v>393</v>
      </c>
      <c r="X11">
        <v>27</v>
      </c>
      <c r="AU11" s="310" t="s">
        <v>2020</v>
      </c>
      <c r="AV11">
        <v>57</v>
      </c>
      <c r="AY11" s="310" t="s">
        <v>389</v>
      </c>
      <c r="AZ11">
        <v>79</v>
      </c>
      <c r="CA11" s="310" t="s">
        <v>395</v>
      </c>
      <c r="CB11">
        <v>11</v>
      </c>
      <c r="DC11" s="310" t="s">
        <v>2053</v>
      </c>
      <c r="DD11">
        <v>54</v>
      </c>
    </row>
    <row r="12" spans="3:112" x14ac:dyDescent="0.25">
      <c r="E12" s="310" t="s">
        <v>397</v>
      </c>
      <c r="F12">
        <v>8</v>
      </c>
      <c r="G12" s="310" t="s">
        <v>398</v>
      </c>
      <c r="H12">
        <v>19</v>
      </c>
      <c r="Q12" s="310" t="s">
        <v>60</v>
      </c>
      <c r="R12">
        <v>11</v>
      </c>
      <c r="S12" s="310" t="s">
        <v>266</v>
      </c>
      <c r="T12">
        <v>294</v>
      </c>
      <c r="W12" s="310" t="s">
        <v>399</v>
      </c>
      <c r="X12">
        <v>28</v>
      </c>
      <c r="AU12" s="310" t="s">
        <v>280</v>
      </c>
      <c r="AV12">
        <v>17</v>
      </c>
      <c r="AY12" s="310" t="s">
        <v>394</v>
      </c>
      <c r="AZ12">
        <v>42</v>
      </c>
      <c r="CA12" s="310" t="s">
        <v>401</v>
      </c>
      <c r="CB12">
        <v>4</v>
      </c>
      <c r="DC12" s="310" t="s">
        <v>2786</v>
      </c>
      <c r="DD12">
        <v>56</v>
      </c>
    </row>
    <row r="13" spans="3:112" x14ac:dyDescent="0.25">
      <c r="E13" s="310" t="s">
        <v>403</v>
      </c>
      <c r="F13">
        <v>15</v>
      </c>
      <c r="G13" s="310" t="s">
        <v>401</v>
      </c>
      <c r="H13">
        <v>11</v>
      </c>
      <c r="Q13" s="310" t="s">
        <v>63</v>
      </c>
      <c r="R13">
        <v>12</v>
      </c>
      <c r="S13" s="310" t="s">
        <v>267</v>
      </c>
      <c r="T13">
        <v>295</v>
      </c>
      <c r="W13" s="310" t="s">
        <v>404</v>
      </c>
      <c r="X13">
        <v>29</v>
      </c>
      <c r="AU13" s="310" t="s">
        <v>2021</v>
      </c>
      <c r="AV13">
        <v>26</v>
      </c>
      <c r="AY13" s="310" t="s">
        <v>400</v>
      </c>
      <c r="AZ13">
        <v>5</v>
      </c>
      <c r="DC13" s="310" t="s">
        <v>2054</v>
      </c>
      <c r="DD13">
        <v>50</v>
      </c>
    </row>
    <row r="14" spans="3:112" x14ac:dyDescent="0.25">
      <c r="E14" s="310" t="s">
        <v>407</v>
      </c>
      <c r="F14">
        <v>16</v>
      </c>
      <c r="Q14" s="310" t="s">
        <v>68</v>
      </c>
      <c r="R14">
        <v>13</v>
      </c>
      <c r="S14" s="310" t="s">
        <v>268</v>
      </c>
      <c r="T14">
        <v>296</v>
      </c>
      <c r="W14" s="310" t="s">
        <v>408</v>
      </c>
      <c r="X14">
        <v>30</v>
      </c>
      <c r="AU14" s="310" t="s">
        <v>2022</v>
      </c>
      <c r="AV14">
        <v>27</v>
      </c>
      <c r="AY14" s="310" t="s">
        <v>405</v>
      </c>
      <c r="AZ14">
        <v>44</v>
      </c>
      <c r="DC14" s="310" t="s">
        <v>2135</v>
      </c>
      <c r="DD14">
        <v>70</v>
      </c>
    </row>
    <row r="15" spans="3:112" x14ac:dyDescent="0.25">
      <c r="E15" s="310" t="s">
        <v>411</v>
      </c>
      <c r="F15">
        <v>9</v>
      </c>
      <c r="Q15" s="310" t="s">
        <v>64</v>
      </c>
      <c r="R15">
        <v>14</v>
      </c>
      <c r="S15" s="310" t="s">
        <v>269</v>
      </c>
      <c r="T15">
        <v>297</v>
      </c>
      <c r="W15" s="310" t="s">
        <v>412</v>
      </c>
      <c r="X15">
        <v>31</v>
      </c>
      <c r="AU15" s="310" t="s">
        <v>2023</v>
      </c>
      <c r="AV15">
        <v>28</v>
      </c>
      <c r="AY15" s="310" t="s">
        <v>409</v>
      </c>
      <c r="AZ15">
        <v>45</v>
      </c>
      <c r="DC15" s="310" t="s">
        <v>338</v>
      </c>
      <c r="DD15">
        <v>6</v>
      </c>
    </row>
    <row r="16" spans="3:112" x14ac:dyDescent="0.25">
      <c r="E16" s="310" t="s">
        <v>415</v>
      </c>
      <c r="F16">
        <v>17</v>
      </c>
      <c r="Q16" s="310" t="s">
        <v>65</v>
      </c>
      <c r="R16">
        <v>15</v>
      </c>
      <c r="S16" s="310" t="s">
        <v>270</v>
      </c>
      <c r="T16">
        <v>298</v>
      </c>
      <c r="W16" s="310" t="s">
        <v>416</v>
      </c>
      <c r="X16">
        <v>32</v>
      </c>
      <c r="AU16" s="310" t="s">
        <v>2024</v>
      </c>
      <c r="AV16">
        <v>29</v>
      </c>
      <c r="AY16" s="310" t="s">
        <v>413</v>
      </c>
      <c r="AZ16">
        <v>43</v>
      </c>
      <c r="DC16" s="310" t="s">
        <v>349</v>
      </c>
      <c r="DD16">
        <v>7</v>
      </c>
    </row>
    <row r="17" spans="17:108" x14ac:dyDescent="0.25">
      <c r="Q17" s="310" t="s">
        <v>67</v>
      </c>
      <c r="R17">
        <v>16</v>
      </c>
      <c r="S17" s="310" t="s">
        <v>271</v>
      </c>
      <c r="T17">
        <v>299</v>
      </c>
      <c r="W17" s="310" t="s">
        <v>419</v>
      </c>
      <c r="X17">
        <v>33</v>
      </c>
      <c r="AU17" s="310" t="s">
        <v>2025</v>
      </c>
      <c r="AV17">
        <v>30</v>
      </c>
      <c r="AY17" s="310" t="s">
        <v>417</v>
      </c>
      <c r="AZ17">
        <v>20</v>
      </c>
      <c r="DC17" s="310" t="s">
        <v>2055</v>
      </c>
      <c r="DD17">
        <v>47</v>
      </c>
    </row>
    <row r="18" spans="17:108" x14ac:dyDescent="0.25">
      <c r="Q18" s="310" t="s">
        <v>69</v>
      </c>
      <c r="R18">
        <v>17</v>
      </c>
      <c r="S18" s="310" t="s">
        <v>272</v>
      </c>
      <c r="T18">
        <v>300</v>
      </c>
      <c r="W18" s="310" t="s">
        <v>421</v>
      </c>
      <c r="X18">
        <v>34</v>
      </c>
      <c r="AU18" s="310" t="s">
        <v>2026</v>
      </c>
      <c r="AV18">
        <v>42</v>
      </c>
      <c r="AY18" s="310" t="s">
        <v>2562</v>
      </c>
      <c r="AZ18">
        <v>84</v>
      </c>
      <c r="DC18" s="310" t="s">
        <v>2143</v>
      </c>
      <c r="DD18">
        <v>71</v>
      </c>
    </row>
    <row r="19" spans="17:108" x14ac:dyDescent="0.25">
      <c r="Q19" s="310" t="s">
        <v>70</v>
      </c>
      <c r="R19">
        <v>18</v>
      </c>
      <c r="S19" s="310" t="s">
        <v>273</v>
      </c>
      <c r="T19">
        <v>301</v>
      </c>
      <c r="W19" s="310" t="s">
        <v>424</v>
      </c>
      <c r="X19">
        <v>35</v>
      </c>
      <c r="AU19" s="310" t="s">
        <v>2027</v>
      </c>
      <c r="AV19">
        <v>49</v>
      </c>
      <c r="AY19" s="310" t="s">
        <v>420</v>
      </c>
      <c r="AZ19">
        <v>4</v>
      </c>
      <c r="DC19" s="310" t="s">
        <v>2056</v>
      </c>
      <c r="DD19">
        <v>61</v>
      </c>
    </row>
    <row r="20" spans="17:108" x14ac:dyDescent="0.25">
      <c r="Q20" s="310" t="s">
        <v>71</v>
      </c>
      <c r="R20">
        <v>19</v>
      </c>
      <c r="S20" s="310" t="s">
        <v>274</v>
      </c>
      <c r="T20">
        <v>302</v>
      </c>
      <c r="W20" s="310" t="s">
        <v>426</v>
      </c>
      <c r="X20">
        <v>36</v>
      </c>
      <c r="AU20" s="310" t="s">
        <v>2028</v>
      </c>
      <c r="AV20">
        <v>31</v>
      </c>
      <c r="AY20" s="310" t="s">
        <v>2757</v>
      </c>
      <c r="AZ20">
        <v>87</v>
      </c>
      <c r="DC20" s="310" t="s">
        <v>2057</v>
      </c>
      <c r="DD20">
        <v>45</v>
      </c>
    </row>
    <row r="21" spans="17:108" x14ac:dyDescent="0.25">
      <c r="Q21" s="310" t="s">
        <v>81</v>
      </c>
      <c r="R21">
        <v>20</v>
      </c>
      <c r="S21" s="310" t="s">
        <v>275</v>
      </c>
      <c r="T21">
        <v>303</v>
      </c>
      <c r="W21" s="310" t="s">
        <v>429</v>
      </c>
      <c r="X21">
        <v>37</v>
      </c>
      <c r="AU21" s="310" t="s">
        <v>2029</v>
      </c>
      <c r="AV21">
        <v>32</v>
      </c>
      <c r="AY21" s="310" t="s">
        <v>422</v>
      </c>
      <c r="AZ21">
        <v>75</v>
      </c>
      <c r="DC21" s="310" t="s">
        <v>359</v>
      </c>
      <c r="DD21">
        <v>8</v>
      </c>
    </row>
    <row r="22" spans="17:108" x14ac:dyDescent="0.25">
      <c r="Q22" s="310" t="s">
        <v>76</v>
      </c>
      <c r="R22">
        <v>21</v>
      </c>
      <c r="S22" s="310" t="s">
        <v>276</v>
      </c>
      <c r="T22">
        <v>304</v>
      </c>
      <c r="W22" s="310" t="s">
        <v>432</v>
      </c>
      <c r="X22">
        <v>38</v>
      </c>
      <c r="AU22" s="310" t="s">
        <v>2030</v>
      </c>
      <c r="AV22">
        <v>33</v>
      </c>
      <c r="AY22" s="310" t="s">
        <v>425</v>
      </c>
      <c r="AZ22">
        <v>83</v>
      </c>
      <c r="DC22" s="310" t="s">
        <v>369</v>
      </c>
      <c r="DD22">
        <v>28</v>
      </c>
    </row>
    <row r="23" spans="17:108" x14ac:dyDescent="0.25">
      <c r="Q23" s="310" t="s">
        <v>72</v>
      </c>
      <c r="R23">
        <v>22</v>
      </c>
      <c r="S23" s="310" t="s">
        <v>277</v>
      </c>
      <c r="T23">
        <v>305</v>
      </c>
      <c r="W23" s="310" t="s">
        <v>435</v>
      </c>
      <c r="X23">
        <v>39</v>
      </c>
      <c r="AU23" s="310" t="s">
        <v>2031</v>
      </c>
      <c r="AV23">
        <v>34</v>
      </c>
      <c r="AY23" s="310" t="s">
        <v>427</v>
      </c>
      <c r="AZ23">
        <v>7</v>
      </c>
      <c r="DC23" s="310" t="s">
        <v>2058</v>
      </c>
      <c r="DD23">
        <v>33</v>
      </c>
    </row>
    <row r="24" spans="17:108" x14ac:dyDescent="0.25">
      <c r="Q24" s="310" t="s">
        <v>83</v>
      </c>
      <c r="R24">
        <v>23</v>
      </c>
      <c r="S24" s="310" t="s">
        <v>278</v>
      </c>
      <c r="T24">
        <v>306</v>
      </c>
      <c r="W24" s="310" t="s">
        <v>438</v>
      </c>
      <c r="X24">
        <v>40</v>
      </c>
      <c r="AU24" s="310" t="s">
        <v>2032</v>
      </c>
      <c r="AV24">
        <v>43</v>
      </c>
      <c r="AY24" s="310" t="s">
        <v>430</v>
      </c>
      <c r="AZ24">
        <v>70</v>
      </c>
      <c r="DC24" s="310" t="s">
        <v>2059</v>
      </c>
      <c r="DD24">
        <v>64</v>
      </c>
    </row>
    <row r="25" spans="17:108" x14ac:dyDescent="0.25">
      <c r="Q25" s="310" t="s">
        <v>84</v>
      </c>
      <c r="R25">
        <v>24</v>
      </c>
      <c r="S25" s="310" t="s">
        <v>279</v>
      </c>
      <c r="T25">
        <v>307</v>
      </c>
      <c r="W25" s="310" t="s">
        <v>440</v>
      </c>
      <c r="X25">
        <v>41</v>
      </c>
      <c r="AU25" s="310" t="s">
        <v>2033</v>
      </c>
      <c r="AV25">
        <v>50</v>
      </c>
      <c r="AY25" s="310" t="s">
        <v>433</v>
      </c>
      <c r="AZ25">
        <v>6</v>
      </c>
      <c r="DC25" s="310" t="s">
        <v>244</v>
      </c>
      <c r="DD25">
        <v>1</v>
      </c>
    </row>
    <row r="26" spans="17:108" x14ac:dyDescent="0.25">
      <c r="Q26" s="310" t="s">
        <v>87</v>
      </c>
      <c r="R26">
        <v>25</v>
      </c>
      <c r="W26" s="310" t="s">
        <v>442</v>
      </c>
      <c r="X26">
        <v>42</v>
      </c>
      <c r="AU26" s="310" t="s">
        <v>2034</v>
      </c>
      <c r="AV26">
        <v>44</v>
      </c>
      <c r="AY26" s="310" t="s">
        <v>436</v>
      </c>
      <c r="AZ26">
        <v>63</v>
      </c>
      <c r="DC26" s="310" t="s">
        <v>2060</v>
      </c>
      <c r="DD26">
        <v>48</v>
      </c>
    </row>
    <row r="27" spans="17:108" x14ac:dyDescent="0.25">
      <c r="Q27" s="310" t="s">
        <v>86</v>
      </c>
      <c r="R27">
        <v>26</v>
      </c>
      <c r="W27" s="310" t="s">
        <v>445</v>
      </c>
      <c r="X27">
        <v>43</v>
      </c>
      <c r="AU27" s="310" t="s">
        <v>2035</v>
      </c>
      <c r="AV27">
        <v>51</v>
      </c>
      <c r="AY27" s="310" t="s">
        <v>439</v>
      </c>
      <c r="AZ27">
        <v>8</v>
      </c>
      <c r="DC27" s="310" t="s">
        <v>2145</v>
      </c>
      <c r="DD27">
        <v>72</v>
      </c>
    </row>
    <row r="28" spans="17:108" x14ac:dyDescent="0.25">
      <c r="Q28" s="310" t="s">
        <v>90</v>
      </c>
      <c r="R28">
        <v>27</v>
      </c>
      <c r="W28" s="310" t="s">
        <v>448</v>
      </c>
      <c r="X28">
        <v>44</v>
      </c>
      <c r="AU28" s="310" t="s">
        <v>2036</v>
      </c>
      <c r="AV28">
        <v>45</v>
      </c>
      <c r="AY28" s="310" t="s">
        <v>441</v>
      </c>
      <c r="AZ28">
        <v>9</v>
      </c>
      <c r="DC28" s="310" t="s">
        <v>378</v>
      </c>
      <c r="DD28">
        <v>29</v>
      </c>
    </row>
    <row r="29" spans="17:108" x14ac:dyDescent="0.25">
      <c r="Q29" s="310" t="s">
        <v>100</v>
      </c>
      <c r="R29">
        <v>28</v>
      </c>
      <c r="W29" s="310" t="s">
        <v>450</v>
      </c>
      <c r="X29">
        <v>45</v>
      </c>
      <c r="AU29" s="310" t="s">
        <v>2037</v>
      </c>
      <c r="AV29">
        <v>52</v>
      </c>
      <c r="AY29" s="310" t="s">
        <v>443</v>
      </c>
      <c r="AZ29">
        <v>13</v>
      </c>
      <c r="DC29" s="310" t="s">
        <v>757</v>
      </c>
      <c r="DD29">
        <v>73</v>
      </c>
    </row>
    <row r="30" spans="17:108" x14ac:dyDescent="0.25">
      <c r="Q30" s="310" t="s">
        <v>101</v>
      </c>
      <c r="R30">
        <v>29</v>
      </c>
      <c r="W30" s="310" t="s">
        <v>453</v>
      </c>
      <c r="X30">
        <v>46</v>
      </c>
      <c r="AU30" s="310" t="s">
        <v>2038</v>
      </c>
      <c r="AV30">
        <v>23</v>
      </c>
      <c r="AY30" s="310" t="s">
        <v>446</v>
      </c>
      <c r="AZ30">
        <v>12</v>
      </c>
      <c r="DC30" s="310" t="s">
        <v>2061</v>
      </c>
      <c r="DD30">
        <v>36</v>
      </c>
    </row>
    <row r="31" spans="17:108" x14ac:dyDescent="0.25">
      <c r="Q31" s="310" t="s">
        <v>92</v>
      </c>
      <c r="R31">
        <v>30</v>
      </c>
      <c r="W31" s="310" t="s">
        <v>456</v>
      </c>
      <c r="X31">
        <v>47</v>
      </c>
      <c r="AU31" s="310" t="s">
        <v>2039</v>
      </c>
      <c r="AV31">
        <v>18</v>
      </c>
      <c r="AY31" s="310" t="s">
        <v>449</v>
      </c>
      <c r="AZ31">
        <v>11</v>
      </c>
      <c r="DC31" s="310" t="s">
        <v>2062</v>
      </c>
      <c r="DD31">
        <v>58</v>
      </c>
    </row>
    <row r="32" spans="17:108" x14ac:dyDescent="0.25">
      <c r="Q32" s="310" t="s">
        <v>96</v>
      </c>
      <c r="R32">
        <v>31</v>
      </c>
      <c r="W32" s="310" t="s">
        <v>459</v>
      </c>
      <c r="X32">
        <v>48</v>
      </c>
      <c r="AU32" s="310" t="s">
        <v>2040</v>
      </c>
      <c r="AV32">
        <v>35</v>
      </c>
      <c r="AY32" s="310" t="s">
        <v>451</v>
      </c>
      <c r="AZ32">
        <v>72</v>
      </c>
      <c r="DC32" s="310" t="s">
        <v>2063</v>
      </c>
      <c r="DD32">
        <v>49</v>
      </c>
    </row>
    <row r="33" spans="17:108" x14ac:dyDescent="0.25">
      <c r="Q33" s="310" t="s">
        <v>97</v>
      </c>
      <c r="R33">
        <v>32</v>
      </c>
      <c r="W33" s="310" t="s">
        <v>462</v>
      </c>
      <c r="X33">
        <v>49</v>
      </c>
      <c r="AU33" s="310" t="s">
        <v>2041</v>
      </c>
      <c r="AV33">
        <v>36</v>
      </c>
      <c r="AY33" s="310" t="s">
        <v>454</v>
      </c>
      <c r="AZ33">
        <v>60</v>
      </c>
      <c r="DC33" s="310" t="s">
        <v>2745</v>
      </c>
      <c r="DD33">
        <v>65</v>
      </c>
    </row>
    <row r="34" spans="17:108" x14ac:dyDescent="0.25">
      <c r="Q34" s="310" t="s">
        <v>98</v>
      </c>
      <c r="R34">
        <v>33</v>
      </c>
      <c r="W34" s="310" t="s">
        <v>464</v>
      </c>
      <c r="X34">
        <v>50</v>
      </c>
      <c r="AU34" s="310" t="s">
        <v>2042</v>
      </c>
      <c r="AV34">
        <v>37</v>
      </c>
      <c r="AY34" s="310" t="s">
        <v>457</v>
      </c>
      <c r="AZ34">
        <v>46</v>
      </c>
      <c r="DC34" s="310" t="s">
        <v>2064</v>
      </c>
      <c r="DD34">
        <v>40</v>
      </c>
    </row>
    <row r="35" spans="17:108" x14ac:dyDescent="0.25">
      <c r="Q35" s="310" t="s">
        <v>94</v>
      </c>
      <c r="R35">
        <v>34</v>
      </c>
      <c r="W35" s="310" t="s">
        <v>466</v>
      </c>
      <c r="X35">
        <v>51</v>
      </c>
      <c r="AU35" s="310" t="s">
        <v>2043</v>
      </c>
      <c r="AV35">
        <v>38</v>
      </c>
      <c r="AY35" s="310" t="s">
        <v>460</v>
      </c>
      <c r="AZ35">
        <v>59</v>
      </c>
      <c r="DC35" s="310" t="s">
        <v>2065</v>
      </c>
      <c r="DD35">
        <v>39</v>
      </c>
    </row>
    <row r="36" spans="17:108" x14ac:dyDescent="0.25">
      <c r="Q36" s="310" t="s">
        <v>99</v>
      </c>
      <c r="R36">
        <v>35</v>
      </c>
      <c r="W36" s="310" t="s">
        <v>468</v>
      </c>
      <c r="X36">
        <v>52</v>
      </c>
      <c r="AU36" s="310" t="s">
        <v>2044</v>
      </c>
      <c r="AV36">
        <v>39</v>
      </c>
      <c r="AY36" s="310" t="s">
        <v>463</v>
      </c>
      <c r="AZ36">
        <v>61</v>
      </c>
      <c r="DC36" s="310" t="s">
        <v>2066</v>
      </c>
      <c r="DD36">
        <v>38</v>
      </c>
    </row>
    <row r="37" spans="17:108" x14ac:dyDescent="0.25">
      <c r="Q37" s="310" t="s">
        <v>102</v>
      </c>
      <c r="R37">
        <v>36</v>
      </c>
      <c r="W37" s="310" t="s">
        <v>470</v>
      </c>
      <c r="X37">
        <v>53</v>
      </c>
      <c r="AU37" s="310" t="s">
        <v>2045</v>
      </c>
      <c r="AV37">
        <v>46</v>
      </c>
      <c r="AY37" s="310" t="s">
        <v>465</v>
      </c>
      <c r="AZ37">
        <v>10</v>
      </c>
      <c r="DC37" s="310" t="s">
        <v>2140</v>
      </c>
      <c r="DD37">
        <v>74</v>
      </c>
    </row>
    <row r="38" spans="17:108" x14ac:dyDescent="0.25">
      <c r="Q38" s="310" t="s">
        <v>103</v>
      </c>
      <c r="R38">
        <v>37</v>
      </c>
      <c r="W38" s="310" t="s">
        <v>472</v>
      </c>
      <c r="X38">
        <v>54</v>
      </c>
      <c r="AU38" s="310" t="s">
        <v>2046</v>
      </c>
      <c r="AV38">
        <v>53</v>
      </c>
      <c r="AY38" s="310" t="s">
        <v>467</v>
      </c>
      <c r="AZ38">
        <v>47</v>
      </c>
      <c r="DC38" s="310" t="s">
        <v>250</v>
      </c>
      <c r="DD38">
        <v>9</v>
      </c>
    </row>
    <row r="39" spans="17:108" x14ac:dyDescent="0.25">
      <c r="Q39" s="310" t="s">
        <v>104</v>
      </c>
      <c r="R39">
        <v>38</v>
      </c>
      <c r="W39" s="310" t="s">
        <v>474</v>
      </c>
      <c r="X39">
        <v>55</v>
      </c>
      <c r="AU39" s="310" t="s">
        <v>2047</v>
      </c>
      <c r="AV39">
        <v>47</v>
      </c>
      <c r="AY39" s="310" t="s">
        <v>469</v>
      </c>
      <c r="AZ39">
        <v>66</v>
      </c>
      <c r="DC39" s="310" t="s">
        <v>248</v>
      </c>
      <c r="DD39">
        <v>30</v>
      </c>
    </row>
    <row r="40" spans="17:108" x14ac:dyDescent="0.25">
      <c r="Q40" s="310" t="s">
        <v>105</v>
      </c>
      <c r="R40">
        <v>39</v>
      </c>
      <c r="W40" s="310" t="s">
        <v>476</v>
      </c>
      <c r="X40">
        <v>56</v>
      </c>
      <c r="AU40" s="310" t="s">
        <v>2048</v>
      </c>
      <c r="AV40">
        <v>54</v>
      </c>
      <c r="AY40" s="310" t="s">
        <v>471</v>
      </c>
      <c r="AZ40">
        <v>80</v>
      </c>
      <c r="DC40" s="310" t="s">
        <v>2746</v>
      </c>
      <c r="DD40">
        <v>62</v>
      </c>
    </row>
    <row r="41" spans="17:108" x14ac:dyDescent="0.25">
      <c r="Q41" s="310" t="s">
        <v>106</v>
      </c>
      <c r="R41">
        <v>40</v>
      </c>
      <c r="W41" s="310" t="s">
        <v>478</v>
      </c>
      <c r="X41">
        <v>57</v>
      </c>
      <c r="AU41" s="310" t="s">
        <v>1231</v>
      </c>
      <c r="AV41">
        <v>58</v>
      </c>
      <c r="AY41" s="310" t="s">
        <v>473</v>
      </c>
      <c r="AZ41">
        <v>14</v>
      </c>
      <c r="DC41" s="310" t="s">
        <v>2067</v>
      </c>
      <c r="DD41">
        <v>60</v>
      </c>
    </row>
    <row r="42" spans="17:108" x14ac:dyDescent="0.25">
      <c r="Q42" s="310" t="s">
        <v>107</v>
      </c>
      <c r="R42">
        <v>41</v>
      </c>
      <c r="W42" s="310" t="s">
        <v>480</v>
      </c>
      <c r="X42">
        <v>58</v>
      </c>
      <c r="AU42" s="310" t="s">
        <v>2049</v>
      </c>
      <c r="AV42">
        <v>22</v>
      </c>
      <c r="AY42" s="310" t="s">
        <v>475</v>
      </c>
      <c r="AZ42">
        <v>48</v>
      </c>
      <c r="DC42" s="310" t="s">
        <v>2142</v>
      </c>
      <c r="DD42">
        <v>75</v>
      </c>
    </row>
    <row r="43" spans="17:108" x14ac:dyDescent="0.25">
      <c r="Q43" s="310" t="s">
        <v>108</v>
      </c>
      <c r="R43">
        <v>42</v>
      </c>
      <c r="W43" s="310" t="s">
        <v>482</v>
      </c>
      <c r="X43">
        <v>59</v>
      </c>
      <c r="AU43" s="310" t="s">
        <v>2050</v>
      </c>
      <c r="AV43">
        <v>55</v>
      </c>
      <c r="AY43" s="310" t="s">
        <v>477</v>
      </c>
      <c r="AZ43">
        <v>50</v>
      </c>
      <c r="DC43" s="310" t="s">
        <v>2068</v>
      </c>
      <c r="DD43">
        <v>59</v>
      </c>
    </row>
    <row r="44" spans="17:108" x14ac:dyDescent="0.25">
      <c r="Q44" s="310" t="s">
        <v>109</v>
      </c>
      <c r="R44">
        <v>43</v>
      </c>
      <c r="W44" s="310" t="s">
        <v>484</v>
      </c>
      <c r="X44">
        <v>60</v>
      </c>
      <c r="AY44" s="310" t="s">
        <v>479</v>
      </c>
      <c r="AZ44">
        <v>16</v>
      </c>
      <c r="DC44" s="310" t="s">
        <v>396</v>
      </c>
      <c r="DD44">
        <v>24</v>
      </c>
    </row>
    <row r="45" spans="17:108" x14ac:dyDescent="0.25">
      <c r="Q45" s="310" t="s">
        <v>111</v>
      </c>
      <c r="R45">
        <v>44</v>
      </c>
      <c r="W45" s="310" t="s">
        <v>486</v>
      </c>
      <c r="X45">
        <v>61</v>
      </c>
      <c r="AY45" s="310" t="s">
        <v>481</v>
      </c>
      <c r="AZ45">
        <v>15</v>
      </c>
      <c r="DC45" s="310" t="s">
        <v>402</v>
      </c>
      <c r="DD45">
        <v>23</v>
      </c>
    </row>
    <row r="46" spans="17:108" x14ac:dyDescent="0.25">
      <c r="Q46" s="310" t="s">
        <v>112</v>
      </c>
      <c r="R46">
        <v>45</v>
      </c>
      <c r="W46" s="310" t="s">
        <v>488</v>
      </c>
      <c r="X46">
        <v>62</v>
      </c>
      <c r="AY46" s="310" t="s">
        <v>483</v>
      </c>
      <c r="AZ46">
        <v>23</v>
      </c>
      <c r="DC46" s="310" t="s">
        <v>406</v>
      </c>
      <c r="DD46">
        <v>10</v>
      </c>
    </row>
    <row r="47" spans="17:108" x14ac:dyDescent="0.25">
      <c r="Q47" s="310" t="s">
        <v>116</v>
      </c>
      <c r="R47">
        <v>46</v>
      </c>
      <c r="W47" s="310" t="s">
        <v>490</v>
      </c>
      <c r="X47">
        <v>63</v>
      </c>
      <c r="AY47" s="310" t="s">
        <v>485</v>
      </c>
      <c r="AZ47">
        <v>21</v>
      </c>
      <c r="DC47" s="310" t="s">
        <v>410</v>
      </c>
      <c r="DD47">
        <v>11</v>
      </c>
    </row>
    <row r="48" spans="17:108" x14ac:dyDescent="0.25">
      <c r="Q48" s="310" t="s">
        <v>113</v>
      </c>
      <c r="R48">
        <v>47</v>
      </c>
      <c r="W48" s="310" t="s">
        <v>492</v>
      </c>
      <c r="X48">
        <v>64</v>
      </c>
      <c r="AY48" s="310" t="s">
        <v>487</v>
      </c>
      <c r="AZ48">
        <v>22</v>
      </c>
      <c r="DC48" s="310" t="s">
        <v>452</v>
      </c>
      <c r="DD48">
        <v>12</v>
      </c>
    </row>
    <row r="49" spans="17:108" x14ac:dyDescent="0.25">
      <c r="Q49" s="310" t="s">
        <v>119</v>
      </c>
      <c r="R49">
        <v>48</v>
      </c>
      <c r="W49" s="310" t="s">
        <v>494</v>
      </c>
      <c r="X49">
        <v>65</v>
      </c>
      <c r="AY49" s="310" t="s">
        <v>489</v>
      </c>
      <c r="AZ49">
        <v>17</v>
      </c>
      <c r="DC49" s="310" t="s">
        <v>2747</v>
      </c>
      <c r="DD49">
        <v>67</v>
      </c>
    </row>
    <row r="50" spans="17:108" x14ac:dyDescent="0.25">
      <c r="Q50" s="310" t="s">
        <v>124</v>
      </c>
      <c r="R50">
        <v>49</v>
      </c>
      <c r="W50" s="310" t="s">
        <v>496</v>
      </c>
      <c r="X50">
        <v>66</v>
      </c>
      <c r="AY50" s="310" t="s">
        <v>491</v>
      </c>
      <c r="AZ50">
        <v>68</v>
      </c>
      <c r="DC50" s="310" t="s">
        <v>252</v>
      </c>
      <c r="DD50">
        <v>14</v>
      </c>
    </row>
    <row r="51" spans="17:108" x14ac:dyDescent="0.25">
      <c r="Q51" s="310" t="s">
        <v>122</v>
      </c>
      <c r="R51">
        <v>50</v>
      </c>
      <c r="W51" s="310" t="s">
        <v>498</v>
      </c>
      <c r="X51">
        <v>67</v>
      </c>
      <c r="AY51" s="310" t="s">
        <v>493</v>
      </c>
      <c r="AZ51">
        <v>67</v>
      </c>
      <c r="DC51" s="310" t="s">
        <v>455</v>
      </c>
      <c r="DD51">
        <v>13</v>
      </c>
    </row>
    <row r="52" spans="17:108" x14ac:dyDescent="0.25">
      <c r="Q52" s="310" t="s">
        <v>126</v>
      </c>
      <c r="R52">
        <v>51</v>
      </c>
      <c r="W52" s="310" t="s">
        <v>500</v>
      </c>
      <c r="X52">
        <v>68</v>
      </c>
      <c r="AY52" s="310" t="s">
        <v>495</v>
      </c>
      <c r="AZ52">
        <v>18</v>
      </c>
      <c r="DC52" s="310" t="s">
        <v>2069</v>
      </c>
      <c r="DD52">
        <v>51</v>
      </c>
    </row>
    <row r="53" spans="17:108" x14ac:dyDescent="0.25">
      <c r="W53" s="310" t="s">
        <v>502</v>
      </c>
      <c r="X53">
        <v>69</v>
      </c>
      <c r="AY53" s="310" t="s">
        <v>497</v>
      </c>
      <c r="AZ53">
        <v>49</v>
      </c>
      <c r="DC53" s="310" t="s">
        <v>2137</v>
      </c>
      <c r="DD53">
        <v>76</v>
      </c>
    </row>
    <row r="54" spans="17:108" x14ac:dyDescent="0.25">
      <c r="W54" s="310" t="s">
        <v>504</v>
      </c>
      <c r="X54">
        <v>70</v>
      </c>
      <c r="AY54" s="310" t="s">
        <v>2743</v>
      </c>
      <c r="AZ54">
        <v>19</v>
      </c>
      <c r="DC54" s="310" t="s">
        <v>414</v>
      </c>
      <c r="DD54">
        <v>31</v>
      </c>
    </row>
    <row r="55" spans="17:108" x14ac:dyDescent="0.25">
      <c r="W55" s="310" t="s">
        <v>506</v>
      </c>
      <c r="X55">
        <v>71</v>
      </c>
      <c r="AY55" s="310" t="s">
        <v>501</v>
      </c>
      <c r="AZ55">
        <v>51</v>
      </c>
      <c r="DC55" s="310" t="s">
        <v>458</v>
      </c>
      <c r="DD55">
        <v>2</v>
      </c>
    </row>
    <row r="56" spans="17:108" x14ac:dyDescent="0.25">
      <c r="W56" s="310" t="s">
        <v>508</v>
      </c>
      <c r="X56">
        <v>72</v>
      </c>
      <c r="AY56" s="310" t="s">
        <v>503</v>
      </c>
      <c r="AZ56">
        <v>24</v>
      </c>
      <c r="DC56" s="310" t="s">
        <v>418</v>
      </c>
      <c r="DD56">
        <v>3</v>
      </c>
    </row>
    <row r="57" spans="17:108" x14ac:dyDescent="0.25">
      <c r="W57" s="310" t="s">
        <v>510</v>
      </c>
      <c r="X57">
        <v>73</v>
      </c>
      <c r="AY57" s="310" t="s">
        <v>505</v>
      </c>
      <c r="AZ57">
        <v>25</v>
      </c>
      <c r="DC57" s="310" t="s">
        <v>2070</v>
      </c>
      <c r="DD57">
        <v>34</v>
      </c>
    </row>
    <row r="58" spans="17:108" x14ac:dyDescent="0.25">
      <c r="W58" s="310" t="s">
        <v>512</v>
      </c>
      <c r="X58">
        <v>74</v>
      </c>
      <c r="AY58" s="310" t="s">
        <v>507</v>
      </c>
      <c r="AZ58">
        <v>27</v>
      </c>
      <c r="DC58" s="310" t="s">
        <v>2071</v>
      </c>
      <c r="DD58">
        <v>53</v>
      </c>
    </row>
    <row r="59" spans="17:108" x14ac:dyDescent="0.25">
      <c r="W59" s="310" t="s">
        <v>514</v>
      </c>
      <c r="X59">
        <v>75</v>
      </c>
      <c r="AY59" s="310" t="s">
        <v>509</v>
      </c>
      <c r="AZ59">
        <v>58</v>
      </c>
      <c r="DC59" s="310" t="s">
        <v>280</v>
      </c>
      <c r="DD59">
        <v>15</v>
      </c>
    </row>
    <row r="60" spans="17:108" x14ac:dyDescent="0.25">
      <c r="W60" s="310" t="s">
        <v>516</v>
      </c>
      <c r="X60">
        <v>76</v>
      </c>
      <c r="AY60" s="310" t="s">
        <v>511</v>
      </c>
      <c r="AZ60">
        <v>26</v>
      </c>
      <c r="DC60" s="310" t="s">
        <v>2144</v>
      </c>
      <c r="DD60">
        <v>77</v>
      </c>
    </row>
    <row r="61" spans="17:108" x14ac:dyDescent="0.25">
      <c r="W61" s="310" t="s">
        <v>518</v>
      </c>
      <c r="X61">
        <v>77</v>
      </c>
      <c r="AY61" s="310" t="s">
        <v>513</v>
      </c>
      <c r="AZ61">
        <v>28</v>
      </c>
      <c r="DC61" s="310" t="s">
        <v>444</v>
      </c>
      <c r="DD61">
        <v>16</v>
      </c>
    </row>
    <row r="62" spans="17:108" x14ac:dyDescent="0.25">
      <c r="W62" s="310" t="s">
        <v>520</v>
      </c>
      <c r="X62">
        <v>78</v>
      </c>
      <c r="AY62" s="310" t="s">
        <v>515</v>
      </c>
      <c r="AZ62">
        <v>77</v>
      </c>
      <c r="DC62" s="310" t="s">
        <v>2141</v>
      </c>
      <c r="DD62">
        <v>78</v>
      </c>
    </row>
    <row r="63" spans="17:108" x14ac:dyDescent="0.25">
      <c r="W63" s="310" t="s">
        <v>522</v>
      </c>
      <c r="X63">
        <v>79</v>
      </c>
      <c r="AY63" s="310" t="s">
        <v>517</v>
      </c>
      <c r="AZ63">
        <v>71</v>
      </c>
      <c r="DC63" s="310" t="s">
        <v>423</v>
      </c>
      <c r="DD63">
        <v>25</v>
      </c>
    </row>
    <row r="64" spans="17:108" x14ac:dyDescent="0.25">
      <c r="W64" s="310" t="s">
        <v>524</v>
      </c>
      <c r="X64">
        <v>80</v>
      </c>
      <c r="AY64" s="310" t="s">
        <v>519</v>
      </c>
      <c r="AZ64">
        <v>78</v>
      </c>
      <c r="DC64" s="310" t="s">
        <v>461</v>
      </c>
      <c r="DD64">
        <v>18</v>
      </c>
    </row>
    <row r="65" spans="23:108" x14ac:dyDescent="0.25">
      <c r="W65" s="310" t="s">
        <v>526</v>
      </c>
      <c r="X65">
        <v>81</v>
      </c>
      <c r="AY65" s="310" t="s">
        <v>521</v>
      </c>
      <c r="AZ65">
        <v>29</v>
      </c>
      <c r="DC65" s="310" t="s">
        <v>2072</v>
      </c>
      <c r="DD65">
        <v>55</v>
      </c>
    </row>
    <row r="66" spans="23:108" x14ac:dyDescent="0.25">
      <c r="W66" s="310" t="s">
        <v>528</v>
      </c>
      <c r="X66">
        <v>82</v>
      </c>
      <c r="AY66" s="310" t="s">
        <v>523</v>
      </c>
      <c r="AZ66">
        <v>69</v>
      </c>
      <c r="DC66" s="310" t="s">
        <v>2073</v>
      </c>
      <c r="DD66">
        <v>35</v>
      </c>
    </row>
    <row r="67" spans="23:108" x14ac:dyDescent="0.25">
      <c r="W67" s="310" t="s">
        <v>530</v>
      </c>
      <c r="X67">
        <v>83</v>
      </c>
      <c r="AY67" s="310" t="s">
        <v>525</v>
      </c>
      <c r="AZ67">
        <v>52</v>
      </c>
      <c r="DC67" s="310" t="s">
        <v>2074</v>
      </c>
      <c r="DD67">
        <v>37</v>
      </c>
    </row>
    <row r="68" spans="23:108" x14ac:dyDescent="0.25">
      <c r="W68" s="310" t="s">
        <v>532</v>
      </c>
      <c r="X68">
        <v>84</v>
      </c>
      <c r="AY68" s="310" t="s">
        <v>527</v>
      </c>
      <c r="AZ68">
        <v>32</v>
      </c>
      <c r="DC68" s="310" t="s">
        <v>2075</v>
      </c>
      <c r="DD68">
        <v>57</v>
      </c>
    </row>
    <row r="69" spans="23:108" x14ac:dyDescent="0.25">
      <c r="W69" s="310" t="s">
        <v>534</v>
      </c>
      <c r="X69">
        <v>85</v>
      </c>
      <c r="AY69" s="310" t="s">
        <v>529</v>
      </c>
      <c r="AZ69">
        <v>31</v>
      </c>
      <c r="DC69" s="310" t="s">
        <v>2076</v>
      </c>
      <c r="DD69">
        <v>41</v>
      </c>
    </row>
    <row r="70" spans="23:108" x14ac:dyDescent="0.25">
      <c r="W70" s="310" t="s">
        <v>536</v>
      </c>
      <c r="X70">
        <v>86</v>
      </c>
      <c r="AY70" s="310" t="s">
        <v>531</v>
      </c>
      <c r="AZ70">
        <v>33</v>
      </c>
      <c r="DC70" s="310" t="s">
        <v>2139</v>
      </c>
      <c r="DD70">
        <v>79</v>
      </c>
    </row>
    <row r="71" spans="23:108" x14ac:dyDescent="0.25">
      <c r="W71" s="310" t="s">
        <v>538</v>
      </c>
      <c r="X71">
        <v>87</v>
      </c>
      <c r="AY71" s="310" t="s">
        <v>533</v>
      </c>
      <c r="AZ71">
        <v>65</v>
      </c>
      <c r="DC71" s="310" t="s">
        <v>2077</v>
      </c>
      <c r="DD71">
        <v>42</v>
      </c>
    </row>
    <row r="72" spans="23:108" x14ac:dyDescent="0.25">
      <c r="W72" s="310" t="s">
        <v>540</v>
      </c>
      <c r="X72">
        <v>88</v>
      </c>
      <c r="AY72" s="310" t="s">
        <v>535</v>
      </c>
      <c r="AZ72">
        <v>30</v>
      </c>
      <c r="DC72" s="310" t="s">
        <v>2714</v>
      </c>
      <c r="DD72">
        <v>80</v>
      </c>
    </row>
    <row r="73" spans="23:108" x14ac:dyDescent="0.25">
      <c r="W73" s="310" t="s">
        <v>542</v>
      </c>
      <c r="X73">
        <v>89</v>
      </c>
      <c r="AY73" s="310" t="s">
        <v>537</v>
      </c>
      <c r="AZ73">
        <v>64</v>
      </c>
      <c r="DC73" s="310" t="s">
        <v>257</v>
      </c>
      <c r="DD73">
        <v>32</v>
      </c>
    </row>
    <row r="74" spans="23:108" x14ac:dyDescent="0.25">
      <c r="W74" s="310" t="s">
        <v>544</v>
      </c>
      <c r="X74">
        <v>90</v>
      </c>
      <c r="AY74" s="310" t="s">
        <v>539</v>
      </c>
      <c r="AZ74">
        <v>73</v>
      </c>
      <c r="DC74" s="310" t="s">
        <v>2748</v>
      </c>
      <c r="DD74">
        <v>46</v>
      </c>
    </row>
    <row r="75" spans="23:108" x14ac:dyDescent="0.25">
      <c r="W75" s="310" t="s">
        <v>546</v>
      </c>
      <c r="X75">
        <v>91</v>
      </c>
      <c r="AY75" s="310" t="s">
        <v>541</v>
      </c>
      <c r="AZ75">
        <v>35</v>
      </c>
      <c r="DC75" s="310" t="s">
        <v>428</v>
      </c>
      <c r="DD75">
        <v>19</v>
      </c>
    </row>
    <row r="76" spans="23:108" x14ac:dyDescent="0.25">
      <c r="W76" s="310" t="s">
        <v>548</v>
      </c>
      <c r="X76">
        <v>92</v>
      </c>
      <c r="AY76" s="310" t="s">
        <v>543</v>
      </c>
      <c r="AZ76">
        <v>34</v>
      </c>
      <c r="DC76" s="310" t="s">
        <v>431</v>
      </c>
      <c r="DD76">
        <v>26</v>
      </c>
    </row>
    <row r="77" spans="23:108" x14ac:dyDescent="0.25">
      <c r="W77" s="310" t="s">
        <v>550</v>
      </c>
      <c r="X77">
        <v>93</v>
      </c>
      <c r="AY77" s="310" t="s">
        <v>545</v>
      </c>
      <c r="AZ77">
        <v>76</v>
      </c>
      <c r="DC77" s="310" t="s">
        <v>2138</v>
      </c>
      <c r="DD77">
        <v>81</v>
      </c>
    </row>
    <row r="78" spans="23:108" x14ac:dyDescent="0.25">
      <c r="W78" s="310" t="s">
        <v>552</v>
      </c>
      <c r="X78">
        <v>94</v>
      </c>
      <c r="AY78" s="310" t="s">
        <v>547</v>
      </c>
      <c r="AZ78">
        <v>55</v>
      </c>
      <c r="DC78" s="310" t="s">
        <v>434</v>
      </c>
      <c r="DD78">
        <v>22</v>
      </c>
    </row>
    <row r="79" spans="23:108" x14ac:dyDescent="0.25">
      <c r="W79" s="310" t="s">
        <v>554</v>
      </c>
      <c r="X79">
        <v>95</v>
      </c>
      <c r="AY79" s="310" t="s">
        <v>549</v>
      </c>
      <c r="AZ79">
        <v>56</v>
      </c>
      <c r="DC79" s="310" t="s">
        <v>437</v>
      </c>
      <c r="DD79">
        <v>21</v>
      </c>
    </row>
    <row r="80" spans="23:108" x14ac:dyDescent="0.25">
      <c r="W80" s="310" t="s">
        <v>556</v>
      </c>
      <c r="X80">
        <v>96</v>
      </c>
      <c r="AY80" s="310" t="s">
        <v>551</v>
      </c>
      <c r="AZ80">
        <v>53</v>
      </c>
      <c r="DC80" s="310" t="s">
        <v>2078</v>
      </c>
      <c r="DD80">
        <v>44</v>
      </c>
    </row>
    <row r="81" spans="23:108" x14ac:dyDescent="0.25">
      <c r="W81" s="310" t="s">
        <v>558</v>
      </c>
      <c r="X81">
        <v>97</v>
      </c>
      <c r="AY81" s="310" t="s">
        <v>553</v>
      </c>
      <c r="AZ81">
        <v>54</v>
      </c>
      <c r="DC81" s="310" t="s">
        <v>2079</v>
      </c>
      <c r="DD81">
        <v>52</v>
      </c>
    </row>
    <row r="82" spans="23:108" x14ac:dyDescent="0.25">
      <c r="W82" s="310" t="s">
        <v>560</v>
      </c>
      <c r="X82">
        <v>98</v>
      </c>
      <c r="AY82" s="310" t="s">
        <v>555</v>
      </c>
      <c r="AZ82">
        <v>36</v>
      </c>
    </row>
    <row r="83" spans="23:108" x14ac:dyDescent="0.25">
      <c r="W83" s="310" t="s">
        <v>562</v>
      </c>
      <c r="X83">
        <v>99</v>
      </c>
      <c r="AY83" s="310" t="s">
        <v>557</v>
      </c>
      <c r="AZ83">
        <v>37</v>
      </c>
    </row>
    <row r="84" spans="23:108" x14ac:dyDescent="0.25">
      <c r="AY84" s="310" t="s">
        <v>559</v>
      </c>
      <c r="AZ84">
        <v>38</v>
      </c>
    </row>
    <row r="85" spans="23:108" x14ac:dyDescent="0.25">
      <c r="AY85" s="310" t="s">
        <v>561</v>
      </c>
      <c r="AZ85">
        <v>39</v>
      </c>
    </row>
    <row r="86" spans="23:108" x14ac:dyDescent="0.25">
      <c r="AY86" s="310" t="s">
        <v>563</v>
      </c>
      <c r="AZ86">
        <v>40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5A9F7-0067-479D-AC23-7E0AEC8D099B}">
  <sheetPr>
    <tabColor rgb="FFFF0000"/>
    <pageSetUpPr fitToPage="1"/>
  </sheetPr>
  <dimension ref="A1"/>
  <sheetViews>
    <sheetView view="pageLayout" zoomScaleNormal="100" workbookViewId="0">
      <selection activeCell="G14" sqref="G14"/>
    </sheetView>
  </sheetViews>
  <sheetFormatPr defaultColWidth="9.44140625" defaultRowHeight="13.2" x14ac:dyDescent="0.25"/>
  <cols>
    <col min="1" max="16384" width="9.44140625" style="7"/>
  </cols>
  <sheetData>
    <row r="1" spans="1:1" x14ac:dyDescent="0.25">
      <c r="A1" s="7" t="s">
        <v>2008</v>
      </c>
    </row>
  </sheetData>
  <pageMargins left="0.25" right="0.25" top="0.25" bottom="0.25" header="0.25" footer="0.25"/>
  <pageSetup fitToHeight="0" orientation="portrait" useFirstPageNumber="1" r:id="rId1"/>
  <headerFooter scaleWithDoc="0"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8FB96-7EDF-4C77-84BD-48EB76702E7A}">
  <sheetPr>
    <tabColor rgb="FFFF0000"/>
    <pageSetUpPr fitToPage="1"/>
  </sheetPr>
  <dimension ref="A1"/>
  <sheetViews>
    <sheetView view="pageLayout" zoomScaleNormal="100" workbookViewId="0">
      <selection activeCell="E14" sqref="E14"/>
    </sheetView>
  </sheetViews>
  <sheetFormatPr defaultColWidth="9.44140625" defaultRowHeight="13.2" x14ac:dyDescent="0.25"/>
  <cols>
    <col min="1" max="16384" width="9.44140625" style="7"/>
  </cols>
  <sheetData>
    <row r="1" spans="1:1" x14ac:dyDescent="0.25">
      <c r="A1" s="7" t="s">
        <v>2008</v>
      </c>
    </row>
  </sheetData>
  <pageMargins left="0.25" right="0.25" top="0.25" bottom="0.25" header="0.25" footer="0.25"/>
  <pageSetup fitToHeight="0" orientation="portrait" useFirstPageNumber="1" r:id="rId1"/>
  <headerFooter scaleWithDoc="0"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8A06-7C50-42EB-B403-3003A08F0600}">
  <sheetPr>
    <tabColor rgb="FFFF0000"/>
    <pageSetUpPr fitToPage="1"/>
  </sheetPr>
  <dimension ref="A1"/>
  <sheetViews>
    <sheetView view="pageLayout" zoomScaleNormal="100" workbookViewId="0">
      <selection activeCell="F15" sqref="F15"/>
    </sheetView>
  </sheetViews>
  <sheetFormatPr defaultColWidth="9.44140625" defaultRowHeight="13.2" x14ac:dyDescent="0.25"/>
  <cols>
    <col min="1" max="16384" width="9.44140625" style="7"/>
  </cols>
  <sheetData>
    <row r="1" spans="1:1" x14ac:dyDescent="0.25">
      <c r="A1" s="7" t="s">
        <v>2008</v>
      </c>
    </row>
  </sheetData>
  <pageMargins left="0.25" right="0.25" top="0.25" bottom="0.25" header="0.25" footer="0.25"/>
  <pageSetup fitToHeight="0" orientation="portrait" useFirstPageNumber="1" r:id="rId1"/>
  <headerFooter scaleWithDoc="0"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435B9-5A54-49E7-82CB-6C5EEC93CF9C}">
  <sheetPr>
    <tabColor rgb="FFFF0000"/>
    <pageSetUpPr fitToPage="1"/>
  </sheetPr>
  <dimension ref="A1:K180"/>
  <sheetViews>
    <sheetView showGridLines="0" view="pageBreakPreview" zoomScale="120" zoomScaleNormal="100" zoomScaleSheetLayoutView="120" workbookViewId="0">
      <selection activeCell="F21" sqref="F21"/>
    </sheetView>
  </sheetViews>
  <sheetFormatPr defaultColWidth="8.77734375" defaultRowHeight="15.6" x14ac:dyDescent="0.3"/>
  <cols>
    <col min="1" max="1" width="4.77734375" style="760" customWidth="1"/>
    <col min="2" max="2" width="52.77734375" style="760" customWidth="1"/>
    <col min="3" max="3" width="23.109375" style="1227" customWidth="1"/>
    <col min="4" max="4" width="5.77734375" style="770" customWidth="1"/>
    <col min="5" max="5" width="39.44140625" style="760" customWidth="1"/>
    <col min="6" max="6" width="21.109375" style="760" customWidth="1"/>
    <col min="7" max="7" width="19.109375" style="1235" customWidth="1"/>
    <col min="8" max="8" width="11.109375" style="763" customWidth="1"/>
    <col min="9" max="16384" width="8.77734375" style="760"/>
  </cols>
  <sheetData>
    <row r="1" spans="1:8" s="10" customFormat="1" ht="13.2" x14ac:dyDescent="0.25">
      <c r="A1" s="10" t="s">
        <v>2008</v>
      </c>
      <c r="C1" s="9"/>
      <c r="G1" s="9"/>
    </row>
    <row r="2" spans="1:8" ht="18" customHeight="1" x14ac:dyDescent="0.35">
      <c r="B2" s="2003"/>
      <c r="C2" s="2003"/>
      <c r="D2" s="2003"/>
      <c r="E2" s="2003"/>
      <c r="F2" s="2003"/>
      <c r="G2" s="2003"/>
    </row>
    <row r="3" spans="1:8" s="179" customFormat="1" ht="18" x14ac:dyDescent="0.3">
      <c r="B3" s="1150" t="s">
        <v>2128</v>
      </c>
      <c r="C3" s="1225"/>
      <c r="D3" s="1150"/>
      <c r="E3" s="1150"/>
      <c r="F3" s="1150"/>
      <c r="G3" s="1225"/>
    </row>
    <row r="4" spans="1:8" s="179" customFormat="1" ht="18" x14ac:dyDescent="0.3">
      <c r="B4" s="1211"/>
      <c r="C4" s="1226"/>
      <c r="D4" s="1211"/>
      <c r="E4" s="1211"/>
      <c r="F4" s="1211"/>
      <c r="G4" s="1212">
        <f>projname</f>
        <v>0</v>
      </c>
    </row>
    <row r="5" spans="1:8" x14ac:dyDescent="0.3">
      <c r="G5" s="1213">
        <f>GENERAL!D7</f>
        <v>0</v>
      </c>
    </row>
    <row r="6" spans="1:8" ht="18" x14ac:dyDescent="0.35">
      <c r="B6" s="1217" t="s">
        <v>730</v>
      </c>
      <c r="D6" s="774"/>
      <c r="E6" s="1217" t="s">
        <v>2129</v>
      </c>
      <c r="H6" s="775"/>
    </row>
    <row r="7" spans="1:8" s="762" customFormat="1" ht="25.5" customHeight="1" x14ac:dyDescent="0.3">
      <c r="B7" s="1222" t="s">
        <v>733</v>
      </c>
      <c r="C7" s="1228" t="s">
        <v>735</v>
      </c>
      <c r="D7" s="776"/>
      <c r="E7" s="1215" t="s">
        <v>691</v>
      </c>
      <c r="F7" s="1216" t="s">
        <v>692</v>
      </c>
      <c r="G7" s="1236" t="s">
        <v>2132</v>
      </c>
      <c r="H7" s="777"/>
    </row>
    <row r="8" spans="1:8" x14ac:dyDescent="0.3">
      <c r="B8" s="1224" t="str">
        <f>USES!C8</f>
        <v>Construction  or Rehabilitation Costs</v>
      </c>
      <c r="C8" s="1229"/>
      <c r="D8" s="766"/>
      <c r="E8" s="1218" t="str">
        <f>SOURCES!C12</f>
        <v>Taxable Bonds (Long Term Only)</v>
      </c>
      <c r="F8" s="769" t="str">
        <f>SOURCES!F12</f>
        <v>Enter Entity Name</v>
      </c>
      <c r="G8" s="1237">
        <f>SOURCES!M12</f>
        <v>0</v>
      </c>
    </row>
    <row r="9" spans="1:8" x14ac:dyDescent="0.3">
      <c r="B9" s="1218" t="str">
        <f>USES!D10</f>
        <v>Net Construction Costs</v>
      </c>
      <c r="C9" s="1230">
        <f>USES!J10</f>
        <v>0</v>
      </c>
      <c r="E9" s="1218" t="str">
        <f>SOURCES!C13</f>
        <v xml:space="preserve">Tax-Exempt Bonds (Long Term Only) </v>
      </c>
      <c r="F9" s="769">
        <f>SOURCES!F13</f>
        <v>0</v>
      </c>
      <c r="G9" s="1237">
        <f>SOURCES!M13</f>
        <v>0</v>
      </c>
    </row>
    <row r="10" spans="1:8" x14ac:dyDescent="0.3">
      <c r="B10" s="1218" t="str">
        <f>USES!D11</f>
        <v>General Requirements</v>
      </c>
      <c r="C10" s="1230">
        <f>USES!J11</f>
        <v>0</v>
      </c>
      <c r="E10" s="1218" t="str">
        <f>SOURCES!C14</f>
        <v>Private Loan</v>
      </c>
      <c r="F10" s="769" t="str">
        <f>SOURCES!F14</f>
        <v>Enter Entity Name</v>
      </c>
      <c r="G10" s="1237">
        <f>SOURCES!M14</f>
        <v>0</v>
      </c>
    </row>
    <row r="11" spans="1:8" x14ac:dyDescent="0.3">
      <c r="B11" s="1218" t="str">
        <f>USES!D12</f>
        <v>Builder's Profit</v>
      </c>
      <c r="C11" s="1230">
        <f>USES!J12</f>
        <v>0</v>
      </c>
      <c r="D11" s="770">
        <v>1205705</v>
      </c>
      <c r="E11" s="1218" t="str">
        <f>SOURCES!C15</f>
        <v>MIP</v>
      </c>
      <c r="F11" s="769" t="str">
        <f>SOURCES!F15</f>
        <v>Enter Entity Name</v>
      </c>
      <c r="G11" s="1237">
        <f>SOURCES!M15</f>
        <v>0</v>
      </c>
    </row>
    <row r="12" spans="1:8" x14ac:dyDescent="0.3">
      <c r="B12" s="1218" t="str">
        <f>USES!D13</f>
        <v>Builder's General Overhead</v>
      </c>
      <c r="C12" s="1230">
        <f>USES!J13</f>
        <v>0</v>
      </c>
      <c r="D12" s="770">
        <f>23402584</f>
        <v>23402584</v>
      </c>
      <c r="E12" s="1218" t="str">
        <f>SOURCES!C16</f>
        <v xml:space="preserve">Rental Housing Program Funds </v>
      </c>
      <c r="F12" s="769" t="str">
        <f>SOURCES!F16</f>
        <v>Maryland DHCD</v>
      </c>
      <c r="G12" s="1237">
        <f>SOURCES!M16</f>
        <v>0</v>
      </c>
    </row>
    <row r="13" spans="1:8" x14ac:dyDescent="0.3">
      <c r="B13" s="1218" t="str">
        <f>USES!D14</f>
        <v>Bond Premium</v>
      </c>
      <c r="C13" s="1230">
        <f>USES!J14</f>
        <v>0</v>
      </c>
      <c r="E13" s="1218" t="str">
        <f>SOURCES!C17</f>
        <v>HOME (DHCD)</v>
      </c>
      <c r="F13" s="769" t="str">
        <f>SOURCES!F17</f>
        <v>Maryland DHCD</v>
      </c>
      <c r="G13" s="1237">
        <f>SOURCES!M17</f>
        <v>0</v>
      </c>
    </row>
    <row r="14" spans="1:8" x14ac:dyDescent="0.3">
      <c r="B14" s="1218" t="str">
        <f>USES!D15</f>
        <v>Other:</v>
      </c>
      <c r="C14" s="1230">
        <f>USES!J15</f>
        <v>0</v>
      </c>
      <c r="E14" s="1218" t="str">
        <f>SOURCES!C18</f>
        <v>HOME (non-DHCD)</v>
      </c>
      <c r="F14" s="769" t="str">
        <f>SOURCES!F18</f>
        <v>Enter Entity Name</v>
      </c>
      <c r="G14" s="1237">
        <f>SOURCES!M18</f>
        <v>0</v>
      </c>
    </row>
    <row r="15" spans="1:8" x14ac:dyDescent="0.3">
      <c r="B15" s="1218" t="str">
        <f>USES!D16</f>
        <v>Other:</v>
      </c>
      <c r="C15" s="1230">
        <f>USES!J16</f>
        <v>0</v>
      </c>
      <c r="E15" s="1218">
        <f>SOURCE_PermOther1Describe</f>
        <v>0</v>
      </c>
      <c r="F15" s="769" t="str">
        <f>SOURCES!F19</f>
        <v>Enter Entity Name</v>
      </c>
      <c r="G15" s="1237">
        <f>SOURCES!M19</f>
        <v>0</v>
      </c>
      <c r="H15" s="763">
        <v>685</v>
      </c>
    </row>
    <row r="16" spans="1:8" x14ac:dyDescent="0.3">
      <c r="B16" s="1218" t="str">
        <f>USES!D17</f>
        <v>Other:</v>
      </c>
      <c r="C16" s="1230">
        <f>USES!J17</f>
        <v>0</v>
      </c>
      <c r="E16" s="1218">
        <f>SOURCE_PermOther1Describe</f>
        <v>0</v>
      </c>
      <c r="F16" s="769" t="str">
        <f>SOURCES!F20</f>
        <v>Enter Entity Name</v>
      </c>
      <c r="G16" s="1237">
        <f>SOURCES!M20</f>
        <v>0</v>
      </c>
      <c r="H16" s="778">
        <v>-78731</v>
      </c>
    </row>
    <row r="17" spans="2:8" x14ac:dyDescent="0.3">
      <c r="B17" s="1218" t="str">
        <f>USES!D18</f>
        <v>Other:</v>
      </c>
      <c r="C17" s="1230">
        <f>USES!J18</f>
        <v>0</v>
      </c>
      <c r="E17" s="1218" t="str">
        <f>SOURCES!C29</f>
        <v>Rental Housing Program Funds</v>
      </c>
      <c r="F17" s="769" t="str">
        <f>SOURCES!F29</f>
        <v>Maryland DHCD</v>
      </c>
      <c r="G17" s="1237">
        <f>SOURCES!M29</f>
        <v>0</v>
      </c>
      <c r="H17" s="779"/>
    </row>
    <row r="18" spans="2:8" x14ac:dyDescent="0.3">
      <c r="B18" s="1218" t="str">
        <f>USES!D19</f>
        <v>Other:</v>
      </c>
      <c r="C18" s="1230">
        <f>USES!J19</f>
        <v>0</v>
      </c>
      <c r="D18" s="770">
        <f>SUM(C11:D17)</f>
        <v>24608289</v>
      </c>
      <c r="E18" s="1218" t="str">
        <f>SOURCES!C30</f>
        <v>Rental Housing Works</v>
      </c>
      <c r="F18" s="769" t="str">
        <f>SOURCES!F30</f>
        <v>Maryland DHCD</v>
      </c>
      <c r="G18" s="1237">
        <f>SOURCES!M30</f>
        <v>0</v>
      </c>
      <c r="H18" s="760"/>
    </row>
    <row r="19" spans="2:8" x14ac:dyDescent="0.3">
      <c r="B19" s="1218" t="str">
        <f>USES!D20</f>
        <v>Other:</v>
      </c>
      <c r="C19" s="1230">
        <f>USES!J20</f>
        <v>0</v>
      </c>
      <c r="D19" s="766"/>
      <c r="E19" s="1218" t="str">
        <f>SOURCES!C31</f>
        <v>Housing Trust Fund</v>
      </c>
      <c r="F19" s="769" t="str">
        <f>SOURCES!F31</f>
        <v>Maryland DHCD</v>
      </c>
      <c r="G19" s="1237">
        <f>SOURCES!M31</f>
        <v>0</v>
      </c>
      <c r="H19" s="760"/>
    </row>
    <row r="20" spans="2:8" x14ac:dyDescent="0.3">
      <c r="B20" s="1218" t="str">
        <f>USES!D21</f>
        <v>Other:</v>
      </c>
      <c r="C20" s="1230">
        <f>USES!J21</f>
        <v>0</v>
      </c>
      <c r="D20" s="766"/>
      <c r="E20" s="1218" t="str">
        <f>SOURCES!C32</f>
        <v>HOME Funds (DHCD)</v>
      </c>
      <c r="F20" s="769" t="str">
        <f>SOURCES!F32</f>
        <v>Maryland DHCD</v>
      </c>
      <c r="G20" s="1237">
        <f>SOURCES!M32</f>
        <v>0</v>
      </c>
      <c r="H20" s="760"/>
    </row>
    <row r="21" spans="2:8" ht="17.25" customHeight="1" x14ac:dyDescent="0.3">
      <c r="B21" s="1242" t="str">
        <f>USES!D22</f>
        <v xml:space="preserve">Total Construction Contract </v>
      </c>
      <c r="C21" s="1243">
        <f>USES!J22</f>
        <v>0</v>
      </c>
      <c r="D21" s="766"/>
      <c r="E21" s="1218" t="str">
        <f>SOURCES!C33</f>
        <v>HOME ARP (DHCD)</v>
      </c>
      <c r="F21" s="769" t="str">
        <f>SOURCES!F33</f>
        <v>Maryland DHCD</v>
      </c>
      <c r="G21" s="1237">
        <f>SOURCES!M33</f>
        <v>0</v>
      </c>
      <c r="H21" s="779"/>
    </row>
    <row r="22" spans="2:8" x14ac:dyDescent="0.3">
      <c r="B22" s="1218" t="str">
        <f>USES!D23</f>
        <v>Construction Contingency</v>
      </c>
      <c r="C22" s="1230">
        <f>USES!J23</f>
        <v>0</v>
      </c>
      <c r="D22" s="766"/>
      <c r="E22" s="1218" t="str">
        <f>SOURCES!C34</f>
        <v>Partnership Rental Housing Program Funds</v>
      </c>
      <c r="F22" s="769" t="str">
        <f>SOURCES!F34</f>
        <v>Maryland DHCD</v>
      </c>
      <c r="G22" s="1237">
        <f>SOURCES!M34</f>
        <v>0</v>
      </c>
    </row>
    <row r="23" spans="2:8" x14ac:dyDescent="0.3">
      <c r="B23" s="1224" t="str">
        <f>USES!D24</f>
        <v>Total Construction or Rehabilitation Costs</v>
      </c>
      <c r="C23" s="1231">
        <f>SUM(C9:C22)-C21</f>
        <v>0</v>
      </c>
      <c r="D23" s="766"/>
      <c r="E23" s="1218" t="str">
        <f>SOURCES!C35</f>
        <v>Weinberg</v>
      </c>
      <c r="F23" s="769" t="str">
        <f>SOURCES!F35</f>
        <v>Maryland DHCD</v>
      </c>
      <c r="G23" s="1237">
        <f>SOURCES!M35</f>
        <v>0</v>
      </c>
      <c r="H23" s="779"/>
    </row>
    <row r="24" spans="2:8" x14ac:dyDescent="0.3">
      <c r="B24" s="1224" t="str">
        <f>USES!C26</f>
        <v>Fees Related to Construction or Rehabilitation</v>
      </c>
      <c r="C24" s="1229"/>
      <c r="D24" s="780"/>
      <c r="E24" s="1218" t="str">
        <f>SOURCES!C36</f>
        <v>MEEHA</v>
      </c>
      <c r="F24" s="769" t="str">
        <f>SOURCES!F36</f>
        <v>Maryland DHCD</v>
      </c>
      <c r="G24" s="1237">
        <f>SOURCES!M36</f>
        <v>0</v>
      </c>
      <c r="H24" s="779"/>
    </row>
    <row r="25" spans="2:8" x14ac:dyDescent="0.3">
      <c r="B25" s="1218" t="str">
        <f>USES!D28</f>
        <v>Architect's Design Fee</v>
      </c>
      <c r="C25" s="1232">
        <f>USES!J28</f>
        <v>0</v>
      </c>
      <c r="D25" s="766"/>
      <c r="E25" s="1218">
        <f>SOURCE_CFOther1Describe</f>
        <v>0</v>
      </c>
      <c r="F25" s="769" t="str">
        <f>SOURCES!F37</f>
        <v>Maryland DHCD</v>
      </c>
      <c r="G25" s="1237">
        <f>SOURCES!M37</f>
        <v>0</v>
      </c>
      <c r="H25" s="779"/>
    </row>
    <row r="26" spans="2:8" x14ac:dyDescent="0.3">
      <c r="B26" s="1218" t="str">
        <f>USES!D29</f>
        <v>Architect's Supervision Fee</v>
      </c>
      <c r="C26" s="1232">
        <f>USES!J29</f>
        <v>0</v>
      </c>
      <c r="D26" s="766"/>
      <c r="E26" s="1218">
        <f>SOURCE_CFOther1Describe</f>
        <v>0</v>
      </c>
      <c r="F26" s="769" t="str">
        <f>SOURCES!F38</f>
        <v>Maryland DHCD</v>
      </c>
      <c r="G26" s="1237">
        <f>SOURCES!M38</f>
        <v>0</v>
      </c>
      <c r="H26" s="779"/>
    </row>
    <row r="27" spans="2:8" x14ac:dyDescent="0.3">
      <c r="B27" s="1218" t="str">
        <f>USES!D30</f>
        <v>Architect Reimbursable Additional Design</v>
      </c>
      <c r="C27" s="1232">
        <f>USES!J30</f>
        <v>0</v>
      </c>
      <c r="D27" s="766"/>
      <c r="E27" s="1218" t="str">
        <f>SOURCES!C39</f>
        <v>HOME (non-DHCD)</v>
      </c>
      <c r="F27" s="769" t="str">
        <f>SOURCES!F39</f>
        <v>Enter Entity Name</v>
      </c>
      <c r="G27" s="1237">
        <f>SOURCES!M39</f>
        <v>0</v>
      </c>
      <c r="H27" s="779"/>
    </row>
    <row r="28" spans="2:8" x14ac:dyDescent="0.3">
      <c r="B28" s="1218" t="str">
        <f>USES!D31</f>
        <v>Real Estate Attorney</v>
      </c>
      <c r="C28" s="1232">
        <f>USES!J31</f>
        <v>0</v>
      </c>
      <c r="D28" s="766"/>
      <c r="E28" s="1218" t="str">
        <f>SOURCES!C40</f>
        <v>Seller Note</v>
      </c>
      <c r="F28" s="769" t="str">
        <f>SOURCES!F40</f>
        <v>Enter Entity Name</v>
      </c>
      <c r="G28" s="1237">
        <f>SOURCES!M40</f>
        <v>0</v>
      </c>
      <c r="H28" s="779"/>
    </row>
    <row r="29" spans="2:8" x14ac:dyDescent="0.3">
      <c r="B29" s="1218" t="str">
        <f>USES!D32</f>
        <v>Civil Engineering Design Fee</v>
      </c>
      <c r="C29" s="1232">
        <f>USES!J32</f>
        <v>0</v>
      </c>
      <c r="D29" s="766"/>
      <c r="E29" s="1218">
        <f t="shared" ref="E29:E39" si="0">SOURCE_CFOther3Describe</f>
        <v>0</v>
      </c>
      <c r="F29" s="769" t="str">
        <f>SOURCES!F41</f>
        <v>Enter Entity Name</v>
      </c>
      <c r="G29" s="1237">
        <f>SOURCES!M41</f>
        <v>0</v>
      </c>
      <c r="H29" s="779"/>
    </row>
    <row r="30" spans="2:8" x14ac:dyDescent="0.3">
      <c r="B30" s="1218" t="str">
        <f>USES!D33</f>
        <v>Civil Engineering Supervision Fee</v>
      </c>
      <c r="C30" s="1232">
        <f>USES!J33</f>
        <v>0</v>
      </c>
      <c r="D30" s="766"/>
      <c r="E30" s="1218">
        <f t="shared" si="0"/>
        <v>0</v>
      </c>
      <c r="F30" s="769" t="str">
        <f>SOURCES!F42</f>
        <v>Enter Entity Name</v>
      </c>
      <c r="G30" s="1237">
        <f>SOURCES!M42</f>
        <v>0</v>
      </c>
      <c r="H30" s="760"/>
    </row>
    <row r="31" spans="2:8" x14ac:dyDescent="0.3">
      <c r="B31" s="1218" t="str">
        <f>USES!D34</f>
        <v>Marketing</v>
      </c>
      <c r="C31" s="1232">
        <f>USES!J34</f>
        <v>0</v>
      </c>
      <c r="D31" s="766"/>
      <c r="E31" s="1218">
        <f t="shared" si="0"/>
        <v>0</v>
      </c>
      <c r="F31" s="769" t="str">
        <f>SOURCES!F43</f>
        <v>Enter Entity Name</v>
      </c>
      <c r="G31" s="1237">
        <f>SOURCES!M43</f>
        <v>0</v>
      </c>
      <c r="H31" s="760"/>
    </row>
    <row r="32" spans="2:8" x14ac:dyDescent="0.3">
      <c r="B32" s="1218" t="str">
        <f>USES!D35</f>
        <v>Other:</v>
      </c>
      <c r="C32" s="1232">
        <f>USES!J35</f>
        <v>0</v>
      </c>
      <c r="D32" s="766"/>
      <c r="E32" s="1218">
        <f t="shared" si="0"/>
        <v>0</v>
      </c>
      <c r="F32" s="769" t="str">
        <f>SOURCES!F44</f>
        <v>Enter Entity Name</v>
      </c>
      <c r="G32" s="1237">
        <f>SOURCES!M44</f>
        <v>0</v>
      </c>
      <c r="H32" s="760"/>
    </row>
    <row r="33" spans="2:8" x14ac:dyDescent="0.3">
      <c r="B33" s="1218" t="str">
        <f>USES!D36</f>
        <v>Surveys</v>
      </c>
      <c r="C33" s="1232">
        <f>USES!J36</f>
        <v>0</v>
      </c>
      <c r="D33" s="766"/>
      <c r="E33" s="1218">
        <f t="shared" si="0"/>
        <v>0</v>
      </c>
      <c r="F33" s="769" t="str">
        <f>SOURCES!F45</f>
        <v>Enter Entity Name</v>
      </c>
      <c r="G33" s="1237">
        <f>SOURCES!M45</f>
        <v>0</v>
      </c>
      <c r="H33" s="760"/>
    </row>
    <row r="34" spans="2:8" x14ac:dyDescent="0.3">
      <c r="B34" s="1218" t="str">
        <f>USES!D37</f>
        <v>Soil Borings</v>
      </c>
      <c r="C34" s="1232">
        <f>USES!J37</f>
        <v>0</v>
      </c>
      <c r="D34" s="766"/>
      <c r="E34" s="1218">
        <f t="shared" si="0"/>
        <v>0</v>
      </c>
      <c r="F34" s="769" t="str">
        <f>SOURCES!F46</f>
        <v>Enter Entity Name</v>
      </c>
      <c r="G34" s="1237">
        <f>SOURCES!M46</f>
        <v>0</v>
      </c>
      <c r="H34" s="760"/>
    </row>
    <row r="35" spans="2:8" x14ac:dyDescent="0.3">
      <c r="B35" s="1218" t="str">
        <f>USES!D38</f>
        <v>Appraisal</v>
      </c>
      <c r="C35" s="1232">
        <f>USES!J38</f>
        <v>0</v>
      </c>
      <c r="D35" s="766"/>
      <c r="E35" s="1218">
        <f t="shared" si="0"/>
        <v>0</v>
      </c>
      <c r="F35" s="769" t="str">
        <f>SOURCES!F47</f>
        <v>Enter Entity Name</v>
      </c>
      <c r="G35" s="1237">
        <f>SOURCES!M47</f>
        <v>0</v>
      </c>
      <c r="H35" s="760"/>
    </row>
    <row r="36" spans="2:8" x14ac:dyDescent="0.3">
      <c r="B36" s="1218" t="str">
        <f>USES!D39</f>
        <v>Market Study</v>
      </c>
      <c r="C36" s="1232">
        <f>USES!J39</f>
        <v>0</v>
      </c>
      <c r="D36" s="766"/>
      <c r="E36" s="1218">
        <f t="shared" si="0"/>
        <v>0</v>
      </c>
      <c r="F36" s="769" t="str">
        <f>SOURCES!F48</f>
        <v>Enter Entity Name</v>
      </c>
      <c r="G36" s="1237">
        <f>SOURCES!M48</f>
        <v>0</v>
      </c>
      <c r="H36" s="760"/>
    </row>
    <row r="37" spans="2:8" x14ac:dyDescent="0.3">
      <c r="B37" s="1218" t="str">
        <f>USES!D40</f>
        <v>Environmental Report</v>
      </c>
      <c r="C37" s="1232">
        <f>USES!J40</f>
        <v>0</v>
      </c>
      <c r="D37" s="766"/>
      <c r="E37" s="1218">
        <f t="shared" si="0"/>
        <v>0</v>
      </c>
      <c r="F37" s="769" t="str">
        <f>SOURCES!F49</f>
        <v>Enter Entity Name</v>
      </c>
      <c r="G37" s="1237">
        <f>SOURCES!M49</f>
        <v>0</v>
      </c>
      <c r="H37" s="760"/>
    </row>
    <row r="38" spans="2:8" x14ac:dyDescent="0.3">
      <c r="B38" s="1218" t="str">
        <f>USES!D41</f>
        <v>Environmental Consultant</v>
      </c>
      <c r="C38" s="1232">
        <f>USES!J41</f>
        <v>0</v>
      </c>
      <c r="D38" s="766"/>
      <c r="E38" s="1218">
        <f t="shared" si="0"/>
        <v>0</v>
      </c>
      <c r="F38" s="769" t="str">
        <f>SOURCES!F50</f>
        <v>Enter Entity Name</v>
      </c>
      <c r="G38" s="1237">
        <f>SOURCES!M50</f>
        <v>0</v>
      </c>
      <c r="H38" s="760"/>
    </row>
    <row r="39" spans="2:8" x14ac:dyDescent="0.3">
      <c r="B39" s="1218" t="str">
        <f>USES!D42</f>
        <v>Building Permits and Fees</v>
      </c>
      <c r="C39" s="1232">
        <f>USES!J42</f>
        <v>0</v>
      </c>
      <c r="D39" s="766"/>
      <c r="E39" s="1218">
        <f t="shared" si="0"/>
        <v>0</v>
      </c>
      <c r="F39" s="769" t="str">
        <f>SOURCES!F51</f>
        <v>Enter Entity Name</v>
      </c>
      <c r="G39" s="1237">
        <f>SOURCES!M51</f>
        <v>0</v>
      </c>
      <c r="H39" s="760"/>
    </row>
    <row r="40" spans="2:8" x14ac:dyDescent="0.3">
      <c r="B40" s="1218" t="str">
        <f>USES!D43</f>
        <v>Tap Fees</v>
      </c>
      <c r="C40" s="1232">
        <f>USES!J43</f>
        <v>0</v>
      </c>
      <c r="D40" s="766"/>
      <c r="E40" s="1218" t="str">
        <f>SOURCES!C58</f>
        <v>Federal Historic Tax Credit Proceeds (from Tax Credit section)</v>
      </c>
      <c r="F40" s="769">
        <f>SOURCES!G58</f>
        <v>0</v>
      </c>
      <c r="G40" s="1237">
        <f>SOURCES!M58</f>
        <v>0</v>
      </c>
      <c r="H40" s="760"/>
    </row>
    <row r="41" spans="2:8" x14ac:dyDescent="0.3">
      <c r="B41" s="1218" t="str">
        <f>USES!D44</f>
        <v>FF&amp;E</v>
      </c>
      <c r="C41" s="1232">
        <f>USES!J44</f>
        <v>0</v>
      </c>
      <c r="D41" s="766"/>
      <c r="E41" s="1218" t="str">
        <f>SOURCES!C59</f>
        <v>State Historic Tax Credit Proceeds (from Tax Credit section)</v>
      </c>
      <c r="F41" s="769">
        <f>SOURCES!G59</f>
        <v>0</v>
      </c>
      <c r="G41" s="1237">
        <f>SOURCES!M59</f>
        <v>0</v>
      </c>
      <c r="H41" s="760"/>
    </row>
    <row r="42" spans="2:8" x14ac:dyDescent="0.3">
      <c r="B42" s="1218" t="str">
        <f>USES!D45</f>
        <v>Accessibility Consultant Design Fee</v>
      </c>
      <c r="C42" s="1232">
        <f>USES!J45</f>
        <v>0</v>
      </c>
      <c r="D42" s="766"/>
      <c r="E42" s="1218" t="str">
        <f>SOURCES!C60</f>
        <v>Low Income Housing Tax Credit Proceeds (from Tax Credit section)</v>
      </c>
      <c r="F42" s="769">
        <f>SOURCES!G60</f>
        <v>0</v>
      </c>
      <c r="G42" s="1237" t="str">
        <f>SOURCES!M60</f>
        <v/>
      </c>
      <c r="H42" s="760"/>
    </row>
    <row r="43" spans="2:8" x14ac:dyDescent="0.3">
      <c r="B43" s="1218" t="str">
        <f>USES!D46</f>
        <v>Accessibility Consultant Supervision Fee</v>
      </c>
      <c r="C43" s="1232">
        <f>USES!J46</f>
        <v>0</v>
      </c>
      <c r="D43" s="766"/>
      <c r="E43" s="1218" t="str">
        <f>SOURCES!C61</f>
        <v>Deferred Developer Fee</v>
      </c>
      <c r="F43" s="769">
        <f>SOURCES!G61</f>
        <v>0</v>
      </c>
      <c r="G43" s="1237">
        <f>SOURCES!M61</f>
        <v>0</v>
      </c>
      <c r="H43" s="760"/>
    </row>
    <row r="44" spans="2:8" x14ac:dyDescent="0.3">
      <c r="B44" s="1218" t="str">
        <f>USES!D47</f>
        <v>Energy/Green Consultant Design Fee</v>
      </c>
      <c r="C44" s="1232">
        <f>USES!J47</f>
        <v>0</v>
      </c>
      <c r="D44" s="766"/>
      <c r="E44" s="1218" t="str">
        <f>SOURCES!C62</f>
        <v xml:space="preserve">Developer Equity </v>
      </c>
      <c r="F44" s="769">
        <f>SOURCES!G62</f>
        <v>0</v>
      </c>
      <c r="G44" s="1237">
        <f>SOURCES!M62</f>
        <v>0</v>
      </c>
      <c r="H44" s="760"/>
    </row>
    <row r="45" spans="2:8" x14ac:dyDescent="0.3">
      <c r="B45" s="1218" t="str">
        <f>USES!D48</f>
        <v>Energy/Green Consultant Supervision Fee</v>
      </c>
      <c r="C45" s="1232">
        <f>USES!J48</f>
        <v>0</v>
      </c>
      <c r="D45" s="766"/>
      <c r="E45" s="1218" t="str">
        <f>SOURCES!C63</f>
        <v xml:space="preserve">Interim Income </v>
      </c>
      <c r="F45" s="769" t="str">
        <f>SOURCES!G63</f>
        <v>Provide a construction period income and expense budget</v>
      </c>
      <c r="G45" s="1237">
        <f>SOURCES!M63</f>
        <v>0</v>
      </c>
      <c r="H45" s="760"/>
    </row>
    <row r="46" spans="2:8" x14ac:dyDescent="0.3">
      <c r="B46" s="1218" t="str">
        <f>USES!D49</f>
        <v>Offsite Infrastructure - Outside of the GC Agreement</v>
      </c>
      <c r="C46" s="1232">
        <f>USES!J49</f>
        <v>0</v>
      </c>
      <c r="D46" s="766"/>
      <c r="E46" s="1218" t="str">
        <f>SOURCES!D64</f>
        <v>Energy Credits</v>
      </c>
      <c r="F46" s="769" t="str">
        <f>SOURCES!G64</f>
        <v>Entity Name</v>
      </c>
      <c r="G46" s="1237">
        <f>SOURCES!M64</f>
        <v>0</v>
      </c>
      <c r="H46" s="760"/>
    </row>
    <row r="47" spans="2:8" x14ac:dyDescent="0.3">
      <c r="B47" s="1218" t="str">
        <f>USES!D50</f>
        <v>Solar Installation - Outside of the GC Agreement</v>
      </c>
      <c r="C47" s="1232">
        <f>USES!J50</f>
        <v>0</v>
      </c>
      <c r="D47" s="766"/>
      <c r="E47" s="1218" t="str">
        <f>SOURCES!D65</f>
        <v>Bond Investment Income</v>
      </c>
      <c r="F47" s="769" t="str">
        <f>SOURCES!G65</f>
        <v>Entity Name</v>
      </c>
      <c r="G47" s="1237">
        <f>SOURCES!M65</f>
        <v>0</v>
      </c>
      <c r="H47" s="760"/>
    </row>
    <row r="48" spans="2:8" x14ac:dyDescent="0.3">
      <c r="B48" s="1218" t="str">
        <f>USES!D51</f>
        <v>Other:</v>
      </c>
      <c r="C48" s="1232">
        <f>USES!J51</f>
        <v>0</v>
      </c>
      <c r="D48" s="766"/>
      <c r="E48" s="1218" t="str">
        <f>SOURCES!D66</f>
        <v>Existing Reserves</v>
      </c>
      <c r="F48" s="769" t="str">
        <f>SOURCES!G66</f>
        <v>Entity Name</v>
      </c>
      <c r="G48" s="1237">
        <f>SOURCES!M66</f>
        <v>0</v>
      </c>
      <c r="H48" s="760"/>
    </row>
    <row r="49" spans="2:8" x14ac:dyDescent="0.3">
      <c r="B49" s="1218" t="str">
        <f>USES!D52</f>
        <v>Other:</v>
      </c>
      <c r="C49" s="1232">
        <f>USES!J52</f>
        <v>0</v>
      </c>
      <c r="D49" s="766"/>
      <c r="E49" s="1218">
        <f>SOURCES!D67</f>
        <v>0</v>
      </c>
      <c r="F49" s="769" t="str">
        <f>SOURCES!G67</f>
        <v>Entity Name</v>
      </c>
      <c r="G49" s="1237">
        <f>SOURCES!M67</f>
        <v>0</v>
      </c>
      <c r="H49" s="760"/>
    </row>
    <row r="50" spans="2:8" x14ac:dyDescent="0.3">
      <c r="B50" s="1218" t="str">
        <f>USES!D53</f>
        <v>Other:</v>
      </c>
      <c r="C50" s="1232">
        <f>USES!J53</f>
        <v>0</v>
      </c>
      <c r="D50" s="766"/>
      <c r="E50" s="1218">
        <f>SOURCES!D68</f>
        <v>0</v>
      </c>
      <c r="F50" s="769" t="str">
        <f>SOURCES!G68</f>
        <v>Entity Name</v>
      </c>
      <c r="G50" s="1237">
        <f>SOURCES!M68</f>
        <v>0</v>
      </c>
      <c r="H50" s="760"/>
    </row>
    <row r="51" spans="2:8" x14ac:dyDescent="0.3">
      <c r="B51" s="1218" t="str">
        <f>USES!D54</f>
        <v>Other:</v>
      </c>
      <c r="C51" s="1232">
        <f>USES!J54</f>
        <v>0</v>
      </c>
      <c r="D51" s="767"/>
      <c r="E51" s="1218">
        <f>SOURCES!D69</f>
        <v>0</v>
      </c>
      <c r="F51" s="769" t="str">
        <f>SOURCES!G69</f>
        <v>Entity Name</v>
      </c>
      <c r="G51" s="1237">
        <f>SOURCES!M69</f>
        <v>0</v>
      </c>
      <c r="H51" s="760"/>
    </row>
    <row r="52" spans="2:8" x14ac:dyDescent="0.3">
      <c r="B52" s="1218" t="str">
        <f>USES!D55</f>
        <v>Other:</v>
      </c>
      <c r="C52" s="1232">
        <f>USES!J55</f>
        <v>0</v>
      </c>
      <c r="D52" s="768"/>
      <c r="E52" s="1218">
        <f>SOURCES!D70</f>
        <v>0</v>
      </c>
      <c r="F52" s="769" t="str">
        <f>SOURCES!G70</f>
        <v>Entity Name</v>
      </c>
      <c r="G52" s="1237">
        <f>SOURCES!M70</f>
        <v>0</v>
      </c>
      <c r="H52" s="760"/>
    </row>
    <row r="53" spans="2:8" x14ac:dyDescent="0.3">
      <c r="B53" s="1218" t="str">
        <f>USES!D56</f>
        <v>Other:</v>
      </c>
      <c r="C53" s="1232">
        <f>USES!J56</f>
        <v>0</v>
      </c>
      <c r="D53" s="768"/>
      <c r="E53" s="1218">
        <f>SOURCES!D71</f>
        <v>0</v>
      </c>
      <c r="F53" s="769" t="str">
        <f>SOURCES!G71</f>
        <v>Entity Name</v>
      </c>
      <c r="G53" s="1237">
        <f>SOURCES!M71</f>
        <v>0</v>
      </c>
      <c r="H53" s="760"/>
    </row>
    <row r="54" spans="2:8" x14ac:dyDescent="0.3">
      <c r="B54" s="1218" t="str">
        <f>USES!D57</f>
        <v>Other:</v>
      </c>
      <c r="C54" s="1232">
        <f>USES!J57</f>
        <v>0</v>
      </c>
      <c r="D54" s="768"/>
      <c r="E54" s="1218">
        <f>SOURCES!D72</f>
        <v>0</v>
      </c>
      <c r="F54" s="769" t="str">
        <f>SOURCES!G72</f>
        <v>Entity Name</v>
      </c>
      <c r="G54" s="1237">
        <f>SOURCES!M72</f>
        <v>0</v>
      </c>
      <c r="H54" s="779"/>
    </row>
    <row r="55" spans="2:8" x14ac:dyDescent="0.3">
      <c r="B55" s="1218" t="str">
        <f>USES!D58</f>
        <v>Other:</v>
      </c>
      <c r="C55" s="1232">
        <f>USES!J58</f>
        <v>0</v>
      </c>
      <c r="D55" s="768"/>
      <c r="E55" s="1218">
        <f>SOURCES!D73</f>
        <v>0</v>
      </c>
      <c r="F55" s="769" t="str">
        <f>SOURCES!G73</f>
        <v>Entity Name</v>
      </c>
      <c r="G55" s="1237">
        <f>SOURCES!M73</f>
        <v>0</v>
      </c>
      <c r="H55" s="779"/>
    </row>
    <row r="56" spans="2:8" x14ac:dyDescent="0.3">
      <c r="B56" s="1218" t="str">
        <f>USES!D59</f>
        <v>Other:</v>
      </c>
      <c r="C56" s="1232">
        <f>USES!J59</f>
        <v>0</v>
      </c>
      <c r="D56" s="768"/>
      <c r="E56" s="1218">
        <f>SOURCES!D74</f>
        <v>0</v>
      </c>
      <c r="F56" s="769" t="str">
        <f>SOURCES!G74</f>
        <v>Entity Name</v>
      </c>
      <c r="G56" s="1237">
        <f>SOURCES!M74</f>
        <v>0</v>
      </c>
      <c r="H56" s="779"/>
    </row>
    <row r="57" spans="2:8" ht="18" thickBot="1" x14ac:dyDescent="0.35">
      <c r="B57" s="1218" t="str">
        <f>USES!D60</f>
        <v>Other:</v>
      </c>
      <c r="C57" s="1232">
        <f>USES!J60</f>
        <v>0</v>
      </c>
      <c r="D57" s="768"/>
      <c r="E57" s="2004" t="s">
        <v>2608</v>
      </c>
      <c r="F57" s="2005"/>
      <c r="G57" s="1238">
        <f>SUM(G8:G56)</f>
        <v>0</v>
      </c>
      <c r="H57" s="779"/>
    </row>
    <row r="58" spans="2:8" ht="17.399999999999999" x14ac:dyDescent="0.3">
      <c r="B58" s="1224" t="str">
        <f>USES!D61</f>
        <v>Total Fees Related to Construction or Rehabilitation</v>
      </c>
      <c r="C58" s="1231">
        <f>SUM(C25:C57)</f>
        <v>0</v>
      </c>
      <c r="D58" s="768"/>
      <c r="E58" s="1219"/>
      <c r="F58" s="1219"/>
      <c r="G58" s="1239"/>
      <c r="H58" s="779"/>
    </row>
    <row r="59" spans="2:8" ht="18" x14ac:dyDescent="0.35">
      <c r="B59" s="1224" t="str">
        <f>USES!C63</f>
        <v>Financing Fees and Charges</v>
      </c>
      <c r="C59" s="1229"/>
      <c r="D59" s="768"/>
      <c r="E59" s="1220"/>
      <c r="F59" s="1214" t="s">
        <v>2609</v>
      </c>
      <c r="G59" s="1240">
        <f>G57-C148</f>
        <v>0</v>
      </c>
      <c r="H59" s="779"/>
    </row>
    <row r="60" spans="2:8" ht="18" x14ac:dyDescent="0.35">
      <c r="B60" s="1218" t="str">
        <f>USES!D65</f>
        <v>Construction Loan Interest</v>
      </c>
      <c r="C60" s="1232">
        <f>USES!J65</f>
        <v>0</v>
      </c>
      <c r="D60" s="766"/>
      <c r="E60" s="1220"/>
      <c r="F60" s="1221" t="s">
        <v>2610</v>
      </c>
      <c r="G60" s="1241">
        <f>SOURCES!M23</f>
        <v>0</v>
      </c>
      <c r="H60" s="779"/>
    </row>
    <row r="61" spans="2:8" x14ac:dyDescent="0.3">
      <c r="B61" s="1218" t="str">
        <f>USES!D66</f>
        <v>Bond Interest</v>
      </c>
      <c r="C61" s="1232">
        <f>USES!J66</f>
        <v>0</v>
      </c>
      <c r="D61" s="766"/>
      <c r="H61" s="779"/>
    </row>
    <row r="62" spans="2:8" x14ac:dyDescent="0.3">
      <c r="B62" s="1218" t="str">
        <f>USES!D67</f>
        <v>Negative Arbitrage</v>
      </c>
      <c r="C62" s="1232">
        <f>USES!J67</f>
        <v>0</v>
      </c>
      <c r="D62" s="766"/>
      <c r="H62" s="779"/>
    </row>
    <row r="63" spans="2:8" x14ac:dyDescent="0.3">
      <c r="B63" s="1218" t="str">
        <f>USES!D68</f>
        <v>Real Estate Taxes</v>
      </c>
      <c r="C63" s="1232">
        <f>USES!J68</f>
        <v>0</v>
      </c>
      <c r="D63" s="766"/>
      <c r="H63" s="779"/>
    </row>
    <row r="64" spans="2:8" x14ac:dyDescent="0.3">
      <c r="B64" s="1218" t="str">
        <f>USES!D69</f>
        <v>Insurance Premium</v>
      </c>
      <c r="C64" s="1232">
        <f>USES!J69</f>
        <v>0</v>
      </c>
      <c r="D64" s="766"/>
      <c r="H64" s="764"/>
    </row>
    <row r="65" spans="2:11" x14ac:dyDescent="0.3">
      <c r="B65" s="1218" t="str">
        <f>USES!D70</f>
        <v>Mortgage Insurance Premium</v>
      </c>
      <c r="C65" s="1232">
        <f>USES!J70</f>
        <v>0</v>
      </c>
      <c r="D65" s="766"/>
      <c r="H65" s="764"/>
    </row>
    <row r="66" spans="2:11" x14ac:dyDescent="0.3">
      <c r="B66" s="1218" t="str">
        <f>USES!D71</f>
        <v>Title and Recording</v>
      </c>
      <c r="C66" s="1232">
        <f>USES!J71</f>
        <v>0</v>
      </c>
      <c r="D66" s="766"/>
      <c r="E66" s="765"/>
      <c r="G66" s="760"/>
      <c r="H66" s="760"/>
      <c r="J66" s="778"/>
      <c r="K66" s="763"/>
    </row>
    <row r="67" spans="2:11" x14ac:dyDescent="0.3">
      <c r="B67" s="1218" t="str">
        <f>USES!D72</f>
        <v>Credit Report</v>
      </c>
      <c r="C67" s="1232">
        <f>USES!J72</f>
        <v>0</v>
      </c>
      <c r="D67" s="766"/>
      <c r="E67" s="765"/>
      <c r="G67" s="760"/>
      <c r="H67" s="760"/>
      <c r="J67" s="761"/>
      <c r="K67" s="763"/>
    </row>
    <row r="68" spans="2:11" ht="14.25" customHeight="1" x14ac:dyDescent="0.3">
      <c r="B68" s="1218" t="str">
        <f>USES!D73</f>
        <v>Predevelopment Loan Fees</v>
      </c>
      <c r="C68" s="1232">
        <f>USES!J73</f>
        <v>0</v>
      </c>
      <c r="D68" s="766"/>
      <c r="E68" s="762"/>
      <c r="G68" s="760"/>
      <c r="H68" s="760"/>
    </row>
    <row r="69" spans="2:11" x14ac:dyDescent="0.3">
      <c r="B69" s="1218" t="str">
        <f>USES!D74</f>
        <v>Soft Cost Contingency</v>
      </c>
      <c r="C69" s="1232">
        <f>USES!J74</f>
        <v>0</v>
      </c>
      <c r="D69" s="766"/>
      <c r="G69" s="760"/>
      <c r="H69" s="760"/>
    </row>
    <row r="70" spans="2:11" x14ac:dyDescent="0.3">
      <c r="B70" s="1218" t="str">
        <f>USES!D75</f>
        <v>CDA Subordinate Loan Commitment Fees (RHP)</v>
      </c>
      <c r="C70" s="1232">
        <f>USES!J75</f>
        <v>0</v>
      </c>
      <c r="D70" s="766"/>
      <c r="G70" s="760"/>
      <c r="H70" s="760"/>
    </row>
    <row r="71" spans="2:11" x14ac:dyDescent="0.3">
      <c r="B71" s="1218" t="str">
        <f>USES!D76</f>
        <v>CDA Subordinate Loan Commitment Fees (RHW)</v>
      </c>
      <c r="C71" s="1232">
        <f>USES!J76</f>
        <v>0</v>
      </c>
      <c r="D71" s="766"/>
      <c r="G71" s="760"/>
      <c r="H71" s="760"/>
    </row>
    <row r="72" spans="2:11" x14ac:dyDescent="0.3">
      <c r="B72" s="1218" t="str">
        <f>USES!D77</f>
        <v>CDA Subordinate Loan Commitment Fees (PRHP)</v>
      </c>
      <c r="C72" s="1232">
        <f>USES!J77</f>
        <v>0</v>
      </c>
      <c r="D72" s="766"/>
      <c r="E72" s="762"/>
      <c r="G72" s="760"/>
      <c r="H72" s="760"/>
    </row>
    <row r="73" spans="2:11" x14ac:dyDescent="0.3">
      <c r="B73" s="1218" t="str">
        <f>USES!D78</f>
        <v>State Loan and LIHTC Assumption Fee</v>
      </c>
      <c r="C73" s="1232">
        <f>USES!J78</f>
        <v>0</v>
      </c>
      <c r="D73" s="781"/>
      <c r="G73" s="760"/>
      <c r="H73" s="760"/>
    </row>
    <row r="74" spans="2:11" x14ac:dyDescent="0.3">
      <c r="B74" s="1218" t="str">
        <f>USES!D79</f>
        <v>MBP Loan Assumption Fee</v>
      </c>
      <c r="C74" s="1232">
        <f>USES!J79</f>
        <v>0</v>
      </c>
      <c r="D74" s="771"/>
      <c r="G74" s="760"/>
      <c r="H74" s="760"/>
    </row>
    <row r="75" spans="2:11" x14ac:dyDescent="0.3">
      <c r="B75" s="1218" t="str">
        <f>USES!D80</f>
        <v>CDA Loan Servicing Fee</v>
      </c>
      <c r="C75" s="1232">
        <f>USES!J80</f>
        <v>0</v>
      </c>
      <c r="D75" s="771"/>
      <c r="G75" s="760"/>
      <c r="H75" s="760"/>
    </row>
    <row r="76" spans="2:11" x14ac:dyDescent="0.3">
      <c r="B76" s="1218" t="str">
        <f>USES!D81</f>
        <v>CDA Subsidy Layering Review Fee</v>
      </c>
      <c r="C76" s="1232">
        <f>USES!J81</f>
        <v>0</v>
      </c>
      <c r="D76" s="771"/>
      <c r="G76" s="760"/>
      <c r="H76" s="760"/>
      <c r="K76" s="763"/>
    </row>
    <row r="77" spans="2:11" x14ac:dyDescent="0.3">
      <c r="B77" s="1218" t="str">
        <f>USES!D82</f>
        <v>CDA Construction Monitoring Fee</v>
      </c>
      <c r="C77" s="1232">
        <f>USES!J82</f>
        <v>0</v>
      </c>
      <c r="D77" s="766"/>
      <c r="E77" s="762"/>
      <c r="G77" s="760"/>
      <c r="H77" s="760"/>
      <c r="K77" s="763"/>
    </row>
    <row r="78" spans="2:11" x14ac:dyDescent="0.3">
      <c r="B78" s="1218" t="str">
        <f>USES!D83</f>
        <v>Cost of Issuance (Private Placement Underwriter's Fees)</v>
      </c>
      <c r="C78" s="1232">
        <f>USES!J83</f>
        <v>0</v>
      </c>
      <c r="D78" s="766"/>
      <c r="G78" s="760"/>
      <c r="H78" s="760"/>
      <c r="K78" s="763"/>
    </row>
    <row r="79" spans="2:11" x14ac:dyDescent="0.3">
      <c r="B79" s="1218" t="str">
        <f>USES!D84</f>
        <v xml:space="preserve">Cost of Issuance (CDA) </v>
      </c>
      <c r="C79" s="1232">
        <f>USES!J84</f>
        <v>0</v>
      </c>
      <c r="D79" s="766"/>
      <c r="G79" s="760"/>
      <c r="H79" s="760"/>
      <c r="K79" s="763"/>
    </row>
    <row r="80" spans="2:11" s="772" customFormat="1" ht="14.25" customHeight="1" x14ac:dyDescent="0.3">
      <c r="B80" s="1218" t="str">
        <f>USES!D85</f>
        <v>CDA Issuer Fee (FNMA MTEB)</v>
      </c>
      <c r="C80" s="1232">
        <f>USES!J85</f>
        <v>0</v>
      </c>
      <c r="D80" s="773"/>
      <c r="E80" s="760"/>
      <c r="F80" s="760"/>
      <c r="G80" s="760"/>
      <c r="H80" s="760"/>
      <c r="I80" s="760"/>
      <c r="J80" s="760"/>
      <c r="K80" s="763"/>
    </row>
    <row r="81" spans="2:11" x14ac:dyDescent="0.3">
      <c r="B81" s="1218" t="str">
        <f>USES!D86</f>
        <v>CDA Issuer Fee (FTEL)</v>
      </c>
      <c r="C81" s="1232">
        <f>USES!J86</f>
        <v>0</v>
      </c>
      <c r="D81" s="766"/>
      <c r="G81" s="760"/>
      <c r="H81" s="760"/>
      <c r="K81" s="763"/>
    </row>
    <row r="82" spans="2:11" x14ac:dyDescent="0.3">
      <c r="B82" s="1218" t="str">
        <f>USES!D87</f>
        <v>Capitalized Interest on Initial Funding Loan (FTEL)</v>
      </c>
      <c r="C82" s="1232">
        <f>USES!J87</f>
        <v>0</v>
      </c>
      <c r="D82" s="766"/>
      <c r="E82" s="762"/>
      <c r="G82" s="760"/>
      <c r="H82" s="760"/>
      <c r="K82" s="763"/>
    </row>
    <row r="83" spans="2:11" x14ac:dyDescent="0.3">
      <c r="B83" s="1218" t="str">
        <f>USES!D88</f>
        <v>MHF Application Fee (CDA/FHA Risk Sharing)</v>
      </c>
      <c r="C83" s="1232">
        <f>USES!J88</f>
        <v>0</v>
      </c>
      <c r="D83" s="766"/>
      <c r="G83" s="760"/>
      <c r="H83" s="760"/>
      <c r="K83" s="763"/>
    </row>
    <row r="84" spans="2:11" x14ac:dyDescent="0.3">
      <c r="B84" s="1218" t="str">
        <f>USES!D89</f>
        <v>MHF Administrative and Legal Fee (CDA/FHA Risk Sharing)</v>
      </c>
      <c r="C84" s="1232">
        <f>USES!J89</f>
        <v>0</v>
      </c>
      <c r="D84" s="766"/>
      <c r="G84" s="760"/>
      <c r="H84" s="760"/>
      <c r="K84" s="763"/>
    </row>
    <row r="85" spans="2:11" x14ac:dyDescent="0.3">
      <c r="B85" s="1218" t="str">
        <f>USES!D90</f>
        <v>Construction Loan Period MIP (CDA/FHA Risk Sharing)</v>
      </c>
      <c r="C85" s="1232">
        <f>USES!J90</f>
        <v>0</v>
      </c>
      <c r="D85" s="782"/>
      <c r="G85" s="760"/>
      <c r="H85" s="760"/>
      <c r="K85" s="763"/>
    </row>
    <row r="86" spans="2:11" x14ac:dyDescent="0.3">
      <c r="B86" s="1218" t="str">
        <f>USES!D91</f>
        <v>First Year's Permanent MIP (CDA/FHA Risk Sharing)</v>
      </c>
      <c r="C86" s="1232">
        <f>USES!J91</f>
        <v>0</v>
      </c>
      <c r="D86" s="766"/>
      <c r="G86" s="760"/>
      <c r="H86" s="760"/>
      <c r="K86" s="763"/>
    </row>
    <row r="87" spans="2:11" x14ac:dyDescent="0.3">
      <c r="B87" s="1218" t="str">
        <f>USES!D92</f>
        <v>CDA Closing Attorney's Fees</v>
      </c>
      <c r="C87" s="1232">
        <f>USES!J92</f>
        <v>0</v>
      </c>
      <c r="D87" s="766"/>
      <c r="E87" s="762"/>
      <c r="G87" s="760"/>
      <c r="H87" s="760"/>
      <c r="K87" s="763"/>
    </row>
    <row r="88" spans="2:11" x14ac:dyDescent="0.3">
      <c r="B88" s="1218" t="str">
        <f>USES!D93</f>
        <v>CDA Tax Escrow Fee (All Bond Executions)</v>
      </c>
      <c r="C88" s="1232">
        <f>USES!J93</f>
        <v>0</v>
      </c>
      <c r="D88" s="766"/>
      <c r="G88" s="760"/>
      <c r="H88" s="760"/>
      <c r="K88" s="763"/>
    </row>
    <row r="89" spans="2:11" x14ac:dyDescent="0.3">
      <c r="B89" s="1218" t="str">
        <f>USES!D94</f>
        <v>CDA Bond Financing Fee (Risk Sharing, LT GNMA, FTEL, FNMA MTEB)</v>
      </c>
      <c r="C89" s="1232">
        <f>USES!J94</f>
        <v>0</v>
      </c>
      <c r="D89" s="766"/>
      <c r="G89" s="760"/>
      <c r="H89" s="760"/>
      <c r="K89" s="763"/>
    </row>
    <row r="90" spans="2:11" x14ac:dyDescent="0.3">
      <c r="B90" s="1218" t="str">
        <f>USES!D95</f>
        <v>CDA Bond Financing Fee (TX-TE GNMA)</v>
      </c>
      <c r="C90" s="1232">
        <f>USES!J95</f>
        <v>0</v>
      </c>
      <c r="D90" s="766"/>
      <c r="G90" s="760"/>
      <c r="H90" s="760"/>
      <c r="K90" s="763"/>
    </row>
    <row r="91" spans="2:11" x14ac:dyDescent="0.3">
      <c r="B91" s="1218" t="str">
        <f>USES!D96</f>
        <v>Trustee Fee (TX-TE GNMA, FTEL, FNMA MTEB)</v>
      </c>
      <c r="C91" s="1232">
        <f>USES!J96</f>
        <v>0</v>
      </c>
      <c r="D91" s="766"/>
      <c r="G91" s="760"/>
      <c r="H91" s="760"/>
      <c r="K91" s="763"/>
    </row>
    <row r="92" spans="2:11" x14ac:dyDescent="0.3">
      <c r="B92" s="1218" t="str">
        <f>USES!D97</f>
        <v>Rebate Analyst Fee (All Bond Executions)</v>
      </c>
      <c r="C92" s="1232">
        <f>USES!J97</f>
        <v>0</v>
      </c>
      <c r="D92" s="770">
        <v>2768498.6165404753</v>
      </c>
      <c r="G92" s="760"/>
      <c r="H92" s="760"/>
      <c r="K92" s="763"/>
    </row>
    <row r="93" spans="2:11" x14ac:dyDescent="0.3">
      <c r="B93" s="1218" t="str">
        <f>USES!D98</f>
        <v>MHF Short Term Bond Loan Insurance</v>
      </c>
      <c r="C93" s="1232">
        <f>USES!J98</f>
        <v>0</v>
      </c>
      <c r="D93" s="770">
        <f>D92-C121</f>
        <v>2768498.6165404753</v>
      </c>
      <c r="H93" s="764"/>
    </row>
    <row r="94" spans="2:11" ht="13.95" customHeight="1" x14ac:dyDescent="0.3">
      <c r="B94" s="1218" t="str">
        <f>USES!D99</f>
        <v>Conversion to Perm Fee (FTEL, FNMA MTEB)</v>
      </c>
      <c r="C94" s="1232">
        <f>USES!J99</f>
        <v>0</v>
      </c>
      <c r="H94" s="764"/>
    </row>
    <row r="95" spans="2:11" ht="13.95" customHeight="1" x14ac:dyDescent="0.3">
      <c r="B95" s="1218" t="str">
        <f>USES!D100</f>
        <v>Other Lenders' Origination Fees (non-syndication only)</v>
      </c>
      <c r="C95" s="1232">
        <f>USES!J100</f>
        <v>0</v>
      </c>
      <c r="H95" s="764"/>
    </row>
    <row r="96" spans="2:11" ht="14.25" customHeight="1" x14ac:dyDescent="0.3">
      <c r="B96" s="1218" t="str">
        <f>USES!D101</f>
        <v>Other Lenders' Legal Fees (non-syndication only)</v>
      </c>
      <c r="C96" s="1232">
        <f>USES!J101</f>
        <v>0</v>
      </c>
      <c r="D96" s="782"/>
      <c r="H96" s="764"/>
    </row>
    <row r="97" spans="2:8" ht="15.75" customHeight="1" x14ac:dyDescent="0.3">
      <c r="B97" s="1218" t="str">
        <f>USES!D102</f>
        <v>Other Lenders' Due Diligence Fees (non-syndication only)</v>
      </c>
      <c r="C97" s="1232">
        <f>USES!J102</f>
        <v>0</v>
      </c>
      <c r="H97" s="764"/>
    </row>
    <row r="98" spans="2:8" ht="15.75" customHeight="1" x14ac:dyDescent="0.3">
      <c r="B98" s="1218" t="str">
        <f>USES!D103</f>
        <v>FHA Lender Legal</v>
      </c>
      <c r="C98" s="1232">
        <f>USES!J103</f>
        <v>0</v>
      </c>
      <c r="H98" s="764"/>
    </row>
    <row r="99" spans="2:8" x14ac:dyDescent="0.3">
      <c r="B99" s="1218" t="str">
        <f>USES!D104</f>
        <v>FHA Lender Commitment Fee</v>
      </c>
      <c r="C99" s="1232">
        <f>USES!J104</f>
        <v>0</v>
      </c>
      <c r="H99" s="764"/>
    </row>
    <row r="100" spans="2:8" x14ac:dyDescent="0.3">
      <c r="B100" s="1218" t="str">
        <f>USES!D105</f>
        <v>FHA Lender Inspection Fee</v>
      </c>
      <c r="C100" s="1232">
        <f>USES!J105</f>
        <v>0</v>
      </c>
      <c r="D100" s="766"/>
      <c r="H100" s="764"/>
    </row>
    <row r="101" spans="2:8" x14ac:dyDescent="0.3">
      <c r="B101" s="1218" t="str">
        <f>USES!D106</f>
        <v>FHA Lender Fee</v>
      </c>
      <c r="C101" s="1232">
        <f>USES!J106</f>
        <v>0</v>
      </c>
      <c r="D101" s="766"/>
      <c r="H101" s="764"/>
    </row>
    <row r="102" spans="2:8" x14ac:dyDescent="0.3">
      <c r="B102" s="1218" t="str">
        <f>USES!D107</f>
        <v>FHA Lender Due Diligence</v>
      </c>
      <c r="C102" s="1232">
        <f>USES!J107</f>
        <v>0</v>
      </c>
      <c r="D102" s="766"/>
      <c r="H102" s="764"/>
    </row>
    <row r="103" spans="2:8" x14ac:dyDescent="0.3">
      <c r="B103" s="1218" t="str">
        <f>USES!D108</f>
        <v>FHA Lender Processing Fee</v>
      </c>
      <c r="C103" s="1232">
        <f>USES!J108</f>
        <v>0</v>
      </c>
      <c r="D103" s="766"/>
      <c r="H103" s="764"/>
    </row>
    <row r="104" spans="2:8" x14ac:dyDescent="0.3">
      <c r="B104" s="1218" t="str">
        <f>USES!D109</f>
        <v>Other:</v>
      </c>
      <c r="C104" s="1232">
        <f>USES!J109</f>
        <v>0</v>
      </c>
      <c r="D104" s="766"/>
      <c r="H104" s="764"/>
    </row>
    <row r="105" spans="2:8" x14ac:dyDescent="0.3">
      <c r="B105" s="1218" t="str">
        <f>USES!D110</f>
        <v>Other:</v>
      </c>
      <c r="C105" s="1232">
        <f>USES!J110</f>
        <v>0</v>
      </c>
      <c r="H105" s="779"/>
    </row>
    <row r="106" spans="2:8" x14ac:dyDescent="0.3">
      <c r="B106" s="1218" t="str">
        <f>USES!D111</f>
        <v>Other:</v>
      </c>
      <c r="C106" s="1232">
        <f>USES!J111</f>
        <v>0</v>
      </c>
      <c r="H106" s="779"/>
    </row>
    <row r="107" spans="2:8" x14ac:dyDescent="0.3">
      <c r="B107" s="1218" t="str">
        <f>USES!D112</f>
        <v>Other:</v>
      </c>
      <c r="C107" s="1232">
        <f>USES!J112</f>
        <v>0</v>
      </c>
      <c r="D107" s="766"/>
      <c r="H107" s="779"/>
    </row>
    <row r="108" spans="2:8" x14ac:dyDescent="0.3">
      <c r="B108" s="1224" t="str">
        <f>USES!D113</f>
        <v>Total Financing Fees and Charges</v>
      </c>
      <c r="C108" s="1231">
        <f>SUM(C60:C107)</f>
        <v>0</v>
      </c>
      <c r="D108" s="766"/>
      <c r="H108" s="779"/>
    </row>
    <row r="109" spans="2:8" x14ac:dyDescent="0.3">
      <c r="B109" s="1224" t="str">
        <f>USES!C116</f>
        <v>Acquisition Costs</v>
      </c>
      <c r="C109" s="1229"/>
      <c r="D109" s="766"/>
      <c r="H109" s="779"/>
    </row>
    <row r="110" spans="2:8" x14ac:dyDescent="0.3">
      <c r="B110" s="1218" t="str">
        <f>USES!D118</f>
        <v>Building Acquisition</v>
      </c>
      <c r="C110" s="1230">
        <f>USES!J118</f>
        <v>0</v>
      </c>
      <c r="D110" s="766"/>
      <c r="H110" s="779"/>
    </row>
    <row r="111" spans="2:8" x14ac:dyDescent="0.3">
      <c r="B111" s="1218" t="str">
        <f>USES!D119</f>
        <v>Land Acquisition</v>
      </c>
      <c r="C111" s="1230">
        <f>USES!J119</f>
        <v>0</v>
      </c>
      <c r="H111" s="779"/>
    </row>
    <row r="112" spans="2:8" x14ac:dyDescent="0.3">
      <c r="B112" s="1218" t="str">
        <f>USES!D120</f>
        <v>Special Assessment</v>
      </c>
      <c r="C112" s="1230">
        <f>USES!J120</f>
        <v>0</v>
      </c>
      <c r="H112" s="779"/>
    </row>
    <row r="113" spans="2:8" x14ac:dyDescent="0.3">
      <c r="B113" s="1218" t="str">
        <f>USES!D121</f>
        <v>Carrying Charges</v>
      </c>
      <c r="C113" s="1230">
        <f>USES!J121</f>
        <v>0</v>
      </c>
      <c r="H113" s="779"/>
    </row>
    <row r="114" spans="2:8" x14ac:dyDescent="0.3">
      <c r="B114" s="1218" t="str">
        <f>USES!D122</f>
        <v>Relocation Costs</v>
      </c>
      <c r="C114" s="1230">
        <f>USES!J122</f>
        <v>0</v>
      </c>
      <c r="H114" s="779"/>
    </row>
    <row r="115" spans="2:8" x14ac:dyDescent="0.3">
      <c r="B115" s="1218" t="str">
        <f>USES!D123</f>
        <v>Off-Site Improvements</v>
      </c>
      <c r="C115" s="1230">
        <f>USES!J123</f>
        <v>0</v>
      </c>
      <c r="H115" s="779"/>
    </row>
    <row r="116" spans="2:8" x14ac:dyDescent="0.3">
      <c r="B116" s="1218" t="str">
        <f>USES!D124</f>
        <v>Other:</v>
      </c>
      <c r="C116" s="1230">
        <f>USES!J124</f>
        <v>0</v>
      </c>
      <c r="H116" s="779"/>
    </row>
    <row r="117" spans="2:8" x14ac:dyDescent="0.3">
      <c r="B117" s="1218" t="str">
        <f>USES!D125</f>
        <v>Other:</v>
      </c>
      <c r="C117" s="1230">
        <f>USES!J125</f>
        <v>0</v>
      </c>
      <c r="H117" s="779"/>
    </row>
    <row r="118" spans="2:8" x14ac:dyDescent="0.3">
      <c r="B118" s="1224" t="s">
        <v>788</v>
      </c>
      <c r="C118" s="1231">
        <f>SUM(C110:C117)</f>
        <v>0</v>
      </c>
      <c r="H118" s="779"/>
    </row>
    <row r="119" spans="2:8" x14ac:dyDescent="0.3">
      <c r="B119" s="1224" t="str">
        <f>USES!D127</f>
        <v>Total Development Costs (TDC)</v>
      </c>
      <c r="C119" s="1231">
        <f>C23+C58+C108+C118</f>
        <v>0</v>
      </c>
      <c r="H119" s="779"/>
    </row>
    <row r="120" spans="2:8" x14ac:dyDescent="0.3">
      <c r="B120" s="1224" t="str">
        <f>USES!C131</f>
        <v>Developer's Fee</v>
      </c>
      <c r="C120" s="1231"/>
      <c r="H120" s="779"/>
    </row>
    <row r="121" spans="2:8" x14ac:dyDescent="0.3">
      <c r="B121" s="1218" t="str">
        <f>USES!D133</f>
        <v>Fee on Non-Acquisition Costs (calculated below)</v>
      </c>
      <c r="C121" s="1233">
        <f>USES!J133</f>
        <v>0</v>
      </c>
      <c r="H121" s="779"/>
    </row>
    <row r="122" spans="2:8" x14ac:dyDescent="0.3">
      <c r="B122" s="1218" t="str">
        <f>USES!D134</f>
        <v>Fee on Acquisition Costs (calculated below)</v>
      </c>
      <c r="C122" s="1233">
        <f>USES!J134</f>
        <v>0</v>
      </c>
      <c r="H122" s="779"/>
    </row>
    <row r="123" spans="2:8" x14ac:dyDescent="0.3">
      <c r="B123" s="1224" t="str">
        <f>USES!D135</f>
        <v>Total Developer's Fee</v>
      </c>
      <c r="C123" s="1231">
        <f>C121+C122</f>
        <v>0</v>
      </c>
      <c r="H123" s="779"/>
    </row>
    <row r="124" spans="2:8" x14ac:dyDescent="0.3">
      <c r="B124" s="1224" t="str">
        <f>USES!C137</f>
        <v>Syndication Related Costs</v>
      </c>
      <c r="C124" s="1231"/>
      <c r="H124" s="779"/>
    </row>
    <row r="125" spans="2:8" x14ac:dyDescent="0.3">
      <c r="B125" s="1218" t="str">
        <f>USES!D139</f>
        <v>Syndication Fee</v>
      </c>
      <c r="C125" s="1230">
        <f>USES!J139</f>
        <v>0</v>
      </c>
    </row>
    <row r="126" spans="2:8" x14ac:dyDescent="0.3">
      <c r="B126" s="1218" t="str">
        <f>USES!D140</f>
        <v>Legal (syndication only)</v>
      </c>
      <c r="C126" s="1230">
        <f>USES!J140</f>
        <v>0</v>
      </c>
    </row>
    <row r="127" spans="2:8" x14ac:dyDescent="0.3">
      <c r="B127" s="1218" t="str">
        <f>USES!D141</f>
        <v>Bridge Loan Fees</v>
      </c>
      <c r="C127" s="1230">
        <f>USES!J141</f>
        <v>0</v>
      </c>
    </row>
    <row r="128" spans="2:8" x14ac:dyDescent="0.3">
      <c r="B128" s="1218" t="str">
        <f>USES!D142</f>
        <v>Bridge Loan Interest</v>
      </c>
      <c r="C128" s="1230">
        <f>USES!J142</f>
        <v>0</v>
      </c>
    </row>
    <row r="129" spans="2:3" x14ac:dyDescent="0.3">
      <c r="B129" s="1218" t="str">
        <f>USES!D143</f>
        <v>Organizational Costs</v>
      </c>
      <c r="C129" s="1230">
        <f>USES!J143</f>
        <v>0</v>
      </c>
    </row>
    <row r="130" spans="2:3" x14ac:dyDescent="0.3">
      <c r="B130" s="1218" t="str">
        <f>USES!D144</f>
        <v>Tax Credit Application Fee</v>
      </c>
      <c r="C130" s="1230">
        <f>USES!J144</f>
        <v>0</v>
      </c>
    </row>
    <row r="131" spans="2:3" x14ac:dyDescent="0.3">
      <c r="B131" s="1218" t="str">
        <f>USES!D145</f>
        <v>Tax Credit Allocation Fee (9% and 4% LIHTC)</v>
      </c>
      <c r="C131" s="1230">
        <f>USES!J145</f>
        <v>0</v>
      </c>
    </row>
    <row r="132" spans="2:3" x14ac:dyDescent="0.3">
      <c r="B132" s="1218" t="str">
        <f>USES!D146</f>
        <v>Tax Credit Reservation Fee (9% LIHTC)</v>
      </c>
      <c r="C132" s="1230">
        <f>USES!J146</f>
        <v>0</v>
      </c>
    </row>
    <row r="133" spans="2:3" x14ac:dyDescent="0.3">
      <c r="B133" s="1218" t="str">
        <f>USES!D147</f>
        <v>Accounting and Auditing Fee</v>
      </c>
      <c r="C133" s="1230">
        <f>USES!J147</f>
        <v>0</v>
      </c>
    </row>
    <row r="134" spans="2:3" x14ac:dyDescent="0.3">
      <c r="B134" s="1218" t="str">
        <f>USES!D148</f>
        <v>Other:</v>
      </c>
      <c r="C134" s="1230">
        <f>USES!J148</f>
        <v>0</v>
      </c>
    </row>
    <row r="135" spans="2:3" x14ac:dyDescent="0.3">
      <c r="B135" s="1218" t="str">
        <f>USES!D149</f>
        <v>Other:</v>
      </c>
      <c r="C135" s="1230">
        <f>USES!J149</f>
        <v>0</v>
      </c>
    </row>
    <row r="136" spans="2:3" x14ac:dyDescent="0.3">
      <c r="B136" s="1224" t="str">
        <f>USES!D150</f>
        <v>Total Syndication Related Costs</v>
      </c>
      <c r="C136" s="1231">
        <f>SUM(C125:C135)</f>
        <v>0</v>
      </c>
    </row>
    <row r="137" spans="2:3" x14ac:dyDescent="0.3">
      <c r="B137" s="1224" t="str">
        <f>USES!C152</f>
        <v>Guarantees and Reserves (funded amounts only)</v>
      </c>
      <c r="C137" s="1229"/>
    </row>
    <row r="138" spans="2:3" x14ac:dyDescent="0.3">
      <c r="B138" s="1218" t="str">
        <f>USES!D154</f>
        <v>Construction Guarantee</v>
      </c>
      <c r="C138" s="1230">
        <f>USES!J154</f>
        <v>0</v>
      </c>
    </row>
    <row r="139" spans="2:3" x14ac:dyDescent="0.3">
      <c r="B139" s="1218" t="str">
        <f>USES!D155</f>
        <v>Operating Reserve</v>
      </c>
      <c r="C139" s="1230">
        <f>USES!J155</f>
        <v>0</v>
      </c>
    </row>
    <row r="140" spans="2:3" x14ac:dyDescent="0.3">
      <c r="B140" s="1218" t="str">
        <f>USES!D156</f>
        <v>Debt Service Reserve</v>
      </c>
      <c r="C140" s="1230">
        <f>USES!J156</f>
        <v>0</v>
      </c>
    </row>
    <row r="141" spans="2:3" x14ac:dyDescent="0.3">
      <c r="B141" s="1218" t="str">
        <f>USES!D157</f>
        <v>Rent-up Reserve</v>
      </c>
      <c r="C141" s="1230">
        <f>USES!J157</f>
        <v>0</v>
      </c>
    </row>
    <row r="142" spans="2:3" x14ac:dyDescent="0.3">
      <c r="B142" s="1218" t="str">
        <f>USES!D158</f>
        <v>Supportive Services Reserve</v>
      </c>
      <c r="C142" s="1230">
        <f>USES!J158</f>
        <v>0</v>
      </c>
    </row>
    <row r="143" spans="2:3" x14ac:dyDescent="0.3">
      <c r="B143" s="1218" t="str">
        <f>USES!D159</f>
        <v xml:space="preserve">Developer Fee Funded Supportive Services / Rent Subsidy / Sponsor Note Reserve </v>
      </c>
      <c r="C143" s="1230">
        <f>USES!J159</f>
        <v>0</v>
      </c>
    </row>
    <row r="144" spans="2:3" x14ac:dyDescent="0.3">
      <c r="B144" s="1218" t="str">
        <f>USES!D160</f>
        <v>Transition Reserve / Operating Deficit Reserve</v>
      </c>
      <c r="C144" s="1230">
        <f>USES!J160</f>
        <v>0</v>
      </c>
    </row>
    <row r="145" spans="2:5" x14ac:dyDescent="0.3">
      <c r="B145" s="1218" t="str">
        <f>USES!D161</f>
        <v>Other Reserve:</v>
      </c>
      <c r="C145" s="1230">
        <f>USES!J161</f>
        <v>0</v>
      </c>
    </row>
    <row r="146" spans="2:5" x14ac:dyDescent="0.3">
      <c r="B146" s="1218" t="str">
        <f>USES!D162</f>
        <v>Other Reserve:</v>
      </c>
      <c r="C146" s="1230">
        <f>USES!J162</f>
        <v>0</v>
      </c>
    </row>
    <row r="147" spans="2:5" x14ac:dyDescent="0.3">
      <c r="B147" s="1224" t="str">
        <f>USES!D163</f>
        <v>Total Guarantees and Reserves</v>
      </c>
      <c r="C147" s="1231">
        <f>SUM(C138:C146)</f>
        <v>0</v>
      </c>
    </row>
    <row r="148" spans="2:5" ht="17.399999999999999" x14ac:dyDescent="0.3">
      <c r="B148" s="1223" t="s">
        <v>817</v>
      </c>
      <c r="C148" s="1234">
        <f>SUM(C23+C58+C108+C118+C123+C136+C147)</f>
        <v>0</v>
      </c>
    </row>
    <row r="151" spans="2:5" ht="20.399999999999999" x14ac:dyDescent="0.35">
      <c r="B151" s="1244" t="s">
        <v>2647</v>
      </c>
    </row>
    <row r="152" spans="2:5" ht="21" x14ac:dyDescent="0.4">
      <c r="B152" s="1321" t="s">
        <v>2648</v>
      </c>
      <c r="C152" s="1649"/>
      <c r="D152" s="1245"/>
      <c r="E152" s="1245"/>
    </row>
    <row r="153" spans="2:5" ht="21" x14ac:dyDescent="0.4">
      <c r="B153" s="1321" t="s">
        <v>2649</v>
      </c>
      <c r="C153" s="1649"/>
      <c r="D153" s="1245"/>
      <c r="E153" s="1245"/>
    </row>
    <row r="154" spans="2:5" ht="21" x14ac:dyDescent="0.4">
      <c r="D154" s="1245"/>
      <c r="E154" s="1245"/>
    </row>
    <row r="155" spans="2:5" ht="21" x14ac:dyDescent="0.4">
      <c r="B155" s="1244" t="s">
        <v>2130</v>
      </c>
      <c r="C155" s="1245"/>
      <c r="D155" s="1245"/>
      <c r="E155" s="1245"/>
    </row>
    <row r="156" spans="2:5" ht="21" x14ac:dyDescent="0.4">
      <c r="B156" s="1244"/>
      <c r="C156" s="1245"/>
      <c r="D156" s="1245"/>
      <c r="E156" s="1245"/>
    </row>
    <row r="157" spans="2:5" ht="21" x14ac:dyDescent="0.4">
      <c r="B157" s="1118" t="s">
        <v>2612</v>
      </c>
      <c r="C157" s="1245"/>
      <c r="D157" s="1245"/>
      <c r="E157" s="1245"/>
    </row>
    <row r="158" spans="2:5" ht="21" x14ac:dyDescent="0.4">
      <c r="B158" s="1245" t="s">
        <v>2700</v>
      </c>
      <c r="C158" s="1648"/>
      <c r="D158" s="1245"/>
      <c r="E158" s="1245"/>
    </row>
    <row r="159" spans="2:5" ht="21" x14ac:dyDescent="0.4">
      <c r="B159" s="1245" t="s">
        <v>2701</v>
      </c>
      <c r="C159" s="1648"/>
      <c r="D159" s="1245"/>
      <c r="E159" s="1245"/>
    </row>
    <row r="160" spans="2:5" ht="21" x14ac:dyDescent="0.4">
      <c r="B160" s="1245" t="s">
        <v>2702</v>
      </c>
      <c r="C160" s="1648"/>
      <c r="D160" s="1245"/>
      <c r="E160" s="1245"/>
    </row>
    <row r="161" spans="2:5" ht="21" x14ac:dyDescent="0.4">
      <c r="B161" s="1245"/>
      <c r="C161" s="1245"/>
      <c r="D161" s="1245"/>
      <c r="E161" s="1245"/>
    </row>
    <row r="162" spans="2:5" ht="21" x14ac:dyDescent="0.4">
      <c r="B162" s="1118" t="s">
        <v>2615</v>
      </c>
      <c r="C162" s="1245"/>
      <c r="D162" s="1245"/>
      <c r="E162" s="1245"/>
    </row>
    <row r="163" spans="2:5" ht="21" x14ac:dyDescent="0.4">
      <c r="B163" s="1245" t="s">
        <v>2619</v>
      </c>
      <c r="C163" s="1245"/>
      <c r="D163" s="1245"/>
      <c r="E163" s="1245"/>
    </row>
    <row r="164" spans="2:5" ht="21" x14ac:dyDescent="0.4">
      <c r="B164" s="1245" t="s">
        <v>2613</v>
      </c>
      <c r="C164" s="1245"/>
      <c r="D164" s="1245"/>
      <c r="E164" s="1245"/>
    </row>
    <row r="165" spans="2:5" ht="21" x14ac:dyDescent="0.4">
      <c r="B165" s="1245" t="s">
        <v>2614</v>
      </c>
      <c r="C165" s="1245"/>
      <c r="D165" s="1245"/>
      <c r="E165" s="1245"/>
    </row>
    <row r="166" spans="2:5" ht="21" x14ac:dyDescent="0.4">
      <c r="B166" s="1245"/>
      <c r="C166" s="1245"/>
      <c r="D166" s="1245"/>
      <c r="E166" s="1245"/>
    </row>
    <row r="167" spans="2:5" ht="21" x14ac:dyDescent="0.4">
      <c r="B167" s="1118" t="s">
        <v>2616</v>
      </c>
      <c r="C167" s="1245"/>
      <c r="D167" s="1245"/>
      <c r="E167" s="1245"/>
    </row>
    <row r="168" spans="2:5" ht="21" x14ac:dyDescent="0.4">
      <c r="B168" s="1245" t="s">
        <v>2619</v>
      </c>
      <c r="C168" s="1245"/>
      <c r="D168" s="1245"/>
      <c r="E168" s="1245"/>
    </row>
    <row r="169" spans="2:5" ht="21" x14ac:dyDescent="0.4">
      <c r="B169" s="1245" t="s">
        <v>2613</v>
      </c>
      <c r="C169" s="1245"/>
      <c r="D169" s="1245"/>
      <c r="E169" s="1245"/>
    </row>
    <row r="170" spans="2:5" ht="21" x14ac:dyDescent="0.4">
      <c r="B170" s="1245" t="s">
        <v>2614</v>
      </c>
      <c r="C170" s="1245"/>
      <c r="D170" s="1245"/>
      <c r="E170" s="1245"/>
    </row>
    <row r="171" spans="2:5" ht="21" x14ac:dyDescent="0.4">
      <c r="B171" s="1245"/>
      <c r="C171" s="1245"/>
      <c r="D171" s="1245"/>
      <c r="E171" s="1245"/>
    </row>
    <row r="172" spans="2:5" ht="21" x14ac:dyDescent="0.4">
      <c r="B172" s="1118" t="s">
        <v>2617</v>
      </c>
      <c r="C172" s="1245"/>
      <c r="D172" s="1245"/>
      <c r="E172" s="1245"/>
    </row>
    <row r="173" spans="2:5" ht="21" x14ac:dyDescent="0.4">
      <c r="B173" s="1245" t="s">
        <v>2619</v>
      </c>
      <c r="C173" s="1245"/>
      <c r="D173" s="1245"/>
      <c r="E173" s="1245"/>
    </row>
    <row r="174" spans="2:5" ht="21" x14ac:dyDescent="0.4">
      <c r="B174" s="1245" t="s">
        <v>2613</v>
      </c>
      <c r="C174" s="1245"/>
      <c r="D174" s="1245"/>
      <c r="E174" s="1245"/>
    </row>
    <row r="175" spans="2:5" ht="21" x14ac:dyDescent="0.4">
      <c r="B175" s="1245" t="s">
        <v>2614</v>
      </c>
      <c r="C175" s="1245"/>
      <c r="D175" s="1245"/>
      <c r="E175" s="1245"/>
    </row>
    <row r="176" spans="2:5" ht="21" x14ac:dyDescent="0.4">
      <c r="B176" s="1245"/>
      <c r="C176" s="1245"/>
      <c r="D176" s="1245"/>
      <c r="E176" s="1245"/>
    </row>
    <row r="177" spans="2:5" ht="21" x14ac:dyDescent="0.4">
      <c r="B177" s="1118" t="s">
        <v>2618</v>
      </c>
      <c r="C177" s="1245"/>
      <c r="D177" s="1245"/>
      <c r="E177" s="1245"/>
    </row>
    <row r="178" spans="2:5" ht="21" x14ac:dyDescent="0.4">
      <c r="B178" s="1245" t="s">
        <v>2619</v>
      </c>
      <c r="C178" s="1245"/>
    </row>
    <row r="179" spans="2:5" ht="21" x14ac:dyDescent="0.4">
      <c r="B179" s="1245" t="s">
        <v>2613</v>
      </c>
      <c r="C179" s="1245"/>
    </row>
    <row r="180" spans="2:5" ht="21" x14ac:dyDescent="0.4">
      <c r="B180" s="1245" t="s">
        <v>2614</v>
      </c>
      <c r="C180" s="1245"/>
    </row>
  </sheetData>
  <mergeCells count="2">
    <mergeCell ref="B2:G2"/>
    <mergeCell ref="E57:F57"/>
  </mergeCells>
  <dataValidations count="1">
    <dataValidation type="list" allowBlank="1" showInputMessage="1" showErrorMessage="1" sqref="C152:C153" xr:uid="{FCB6B182-42CB-45E2-9EF0-656527AA5292}">
      <formula1>"X"</formula1>
    </dataValidation>
  </dataValidations>
  <pageMargins left="0.25" right="0.25" top="0.25" bottom="0.25" header="0.25" footer="0.25"/>
  <pageSetup scale="64" fitToHeight="0" orientation="portrait" useFirstPageNumber="1" r:id="rId1"/>
  <headerFooter scaleWithDoc="0" alignWithMargins="0"/>
  <rowBreaks count="1" manualBreakCount="1">
    <brk id="148" max="16383" man="1"/>
  </rowBreaks>
  <ignoredErrors>
    <ignoredError sqref="G4:G5"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codeName="Sheet1">
    <tabColor rgb="FF0000FF"/>
    <pageSetUpPr fitToPage="1"/>
  </sheetPr>
  <dimension ref="C2:Q201"/>
  <sheetViews>
    <sheetView showGridLines="0" view="pageBreakPreview" zoomScale="110" zoomScaleNormal="100" zoomScaleSheetLayoutView="110" workbookViewId="0">
      <selection activeCell="F27" sqref="F27"/>
    </sheetView>
  </sheetViews>
  <sheetFormatPr defaultColWidth="10.77734375" defaultRowHeight="13.2" x14ac:dyDescent="0.25"/>
  <cols>
    <col min="1" max="1" width="2" style="7" customWidth="1"/>
    <col min="2" max="2" width="2.77734375" style="7" customWidth="1"/>
    <col min="3" max="3" width="16.77734375" style="44" customWidth="1"/>
    <col min="4" max="4" width="49" style="7" customWidth="1"/>
    <col min="5" max="5" width="10.77734375" style="7" customWidth="1"/>
    <col min="6" max="6" width="17.44140625" style="7" customWidth="1"/>
    <col min="7" max="7" width="16.109375" style="7" customWidth="1"/>
    <col min="8" max="8" width="24.44140625" style="7" customWidth="1"/>
    <col min="9" max="9" width="11.44140625" style="7" customWidth="1"/>
    <col min="10" max="10" width="26.44140625" style="7" customWidth="1"/>
    <col min="11" max="11" width="23.77734375" style="7" customWidth="1"/>
    <col min="12" max="12" width="20.44140625" style="7" customWidth="1"/>
    <col min="13" max="13" width="2.77734375" style="7" customWidth="1"/>
    <col min="14" max="14" width="10.77734375" style="686" hidden="1" customWidth="1"/>
    <col min="15" max="15" width="10.77734375" hidden="1" customWidth="1"/>
    <col min="16" max="16" width="17.44140625" hidden="1" customWidth="1"/>
    <col min="17" max="17" width="17.44140625" style="7" hidden="1" customWidth="1"/>
    <col min="18" max="18" width="17.44140625" style="7" customWidth="1"/>
    <col min="19" max="23" width="10.77734375" style="7" customWidth="1"/>
    <col min="24" max="26" width="10.77734375" style="7"/>
    <col min="27" max="27" width="44" style="7" bestFit="1" customWidth="1"/>
    <col min="28" max="16384" width="10.77734375" style="7"/>
  </cols>
  <sheetData>
    <row r="2" spans="3:16" ht="15.6" x14ac:dyDescent="0.3">
      <c r="C2" s="328"/>
      <c r="D2" s="1892" t="s">
        <v>8</v>
      </c>
      <c r="E2" s="1892"/>
      <c r="F2" s="1893"/>
      <c r="G2" s="1893"/>
      <c r="H2" s="1893"/>
      <c r="I2" s="1893"/>
      <c r="J2" s="1893"/>
      <c r="K2" s="1893"/>
      <c r="L2" s="329" t="s">
        <v>9</v>
      </c>
      <c r="M2" s="93"/>
      <c r="N2" s="685"/>
    </row>
    <row r="3" spans="3:16" ht="17.399999999999999" x14ac:dyDescent="0.3">
      <c r="C3" s="330"/>
      <c r="D3" s="1894"/>
      <c r="E3" s="1894"/>
      <c r="F3" s="1894"/>
      <c r="G3" s="1894"/>
      <c r="H3" s="1894"/>
      <c r="I3" s="1894"/>
      <c r="J3" s="1894"/>
      <c r="K3" s="1894"/>
      <c r="L3" s="331">
        <v>202</v>
      </c>
      <c r="M3" s="94"/>
    </row>
    <row r="4" spans="3:16" ht="15.6" x14ac:dyDescent="0.3">
      <c r="C4" s="24"/>
      <c r="L4" s="877" t="s">
        <v>2788</v>
      </c>
      <c r="M4" s="29"/>
    </row>
    <row r="5" spans="3:16" ht="18" x14ac:dyDescent="0.35">
      <c r="C5" s="90" t="s">
        <v>2</v>
      </c>
      <c r="D5" s="41"/>
      <c r="E5" s="41"/>
      <c r="F5" s="41"/>
      <c r="G5" s="41"/>
      <c r="H5" s="41"/>
      <c r="I5" s="41"/>
      <c r="J5" s="41"/>
      <c r="K5" s="41"/>
      <c r="M5" s="41"/>
      <c r="N5" s="687" t="s">
        <v>10</v>
      </c>
    </row>
    <row r="6" spans="3:16" ht="18" x14ac:dyDescent="0.35">
      <c r="C6" s="87"/>
      <c r="D6" s="41"/>
      <c r="E6" s="41"/>
      <c r="F6" s="41"/>
      <c r="G6" s="41"/>
      <c r="H6" s="41"/>
      <c r="I6" s="41"/>
      <c r="J6" s="214"/>
      <c r="K6" s="41"/>
      <c r="L6" s="41"/>
      <c r="M6" s="41"/>
      <c r="N6" s="687" t="s">
        <v>11</v>
      </c>
    </row>
    <row r="7" spans="3:16" ht="26.4" x14ac:dyDescent="0.25">
      <c r="C7" s="870" t="s">
        <v>2697</v>
      </c>
      <c r="D7" s="748"/>
      <c r="E7" s="96"/>
      <c r="F7" s="72"/>
      <c r="I7" s="95"/>
      <c r="N7" s="687" t="s">
        <v>13</v>
      </c>
    </row>
    <row r="8" spans="3:16" ht="13.8" x14ac:dyDescent="0.3">
      <c r="C8" s="750"/>
      <c r="D8" s="212" t="str">
        <f ca="1">IF(D7=TODAY(),"Enter an application submission ''date'' NOT the =(TODAY()) formula","")</f>
        <v/>
      </c>
      <c r="E8" s="96"/>
      <c r="F8" s="96"/>
      <c r="G8" s="97"/>
      <c r="I8" s="24"/>
      <c r="N8" s="687" t="s">
        <v>14</v>
      </c>
    </row>
    <row r="9" spans="3:16" ht="27.45" customHeight="1" x14ac:dyDescent="0.3">
      <c r="C9" s="870" t="s">
        <v>2221</v>
      </c>
      <c r="D9" s="749"/>
      <c r="E9" s="96"/>
      <c r="F9" s="96"/>
      <c r="N9" s="686" t="s">
        <v>15</v>
      </c>
    </row>
    <row r="10" spans="3:16" ht="13.8" x14ac:dyDescent="0.3">
      <c r="C10" s="47"/>
      <c r="D10" s="96"/>
      <c r="E10" s="96"/>
      <c r="G10" s="97"/>
      <c r="I10" s="54"/>
      <c r="N10" s="687"/>
    </row>
    <row r="11" spans="3:16" x14ac:dyDescent="0.25">
      <c r="C11" s="4" t="s">
        <v>2222</v>
      </c>
      <c r="D11" s="41"/>
      <c r="E11" s="96"/>
      <c r="F11" s="98"/>
      <c r="N11" s="688" t="s">
        <v>16</v>
      </c>
    </row>
    <row r="12" spans="3:16" ht="26.7" customHeight="1" x14ac:dyDescent="0.25">
      <c r="C12" s="332"/>
      <c r="D12" t="s">
        <v>17</v>
      </c>
      <c r="F12" s="332"/>
      <c r="G12" t="s">
        <v>18</v>
      </c>
      <c r="J12" s="1898" t="s">
        <v>2223</v>
      </c>
      <c r="K12" s="1899"/>
      <c r="L12" s="273"/>
      <c r="N12" s="689"/>
    </row>
    <row r="13" spans="3:16" x14ac:dyDescent="0.25">
      <c r="C13" s="47"/>
      <c r="D13" s="47"/>
      <c r="E13" s="47"/>
      <c r="F13" s="47"/>
      <c r="G13" s="47"/>
      <c r="H13" s="47"/>
      <c r="K13" s="9"/>
      <c r="L13" s="9"/>
      <c r="N13" s="686" t="s">
        <v>2440</v>
      </c>
      <c r="P13" t="s">
        <v>2467</v>
      </c>
    </row>
    <row r="14" spans="3:16" x14ac:dyDescent="0.25">
      <c r="C14" s="4" t="s">
        <v>2539</v>
      </c>
      <c r="D14" s="96"/>
      <c r="E14" s="96"/>
      <c r="F14" s="7" t="s">
        <v>2466</v>
      </c>
      <c r="J14" s="1896" t="s">
        <v>2442</v>
      </c>
      <c r="K14" s="1896"/>
      <c r="L14" s="1900"/>
      <c r="N14" s="686" t="s">
        <v>2441</v>
      </c>
      <c r="P14" t="s">
        <v>2468</v>
      </c>
    </row>
    <row r="15" spans="3:16" x14ac:dyDescent="0.25">
      <c r="C15" s="332"/>
      <c r="D15" s="96"/>
      <c r="E15" s="96"/>
      <c r="F15" s="332"/>
      <c r="J15" s="1896"/>
      <c r="K15" s="1896"/>
      <c r="L15" s="1901"/>
      <c r="P15" t="s">
        <v>167</v>
      </c>
    </row>
    <row r="16" spans="3:16" x14ac:dyDescent="0.25">
      <c r="C16" s="47"/>
      <c r="D16" s="96"/>
      <c r="E16" s="96"/>
      <c r="J16" s="1897"/>
      <c r="K16" s="1897"/>
      <c r="L16" s="1902"/>
      <c r="N16" s="686" t="s">
        <v>2464</v>
      </c>
      <c r="P16" t="s">
        <v>2469</v>
      </c>
    </row>
    <row r="17" spans="3:16" x14ac:dyDescent="0.25">
      <c r="C17" s="43" t="s">
        <v>19</v>
      </c>
      <c r="J17" s="100"/>
      <c r="N17" s="686" t="s">
        <v>2465</v>
      </c>
      <c r="P17" t="s">
        <v>2470</v>
      </c>
    </row>
    <row r="18" spans="3:16" ht="14.7" customHeight="1" x14ac:dyDescent="0.25">
      <c r="C18" s="12" t="s">
        <v>20</v>
      </c>
      <c r="D18" s="12"/>
      <c r="E18" s="12"/>
      <c r="F18" s="333">
        <f>+'TAX CREDIT'!J181</f>
        <v>0</v>
      </c>
      <c r="L18" s="92" t="s">
        <v>2011</v>
      </c>
      <c r="N18" s="686" t="s">
        <v>25</v>
      </c>
    </row>
    <row r="19" spans="3:16" x14ac:dyDescent="0.25">
      <c r="C19" s="12" t="s">
        <v>23</v>
      </c>
      <c r="D19" s="12"/>
      <c r="E19" s="12"/>
      <c r="F19" s="333">
        <f>SOURCES!M12</f>
        <v>0</v>
      </c>
      <c r="J19" s="783" t="s">
        <v>21</v>
      </c>
      <c r="K19" s="784"/>
      <c r="L19" s="785">
        <f>'TAX CREDIT'!N163</f>
        <v>0</v>
      </c>
      <c r="M19" s="10"/>
      <c r="N19" s="687" t="s">
        <v>2257</v>
      </c>
    </row>
    <row r="20" spans="3:16" x14ac:dyDescent="0.25">
      <c r="C20" s="12" t="s">
        <v>26</v>
      </c>
      <c r="D20" s="12"/>
      <c r="E20" s="12"/>
      <c r="F20" s="333">
        <f>SOURCES!M13</f>
        <v>0</v>
      </c>
      <c r="J20" s="735" t="s">
        <v>24</v>
      </c>
      <c r="K20" s="736"/>
      <c r="L20" s="737">
        <f>'TAX CREDIT'!N164</f>
        <v>0</v>
      </c>
      <c r="N20" s="686" t="s">
        <v>2225</v>
      </c>
      <c r="P20" t="s">
        <v>2540</v>
      </c>
    </row>
    <row r="21" spans="3:16" x14ac:dyDescent="0.25">
      <c r="C21" s="12" t="s">
        <v>27</v>
      </c>
      <c r="D21" s="12"/>
      <c r="E21" s="12"/>
      <c r="F21" s="333">
        <f>SOURCES!M23</f>
        <v>0</v>
      </c>
      <c r="J21" s="738" t="s">
        <v>240</v>
      </c>
      <c r="K21" s="739"/>
      <c r="L21" s="740">
        <f>'TAX CREDIT'!N165</f>
        <v>0</v>
      </c>
      <c r="N21" s="686" t="s">
        <v>22</v>
      </c>
      <c r="P21" s="686" t="s">
        <v>2464</v>
      </c>
    </row>
    <row r="22" spans="3:16" x14ac:dyDescent="0.25">
      <c r="C22"/>
      <c r="D22" s="14"/>
      <c r="E22" s="14"/>
      <c r="F22"/>
      <c r="J22" s="751" t="s">
        <v>2544</v>
      </c>
      <c r="K22" s="741"/>
      <c r="L22" s="743">
        <v>0.3</v>
      </c>
      <c r="N22" s="686" t="s">
        <v>28</v>
      </c>
      <c r="P22" s="686" t="s">
        <v>2465</v>
      </c>
    </row>
    <row r="23" spans="3:16" ht="26.4" x14ac:dyDescent="0.25">
      <c r="C23" s="278" t="s">
        <v>29</v>
      </c>
      <c r="D23" s="14"/>
      <c r="E23" s="14"/>
      <c r="F23"/>
      <c r="H23" s="871" t="s">
        <v>2224</v>
      </c>
      <c r="J23" s="751" t="s">
        <v>2620</v>
      </c>
      <c r="K23" s="741"/>
      <c r="L23" s="361">
        <f>'TAX CREDIT'!L167</f>
        <v>0</v>
      </c>
    </row>
    <row r="24" spans="3:16" x14ac:dyDescent="0.25">
      <c r="C24" s="1895" t="str">
        <f>SOURCES!C29</f>
        <v>Rental Housing Program Funds</v>
      </c>
      <c r="D24" s="1895"/>
      <c r="E24" s="12"/>
      <c r="F24" s="333">
        <f>+SOURCES!M29</f>
        <v>0</v>
      </c>
      <c r="H24" s="334"/>
      <c r="J24" s="751" t="s">
        <v>2545</v>
      </c>
      <c r="K24" s="741"/>
      <c r="L24" s="744">
        <v>0.5</v>
      </c>
      <c r="N24" s="686" t="s">
        <v>249</v>
      </c>
    </row>
    <row r="25" spans="3:16" x14ac:dyDescent="0.25">
      <c r="C25" s="1895" t="str">
        <f>SOURCES!C30</f>
        <v>Rental Housing Works</v>
      </c>
      <c r="D25" s="1895"/>
      <c r="E25" s="12"/>
      <c r="F25" s="333">
        <f>+SOURCES!M30</f>
        <v>0</v>
      </c>
      <c r="H25" s="334"/>
      <c r="J25" s="751" t="s">
        <v>2621</v>
      </c>
      <c r="K25" s="741"/>
      <c r="L25" s="742">
        <f>'TAX CREDIT'!N167</f>
        <v>0</v>
      </c>
      <c r="N25" s="686" t="s">
        <v>2443</v>
      </c>
    </row>
    <row r="26" spans="3:16" x14ac:dyDescent="0.25">
      <c r="C26" s="1895" t="str">
        <f>SOURCES!C31</f>
        <v>Housing Trust Fund</v>
      </c>
      <c r="D26" s="1895"/>
      <c r="E26" s="12"/>
      <c r="F26" s="333">
        <f>+SOURCES!M31</f>
        <v>0</v>
      </c>
      <c r="H26" s="334"/>
      <c r="N26" s="686" t="s">
        <v>2444</v>
      </c>
    </row>
    <row r="27" spans="3:16" x14ac:dyDescent="0.25">
      <c r="C27" s="1895" t="str">
        <f>SOURCES!C32</f>
        <v>HOME Funds (DHCD)</v>
      </c>
      <c r="D27" s="1895"/>
      <c r="E27" s="12"/>
      <c r="F27" s="333">
        <f>+SOURCES!M32</f>
        <v>0</v>
      </c>
      <c r="H27" s="334"/>
      <c r="N27" s="686" t="s">
        <v>2445</v>
      </c>
    </row>
    <row r="28" spans="3:16" x14ac:dyDescent="0.25">
      <c r="C28" s="1895" t="str">
        <f>SOURCES!C33</f>
        <v>HOME ARP (DHCD)</v>
      </c>
      <c r="D28" s="1895"/>
      <c r="E28" s="12"/>
      <c r="F28" s="333">
        <f>+SOURCES!M33</f>
        <v>0</v>
      </c>
      <c r="H28" s="334"/>
    </row>
    <row r="29" spans="3:16" x14ac:dyDescent="0.25">
      <c r="C29" s="1895" t="str">
        <f>SOURCES!C34</f>
        <v>Partnership Rental Housing Program Funds</v>
      </c>
      <c r="D29" s="1895"/>
      <c r="E29" s="12"/>
      <c r="F29" s="333">
        <f>+SOURCES!M34</f>
        <v>0</v>
      </c>
      <c r="H29" s="334"/>
    </row>
    <row r="30" spans="3:16" x14ac:dyDescent="0.25">
      <c r="C30" s="1895" t="str">
        <f>SOURCES!C35</f>
        <v>Weinberg</v>
      </c>
      <c r="D30" s="1895"/>
      <c r="E30" s="12"/>
      <c r="F30" s="333">
        <f>+SOURCES!M35</f>
        <v>0</v>
      </c>
      <c r="H30" s="335"/>
    </row>
    <row r="31" spans="3:16" x14ac:dyDescent="0.25">
      <c r="C31" s="1895" t="str">
        <f>SOURCES!C36</f>
        <v>MEEHA</v>
      </c>
      <c r="D31" s="1895"/>
      <c r="E31" s="12"/>
      <c r="F31" s="333">
        <f>+SOURCES!M36</f>
        <v>0</v>
      </c>
      <c r="H31" s="335"/>
    </row>
    <row r="32" spans="3:16" x14ac:dyDescent="0.25">
      <c r="C32" s="44" t="s">
        <v>30</v>
      </c>
      <c r="D32" s="1398" t="str">
        <f>IF(SOURCES!D37="","",SOURCES!D37)</f>
        <v/>
      </c>
      <c r="E32" s="10"/>
      <c r="F32" s="333">
        <f>+SOURCES!M37</f>
        <v>0</v>
      </c>
      <c r="H32" s="334"/>
    </row>
    <row r="33" spans="3:16" x14ac:dyDescent="0.25">
      <c r="C33" s="44" t="s">
        <v>30</v>
      </c>
      <c r="D33" s="1398" t="str">
        <f>IF(SOURCES!D38="","",SOURCES!D38)</f>
        <v/>
      </c>
      <c r="E33" s="10"/>
      <c r="F33" s="333">
        <f>+SOURCES!M38</f>
        <v>0</v>
      </c>
      <c r="H33" s="334"/>
    </row>
    <row r="34" spans="3:16" x14ac:dyDescent="0.25">
      <c r="G34" s="103"/>
      <c r="H34" s="103"/>
      <c r="I34" s="103"/>
      <c r="J34" s="103"/>
      <c r="M34" s="103"/>
      <c r="N34" s="690"/>
      <c r="P34" s="2"/>
    </row>
    <row r="35" spans="3:16" x14ac:dyDescent="0.25">
      <c r="C35" s="336" t="s">
        <v>31</v>
      </c>
      <c r="D35" s="234"/>
      <c r="E35" s="234"/>
      <c r="F35" s="234"/>
      <c r="G35" s="234"/>
      <c r="H35" s="234"/>
      <c r="I35" s="234"/>
      <c r="J35" s="234"/>
      <c r="K35" s="234"/>
      <c r="L35" s="234"/>
    </row>
    <row r="36" spans="3:16" x14ac:dyDescent="0.25">
      <c r="C36" s="47"/>
    </row>
    <row r="37" spans="3:16" x14ac:dyDescent="0.25">
      <c r="C37" s="43" t="s">
        <v>32</v>
      </c>
      <c r="F37" s="753"/>
      <c r="G37" s="103"/>
    </row>
    <row r="38" spans="3:16" x14ac:dyDescent="0.25">
      <c r="C38" s="44" t="s">
        <v>33</v>
      </c>
      <c r="F38" s="753"/>
      <c r="G38" s="103"/>
    </row>
    <row r="39" spans="3:16" x14ac:dyDescent="0.25">
      <c r="C39" s="44" t="s">
        <v>34</v>
      </c>
      <c r="F39" s="801"/>
      <c r="G39" s="103"/>
      <c r="H39" s="103"/>
      <c r="I39" s="29" t="s">
        <v>35</v>
      </c>
      <c r="J39" s="803"/>
      <c r="K39" s="29" t="s">
        <v>36</v>
      </c>
      <c r="L39" s="805"/>
      <c r="N39" s="690"/>
      <c r="P39" t="s">
        <v>37</v>
      </c>
    </row>
    <row r="40" spans="3:16" x14ac:dyDescent="0.25">
      <c r="C40" s="44" t="s">
        <v>38</v>
      </c>
      <c r="F40" s="753"/>
      <c r="G40" s="103"/>
      <c r="I40" s="29" t="s">
        <v>2085</v>
      </c>
      <c r="J40" s="360"/>
      <c r="P40" t="s">
        <v>40</v>
      </c>
    </row>
    <row r="41" spans="3:16" x14ac:dyDescent="0.25">
      <c r="C41" s="44" t="s">
        <v>41</v>
      </c>
      <c r="F41" s="802"/>
      <c r="G41" s="103"/>
      <c r="H41" s="104"/>
      <c r="I41" s="29" t="s">
        <v>42</v>
      </c>
      <c r="J41" s="368"/>
      <c r="K41" s="752"/>
      <c r="P41" t="s">
        <v>43</v>
      </c>
    </row>
    <row r="42" spans="3:16" x14ac:dyDescent="0.25">
      <c r="C42" s="44" t="s">
        <v>2084</v>
      </c>
      <c r="F42" s="801"/>
      <c r="G42" s="103"/>
      <c r="I42" s="29" t="s">
        <v>2086</v>
      </c>
      <c r="J42" s="360"/>
      <c r="K42" s="103"/>
      <c r="P42" t="s">
        <v>46</v>
      </c>
    </row>
    <row r="43" spans="3:16" x14ac:dyDescent="0.25">
      <c r="G43" s="103"/>
      <c r="I43" s="29" t="s">
        <v>2087</v>
      </c>
      <c r="J43" s="804"/>
      <c r="K43" s="105"/>
      <c r="P43" t="s">
        <v>48</v>
      </c>
    </row>
    <row r="44" spans="3:16" x14ac:dyDescent="0.25">
      <c r="C44" s="336" t="s">
        <v>49</v>
      </c>
      <c r="D44" s="234"/>
      <c r="E44" s="234"/>
      <c r="F44" s="234"/>
      <c r="G44" s="234"/>
      <c r="H44" s="234"/>
      <c r="I44" s="234"/>
      <c r="J44" s="234"/>
      <c r="K44" s="234"/>
      <c r="L44" s="234"/>
      <c r="P44" t="s">
        <v>50</v>
      </c>
    </row>
    <row r="45" spans="3:16" x14ac:dyDescent="0.25">
      <c r="C45" s="47"/>
      <c r="P45" t="s">
        <v>51</v>
      </c>
    </row>
    <row r="46" spans="3:16" x14ac:dyDescent="0.25">
      <c r="C46" s="43" t="s">
        <v>52</v>
      </c>
      <c r="F46" s="360"/>
      <c r="P46" t="s">
        <v>53</v>
      </c>
    </row>
    <row r="47" spans="3:16" x14ac:dyDescent="0.25">
      <c r="C47" s="44" t="s">
        <v>33</v>
      </c>
      <c r="F47" s="360"/>
      <c r="P47" t="s">
        <v>54</v>
      </c>
    </row>
    <row r="48" spans="3:16" x14ac:dyDescent="0.25">
      <c r="C48" s="44" t="s">
        <v>38</v>
      </c>
      <c r="F48" s="360"/>
      <c r="H48" s="29" t="s">
        <v>2088</v>
      </c>
      <c r="I48" s="360"/>
      <c r="J48" s="29" t="s">
        <v>56</v>
      </c>
      <c r="K48" s="806"/>
      <c r="P48" t="s">
        <v>57</v>
      </c>
    </row>
    <row r="49" spans="3:16" x14ac:dyDescent="0.25">
      <c r="C49" s="44" t="s">
        <v>58</v>
      </c>
      <c r="F49" s="360"/>
      <c r="J49" s="29" t="s">
        <v>59</v>
      </c>
      <c r="K49" s="807"/>
      <c r="L49" s="9"/>
      <c r="P49" t="s">
        <v>60</v>
      </c>
    </row>
    <row r="50" spans="3:16" x14ac:dyDescent="0.25">
      <c r="C50" s="44" t="s">
        <v>61</v>
      </c>
      <c r="F50" s="360"/>
      <c r="J50" s="29" t="s">
        <v>62</v>
      </c>
      <c r="K50" s="808"/>
      <c r="P50" t="s">
        <v>63</v>
      </c>
    </row>
    <row r="51" spans="3:16" x14ac:dyDescent="0.25">
      <c r="P51" t="s">
        <v>65</v>
      </c>
    </row>
    <row r="52" spans="3:16" x14ac:dyDescent="0.25">
      <c r="C52" s="336" t="s">
        <v>66</v>
      </c>
      <c r="D52" s="234"/>
      <c r="E52" s="234"/>
      <c r="F52" s="234"/>
      <c r="G52" s="234"/>
      <c r="H52" s="234"/>
      <c r="I52" s="234"/>
      <c r="J52" s="234"/>
      <c r="K52" s="234"/>
      <c r="L52" s="234"/>
      <c r="P52" t="s">
        <v>67</v>
      </c>
    </row>
    <row r="53" spans="3:16" x14ac:dyDescent="0.25">
      <c r="C53" s="47"/>
      <c r="P53" t="s">
        <v>68</v>
      </c>
    </row>
    <row r="54" spans="3:16" x14ac:dyDescent="0.25">
      <c r="C54" s="43" t="s">
        <v>2090</v>
      </c>
      <c r="F54" s="753"/>
      <c r="P54" t="s">
        <v>69</v>
      </c>
    </row>
    <row r="55" spans="3:16" x14ac:dyDescent="0.25">
      <c r="C55" s="44" t="s">
        <v>2091</v>
      </c>
      <c r="F55" s="754"/>
      <c r="P55" t="s">
        <v>70</v>
      </c>
    </row>
    <row r="56" spans="3:16" x14ac:dyDescent="0.25">
      <c r="P56" t="s">
        <v>71</v>
      </c>
    </row>
    <row r="57" spans="3:16" x14ac:dyDescent="0.25">
      <c r="C57" s="43" t="s">
        <v>2089</v>
      </c>
      <c r="P57" t="s">
        <v>72</v>
      </c>
    </row>
    <row r="58" spans="3:16" x14ac:dyDescent="0.25">
      <c r="C58" s="332"/>
      <c r="D58" t="s">
        <v>73</v>
      </c>
      <c r="F58" s="332"/>
      <c r="G58" t="s">
        <v>74</v>
      </c>
      <c r="I58" s="337"/>
      <c r="J58" t="s">
        <v>75</v>
      </c>
      <c r="P58" t="s">
        <v>76</v>
      </c>
    </row>
    <row r="59" spans="3:16" x14ac:dyDescent="0.25">
      <c r="C59" s="332"/>
      <c r="D59" t="s">
        <v>77</v>
      </c>
      <c r="F59" s="332"/>
      <c r="G59" t="s">
        <v>78</v>
      </c>
      <c r="I59" s="337"/>
      <c r="J59" t="s">
        <v>79</v>
      </c>
      <c r="K59" s="360"/>
      <c r="L59" s="10"/>
      <c r="P59" t="s">
        <v>81</v>
      </c>
    </row>
    <row r="60" spans="3:16" x14ac:dyDescent="0.25">
      <c r="C60" s="332"/>
      <c r="D60" t="s">
        <v>82</v>
      </c>
      <c r="P60" t="s">
        <v>83</v>
      </c>
    </row>
    <row r="61" spans="3:16" x14ac:dyDescent="0.25">
      <c r="C61" s="106"/>
      <c r="P61" t="s">
        <v>84</v>
      </c>
    </row>
    <row r="62" spans="3:16" x14ac:dyDescent="0.25">
      <c r="C62" s="43" t="s">
        <v>85</v>
      </c>
      <c r="P62" t="s">
        <v>86</v>
      </c>
    </row>
    <row r="63" spans="3:16" x14ac:dyDescent="0.25">
      <c r="C63" s="338"/>
      <c r="D63" s="339"/>
      <c r="E63" s="340"/>
      <c r="F63" s="340"/>
      <c r="G63" s="340"/>
      <c r="H63" s="341"/>
      <c r="I63" s="342"/>
      <c r="J63" s="343"/>
      <c r="K63" s="1913" t="s">
        <v>2459</v>
      </c>
      <c r="L63" s="1913" t="s">
        <v>2095</v>
      </c>
      <c r="M63" s="56"/>
      <c r="N63" s="691"/>
      <c r="P63" t="s">
        <v>87</v>
      </c>
    </row>
    <row r="64" spans="3:16" ht="19.95" customHeight="1" x14ac:dyDescent="0.25">
      <c r="C64" s="344" t="s">
        <v>2094</v>
      </c>
      <c r="D64" s="345"/>
      <c r="E64" s="346"/>
      <c r="F64" s="346"/>
      <c r="G64" s="346"/>
      <c r="H64" s="347" t="s">
        <v>2092</v>
      </c>
      <c r="I64" s="348"/>
      <c r="J64" s="349" t="s">
        <v>89</v>
      </c>
      <c r="K64" s="1914"/>
      <c r="L64" s="1915"/>
      <c r="M64" s="56"/>
      <c r="N64" s="691"/>
      <c r="P64" t="s">
        <v>90</v>
      </c>
    </row>
    <row r="65" spans="3:16" x14ac:dyDescent="0.25">
      <c r="C65" s="327"/>
      <c r="D65" s="322"/>
      <c r="E65" s="326"/>
      <c r="F65" s="326"/>
      <c r="G65" s="326"/>
      <c r="H65" s="350"/>
      <c r="I65" s="351"/>
      <c r="J65" s="352" t="s">
        <v>91</v>
      </c>
      <c r="K65" s="353"/>
      <c r="L65" s="334"/>
      <c r="M65" s="56"/>
      <c r="N65" s="692"/>
      <c r="P65" t="s">
        <v>92</v>
      </c>
    </row>
    <row r="66" spans="3:16" x14ac:dyDescent="0.25">
      <c r="C66" s="327"/>
      <c r="D66" s="322"/>
      <c r="E66" s="326"/>
      <c r="F66" s="326"/>
      <c r="G66" s="326"/>
      <c r="H66" s="350"/>
      <c r="I66" s="351"/>
      <c r="J66" s="352" t="s">
        <v>93</v>
      </c>
      <c r="K66" s="353"/>
      <c r="L66" s="334"/>
      <c r="M66" s="56"/>
      <c r="N66" s="692"/>
      <c r="P66" t="s">
        <v>94</v>
      </c>
    </row>
    <row r="67" spans="3:16" x14ac:dyDescent="0.25">
      <c r="C67" s="327"/>
      <c r="D67" s="322"/>
      <c r="E67" s="326"/>
      <c r="F67" s="326"/>
      <c r="G67" s="326"/>
      <c r="H67" s="350"/>
      <c r="I67" s="325"/>
      <c r="J67" s="352" t="s">
        <v>95</v>
      </c>
      <c r="K67" s="353"/>
      <c r="L67" s="334"/>
      <c r="M67" s="56"/>
      <c r="N67" s="692"/>
      <c r="P67" t="s">
        <v>96</v>
      </c>
    </row>
    <row r="68" spans="3:16" x14ac:dyDescent="0.25">
      <c r="P68" t="s">
        <v>98</v>
      </c>
    </row>
    <row r="69" spans="3:16" ht="13.8" x14ac:dyDescent="0.3">
      <c r="C69" s="354" t="s">
        <v>2100</v>
      </c>
      <c r="D69" s="234"/>
      <c r="E69" s="234"/>
      <c r="F69" s="234"/>
      <c r="G69" s="234"/>
      <c r="H69" s="234"/>
      <c r="I69" s="234"/>
      <c r="J69" s="234"/>
      <c r="K69" s="234"/>
      <c r="L69" s="234"/>
      <c r="N69"/>
      <c r="P69" t="s">
        <v>99</v>
      </c>
    </row>
    <row r="70" spans="3:16" x14ac:dyDescent="0.25">
      <c r="C70" s="1861"/>
      <c r="D70" s="1862"/>
      <c r="E70" s="1862"/>
      <c r="F70" s="1862"/>
      <c r="G70" s="1862"/>
      <c r="H70" s="1862"/>
      <c r="I70" s="1862"/>
      <c r="J70" s="1862"/>
      <c r="K70" s="1862"/>
      <c r="L70" s="1903"/>
      <c r="M70" s="126"/>
      <c r="N70"/>
      <c r="P70" t="s">
        <v>100</v>
      </c>
    </row>
    <row r="71" spans="3:16" x14ac:dyDescent="0.25">
      <c r="C71" s="1904"/>
      <c r="D71" s="1905"/>
      <c r="E71" s="1905"/>
      <c r="F71" s="1905"/>
      <c r="G71" s="1905"/>
      <c r="H71" s="1905"/>
      <c r="I71" s="1905"/>
      <c r="J71" s="1905"/>
      <c r="K71" s="1905"/>
      <c r="L71" s="1906"/>
      <c r="M71" s="126"/>
      <c r="N71"/>
      <c r="P71" t="s">
        <v>101</v>
      </c>
    </row>
    <row r="72" spans="3:16" x14ac:dyDescent="0.25">
      <c r="C72" s="1904"/>
      <c r="D72" s="1905"/>
      <c r="E72" s="1905"/>
      <c r="F72" s="1905"/>
      <c r="G72" s="1905"/>
      <c r="H72" s="1905"/>
      <c r="I72" s="1905"/>
      <c r="J72" s="1905"/>
      <c r="K72" s="1905"/>
      <c r="L72" s="1906"/>
      <c r="M72" s="126"/>
      <c r="N72"/>
      <c r="P72" t="s">
        <v>102</v>
      </c>
    </row>
    <row r="73" spans="3:16" x14ac:dyDescent="0.25">
      <c r="C73" s="1904"/>
      <c r="D73" s="1905"/>
      <c r="E73" s="1905"/>
      <c r="F73" s="1905"/>
      <c r="G73" s="1905"/>
      <c r="H73" s="1905"/>
      <c r="I73" s="1905"/>
      <c r="J73" s="1905"/>
      <c r="K73" s="1905"/>
      <c r="L73" s="1906"/>
      <c r="M73" s="126"/>
      <c r="N73"/>
      <c r="P73" t="s">
        <v>103</v>
      </c>
    </row>
    <row r="74" spans="3:16" x14ac:dyDescent="0.25">
      <c r="C74" s="1907"/>
      <c r="D74" s="1908"/>
      <c r="E74" s="1908"/>
      <c r="F74" s="1908"/>
      <c r="G74" s="1908"/>
      <c r="H74" s="1908"/>
      <c r="I74" s="1908"/>
      <c r="J74" s="1908"/>
      <c r="K74" s="1908"/>
      <c r="L74" s="1909"/>
      <c r="P74" t="s">
        <v>104</v>
      </c>
    </row>
    <row r="75" spans="3:16" x14ac:dyDescent="0.25">
      <c r="C75" s="1907"/>
      <c r="D75" s="1908"/>
      <c r="E75" s="1908"/>
      <c r="F75" s="1908"/>
      <c r="G75" s="1908"/>
      <c r="H75" s="1908"/>
      <c r="I75" s="1908"/>
      <c r="J75" s="1908"/>
      <c r="K75" s="1908"/>
      <c r="L75" s="1909"/>
      <c r="P75" t="s">
        <v>105</v>
      </c>
    </row>
    <row r="76" spans="3:16" x14ac:dyDescent="0.25">
      <c r="C76" s="1907"/>
      <c r="D76" s="1908"/>
      <c r="E76" s="1908"/>
      <c r="F76" s="1908"/>
      <c r="G76" s="1908"/>
      <c r="H76" s="1908"/>
      <c r="I76" s="1908"/>
      <c r="J76" s="1908"/>
      <c r="K76" s="1908"/>
      <c r="L76" s="1909"/>
      <c r="P76" t="s">
        <v>106</v>
      </c>
    </row>
    <row r="77" spans="3:16" x14ac:dyDescent="0.25">
      <c r="C77" s="1910"/>
      <c r="D77" s="1911"/>
      <c r="E77" s="1911"/>
      <c r="F77" s="1911"/>
      <c r="G77" s="1911"/>
      <c r="H77" s="1911"/>
      <c r="I77" s="1911"/>
      <c r="J77" s="1911"/>
      <c r="K77" s="1911"/>
      <c r="L77" s="1912"/>
      <c r="P77" t="s">
        <v>107</v>
      </c>
    </row>
    <row r="78" spans="3:16" x14ac:dyDescent="0.25">
      <c r="P78" t="s">
        <v>109</v>
      </c>
    </row>
    <row r="79" spans="3:16" x14ac:dyDescent="0.25">
      <c r="C79" s="354" t="s">
        <v>110</v>
      </c>
      <c r="D79" s="234"/>
      <c r="E79" s="234"/>
      <c r="F79" s="234"/>
      <c r="G79" s="234"/>
      <c r="H79" s="234"/>
      <c r="I79" s="234"/>
      <c r="J79" s="234"/>
      <c r="K79" s="234"/>
      <c r="L79" s="234"/>
      <c r="P79" t="s">
        <v>111</v>
      </c>
    </row>
    <row r="80" spans="3:16" x14ac:dyDescent="0.25">
      <c r="C80" s="12"/>
      <c r="P80" t="s">
        <v>112</v>
      </c>
    </row>
    <row r="81" spans="3:16" ht="13.8" x14ac:dyDescent="0.3">
      <c r="C81" s="4" t="s">
        <v>2096</v>
      </c>
      <c r="J81" s="7" t="s">
        <v>2101</v>
      </c>
      <c r="P81" t="s">
        <v>113</v>
      </c>
    </row>
    <row r="82" spans="3:16" x14ac:dyDescent="0.25">
      <c r="C82" s="332"/>
      <c r="D82" s="7" t="s">
        <v>114</v>
      </c>
      <c r="F82" s="332"/>
      <c r="G82" s="7" t="s">
        <v>115</v>
      </c>
      <c r="J82" s="1883"/>
      <c r="K82" s="1884"/>
      <c r="L82" s="1885"/>
      <c r="P82" t="s">
        <v>116</v>
      </c>
    </row>
    <row r="83" spans="3:16" x14ac:dyDescent="0.25">
      <c r="C83" s="332"/>
      <c r="D83" s="7" t="s">
        <v>117</v>
      </c>
      <c r="F83" s="332"/>
      <c r="G83" s="7" t="s">
        <v>118</v>
      </c>
      <c r="J83" s="1886"/>
      <c r="K83" s="1887"/>
      <c r="L83" s="1888"/>
      <c r="P83" t="s">
        <v>119</v>
      </c>
    </row>
    <row r="84" spans="3:16" x14ac:dyDescent="0.25">
      <c r="C84" s="332"/>
      <c r="D84" s="7" t="s">
        <v>120</v>
      </c>
      <c r="F84" s="332"/>
      <c r="G84" s="7" t="s">
        <v>121</v>
      </c>
      <c r="J84" s="1886"/>
      <c r="K84" s="1887"/>
      <c r="L84" s="1888"/>
      <c r="P84" t="s">
        <v>122</v>
      </c>
    </row>
    <row r="85" spans="3:16" x14ac:dyDescent="0.25">
      <c r="C85" s="332"/>
      <c r="D85" s="7" t="s">
        <v>123</v>
      </c>
      <c r="F85" s="332"/>
      <c r="G85" s="7" t="s">
        <v>79</v>
      </c>
      <c r="H85" s="360"/>
      <c r="J85" s="1886"/>
      <c r="K85" s="1887"/>
      <c r="L85" s="1888"/>
      <c r="P85" t="s">
        <v>124</v>
      </c>
    </row>
    <row r="86" spans="3:16" x14ac:dyDescent="0.25">
      <c r="C86" s="332"/>
      <c r="D86" s="7" t="s">
        <v>125</v>
      </c>
      <c r="F86" s="332"/>
      <c r="G86" s="7" t="s">
        <v>79</v>
      </c>
      <c r="H86" s="360"/>
      <c r="J86" s="1886"/>
      <c r="K86" s="1887"/>
      <c r="L86" s="1888"/>
      <c r="P86" t="s">
        <v>126</v>
      </c>
    </row>
    <row r="87" spans="3:16" x14ac:dyDescent="0.25">
      <c r="C87" s="332"/>
      <c r="D87" s="7" t="s">
        <v>127</v>
      </c>
      <c r="F87" s="332"/>
      <c r="G87" s="7" t="s">
        <v>79</v>
      </c>
      <c r="H87" s="360"/>
      <c r="J87" s="1889"/>
      <c r="K87" s="1890"/>
      <c r="L87" s="1891"/>
    </row>
    <row r="88" spans="3:16" x14ac:dyDescent="0.25">
      <c r="H88" s="44"/>
      <c r="J88" s="44"/>
      <c r="K88" s="44"/>
      <c r="P88" t="s">
        <v>2099</v>
      </c>
    </row>
    <row r="89" spans="3:16" ht="13.8" x14ac:dyDescent="0.3">
      <c r="C89" s="755" t="str">
        <f>IF(AND(GEN_Acquisition="",GEN_Refinance="",GEN_NewConstruction="",GEN_Rehabilitation=""),"Type of Project is required","")</f>
        <v>Type of Project is required</v>
      </c>
      <c r="P89" t="s">
        <v>2770</v>
      </c>
    </row>
    <row r="90" spans="3:16" x14ac:dyDescent="0.25">
      <c r="C90" s="291" t="s">
        <v>2097</v>
      </c>
      <c r="F90" s="43"/>
      <c r="I90" s="43"/>
      <c r="P90" t="s">
        <v>2098</v>
      </c>
    </row>
    <row r="91" spans="3:16" x14ac:dyDescent="0.25">
      <c r="C91" s="332"/>
      <c r="D91" t="s">
        <v>128</v>
      </c>
      <c r="F91" s="332"/>
      <c r="G91" t="s">
        <v>129</v>
      </c>
      <c r="L91" s="9"/>
    </row>
    <row r="92" spans="3:16" x14ac:dyDescent="0.25">
      <c r="C92" s="332"/>
      <c r="D92" t="s">
        <v>130</v>
      </c>
      <c r="F92" s="332"/>
      <c r="G92" t="s">
        <v>131</v>
      </c>
    </row>
    <row r="93" spans="3:16" x14ac:dyDescent="0.25">
      <c r="C93" s="107"/>
      <c r="G93" s="9"/>
      <c r="H93" s="108"/>
    </row>
    <row r="94" spans="3:16" ht="13.95" customHeight="1" x14ac:dyDescent="0.3">
      <c r="C94" s="107"/>
      <c r="F94" s="109"/>
      <c r="G94" s="109"/>
      <c r="H94" s="108"/>
    </row>
    <row r="95" spans="3:16" x14ac:dyDescent="0.25">
      <c r="C95" s="291" t="s">
        <v>132</v>
      </c>
      <c r="H95" s="43" t="s">
        <v>133</v>
      </c>
    </row>
    <row r="96" spans="3:16" x14ac:dyDescent="0.25">
      <c r="C96" s="273"/>
      <c r="D96" t="s">
        <v>129</v>
      </c>
      <c r="I96" s="355" t="s">
        <v>134</v>
      </c>
      <c r="J96" s="307"/>
      <c r="K96" s="44"/>
    </row>
    <row r="97" spans="3:11" x14ac:dyDescent="0.25">
      <c r="C97" s="273"/>
      <c r="D97" t="s">
        <v>131</v>
      </c>
      <c r="H97" s="10" t="s">
        <v>135</v>
      </c>
      <c r="I97" s="356"/>
      <c r="J97" s="306"/>
      <c r="K97" s="44"/>
    </row>
    <row r="98" spans="3:11" x14ac:dyDescent="0.25">
      <c r="H98" s="10" t="s">
        <v>136</v>
      </c>
      <c r="I98" s="356"/>
      <c r="J98" s="306"/>
      <c r="K98" s="44"/>
    </row>
    <row r="99" spans="3:11" ht="12.75" customHeight="1" x14ac:dyDescent="0.25">
      <c r="C99" s="47"/>
      <c r="H99" s="10" t="s">
        <v>137</v>
      </c>
      <c r="I99" s="356"/>
      <c r="J99" s="306"/>
      <c r="K99" s="24"/>
    </row>
    <row r="100" spans="3:11" ht="12.75" customHeight="1" x14ac:dyDescent="0.25">
      <c r="C100" s="47"/>
      <c r="H100" s="10" t="s">
        <v>138</v>
      </c>
      <c r="I100" s="356"/>
      <c r="J100" s="306"/>
      <c r="K100" s="24"/>
    </row>
    <row r="101" spans="3:11" ht="12.75" customHeight="1" x14ac:dyDescent="0.25">
      <c r="C101" s="47"/>
      <c r="H101" s="10" t="s">
        <v>139</v>
      </c>
      <c r="I101" s="356"/>
      <c r="J101" s="306"/>
      <c r="K101" s="24"/>
    </row>
    <row r="102" spans="3:11" ht="12" customHeight="1" x14ac:dyDescent="0.25">
      <c r="C102" s="7"/>
      <c r="H102" s="10" t="s">
        <v>140</v>
      </c>
      <c r="I102" s="356"/>
      <c r="J102" s="306"/>
      <c r="K102" s="44"/>
    </row>
    <row r="103" spans="3:11" ht="12" customHeight="1" x14ac:dyDescent="0.25">
      <c r="C103" s="7"/>
      <c r="H103" s="100" t="s">
        <v>2633</v>
      </c>
      <c r="I103" s="357">
        <f>SUM(I97:I102)</f>
        <v>0</v>
      </c>
      <c r="J103" s="110"/>
      <c r="K103" s="44"/>
    </row>
    <row r="104" spans="3:11" ht="12" customHeight="1" x14ac:dyDescent="0.25">
      <c r="C104" s="7" t="s">
        <v>2102</v>
      </c>
      <c r="I104" s="357">
        <f>ROUNDUP(F131*5%,0)</f>
        <v>0</v>
      </c>
      <c r="J104" s="47" t="s">
        <v>141</v>
      </c>
      <c r="K104" s="47"/>
    </row>
    <row r="105" spans="3:11" ht="12" customHeight="1" x14ac:dyDescent="0.25">
      <c r="C105" s="1866" t="s">
        <v>142</v>
      </c>
      <c r="D105" s="1871"/>
      <c r="E105" s="39"/>
      <c r="G105" s="111"/>
      <c r="I105" s="357">
        <f>ROUNDUP(F131*2%,0)</f>
        <v>0</v>
      </c>
      <c r="J105" s="47" t="s">
        <v>143</v>
      </c>
      <c r="K105" s="43"/>
    </row>
    <row r="106" spans="3:11" ht="17.7" customHeight="1" x14ac:dyDescent="0.25">
      <c r="C106" s="1871"/>
      <c r="D106" s="1871"/>
      <c r="E106" s="39"/>
      <c r="F106" s="358"/>
      <c r="G106" s="111"/>
    </row>
    <row r="107" spans="3:11" ht="17.7" customHeight="1" x14ac:dyDescent="0.25">
      <c r="C107" s="1871"/>
      <c r="D107" s="1871"/>
      <c r="E107" s="39"/>
      <c r="F107" s="112"/>
      <c r="G107" s="113"/>
      <c r="K107" s="39"/>
    </row>
    <row r="108" spans="3:11" ht="15" customHeight="1" x14ac:dyDescent="0.25">
      <c r="C108" s="114"/>
      <c r="D108" s="115"/>
      <c r="E108" s="115"/>
      <c r="G108" s="115"/>
      <c r="I108" s="39"/>
      <c r="J108" s="39"/>
    </row>
    <row r="109" spans="3:11" x14ac:dyDescent="0.25">
      <c r="C109" s="43" t="s">
        <v>144</v>
      </c>
      <c r="H109" s="43" t="s">
        <v>145</v>
      </c>
    </row>
    <row r="110" spans="3:11" x14ac:dyDescent="0.25">
      <c r="C110" s="44" t="s">
        <v>2103</v>
      </c>
      <c r="F110" s="359"/>
      <c r="H110" s="1866" t="s">
        <v>2107</v>
      </c>
      <c r="I110" s="1866"/>
      <c r="J110" s="1866"/>
      <c r="K110" s="1878"/>
    </row>
    <row r="111" spans="3:11" x14ac:dyDescent="0.25">
      <c r="C111" s="44" t="s">
        <v>2104</v>
      </c>
      <c r="F111" s="358"/>
      <c r="G111" s="111"/>
      <c r="H111" s="1866"/>
      <c r="I111" s="1866"/>
      <c r="J111" s="1866"/>
      <c r="K111" s="1879"/>
    </row>
    <row r="112" spans="3:11" x14ac:dyDescent="0.25">
      <c r="C112" s="44" t="s">
        <v>2105</v>
      </c>
      <c r="F112" s="358"/>
    </row>
    <row r="113" spans="3:11" x14ac:dyDescent="0.25">
      <c r="C113" s="44" t="s">
        <v>2106</v>
      </c>
      <c r="F113" s="358"/>
    </row>
    <row r="114" spans="3:11" x14ac:dyDescent="0.25">
      <c r="C114" s="44" t="s">
        <v>2133</v>
      </c>
      <c r="F114" s="360"/>
      <c r="H114" s="75"/>
      <c r="I114" s="75"/>
      <c r="J114" s="75"/>
    </row>
    <row r="115" spans="3:11" x14ac:dyDescent="0.25">
      <c r="C115" s="43" t="s">
        <v>151</v>
      </c>
      <c r="H115" s="43" t="s">
        <v>2109</v>
      </c>
      <c r="K115" s="313"/>
    </row>
    <row r="116" spans="3:11" x14ac:dyDescent="0.25">
      <c r="C116" s="44" t="s">
        <v>152</v>
      </c>
      <c r="F116" s="759">
        <f>COUNTIFS(BUILDING!$P$10:$P$29,C116)</f>
        <v>0</v>
      </c>
    </row>
    <row r="117" spans="3:11" x14ac:dyDescent="0.25">
      <c r="C117" s="44" t="s">
        <v>153</v>
      </c>
      <c r="F117" s="759">
        <f>COUNTIFS(BUILDING!$P$10:$P$29,C117)</f>
        <v>0</v>
      </c>
      <c r="H117" s="43" t="s">
        <v>2622</v>
      </c>
    </row>
    <row r="118" spans="3:11" x14ac:dyDescent="0.25">
      <c r="C118" s="44" t="s">
        <v>154</v>
      </c>
      <c r="F118" s="759">
        <f>COUNTIFS(BUILDING!$P$10:$P$29,C118)</f>
        <v>0</v>
      </c>
      <c r="H118" s="7" t="s">
        <v>155</v>
      </c>
      <c r="J118" s="756"/>
      <c r="K118" s="273"/>
    </row>
    <row r="119" spans="3:11" x14ac:dyDescent="0.25">
      <c r="C119" s="44" t="s">
        <v>156</v>
      </c>
      <c r="F119" s="759">
        <f>COUNTIFS(BUILDING!$P$10:$P$29,C119)</f>
        <v>0</v>
      </c>
      <c r="H119" s="7" t="s">
        <v>2108</v>
      </c>
      <c r="J119" s="756"/>
      <c r="K119" s="273"/>
    </row>
    <row r="120" spans="3:11" x14ac:dyDescent="0.25">
      <c r="C120" s="44" t="s">
        <v>158</v>
      </c>
      <c r="F120" s="759">
        <f>COUNTIFS(BUILDING!$P$10:$P$29,C120)</f>
        <v>0</v>
      </c>
      <c r="H120" s="7" t="s">
        <v>159</v>
      </c>
      <c r="J120" s="756"/>
      <c r="K120" s="273"/>
    </row>
    <row r="121" spans="3:11" x14ac:dyDescent="0.25">
      <c r="C121" s="44" t="s">
        <v>160</v>
      </c>
      <c r="F121" s="534">
        <f>COUNTIFS(BUILDING!$P$10:$P$29,C121)</f>
        <v>0</v>
      </c>
      <c r="H121" s="7" t="s">
        <v>161</v>
      </c>
      <c r="I121" s="360"/>
      <c r="J121" s="756"/>
      <c r="K121" s="273"/>
    </row>
    <row r="122" spans="3:11" ht="4.95" customHeight="1" x14ac:dyDescent="0.25">
      <c r="F122" s="240"/>
      <c r="H122" s="53"/>
      <c r="J122" s="756"/>
      <c r="K122" s="1246"/>
    </row>
    <row r="123" spans="3:11" x14ac:dyDescent="0.25">
      <c r="C123" s="47" t="s">
        <v>162</v>
      </c>
      <c r="F123" s="357">
        <f>SUM(F116:F121)</f>
        <v>0</v>
      </c>
      <c r="H123" s="7" t="s">
        <v>163</v>
      </c>
      <c r="J123" s="756"/>
      <c r="K123" s="273"/>
    </row>
    <row r="124" spans="3:11" ht="12.75" customHeight="1" x14ac:dyDescent="0.25">
      <c r="H124" s="7" t="s">
        <v>164</v>
      </c>
      <c r="J124" s="756"/>
      <c r="K124" s="273"/>
    </row>
    <row r="125" spans="3:11" ht="12.75" customHeight="1" x14ac:dyDescent="0.25">
      <c r="H125" s="7" t="s">
        <v>165</v>
      </c>
      <c r="J125" s="756"/>
      <c r="K125" s="273"/>
    </row>
    <row r="126" spans="3:11" x14ac:dyDescent="0.25">
      <c r="C126" s="43" t="s">
        <v>2127</v>
      </c>
      <c r="H126" s="44" t="s">
        <v>166</v>
      </c>
      <c r="I126" s="360"/>
      <c r="J126" s="756"/>
      <c r="K126" s="273"/>
    </row>
    <row r="127" spans="3:11" x14ac:dyDescent="0.25">
      <c r="C127" s="44" t="s">
        <v>167</v>
      </c>
      <c r="F127" s="273"/>
      <c r="G127" s="1874" t="str">
        <f>IF(SUM(C96:C97)=$F131,"","Revise to equal number of units indicated  in ''Unit Types - NC and/or Rehab'' entered above")</f>
        <v/>
      </c>
      <c r="H127" s="44" t="s">
        <v>166</v>
      </c>
      <c r="I127" s="360"/>
      <c r="J127" s="756"/>
      <c r="K127" s="273"/>
    </row>
    <row r="128" spans="3:11" ht="12.75" customHeight="1" x14ac:dyDescent="0.25">
      <c r="C128" s="44" t="s">
        <v>168</v>
      </c>
      <c r="F128" s="273"/>
      <c r="G128" s="1875"/>
      <c r="H128" s="44" t="s">
        <v>166</v>
      </c>
      <c r="I128" s="360"/>
      <c r="J128" s="756"/>
      <c r="K128" s="273"/>
    </row>
    <row r="129" spans="3:14" x14ac:dyDescent="0.25">
      <c r="C129" s="44" t="s">
        <v>169</v>
      </c>
      <c r="F129" s="273"/>
      <c r="G129" s="1875"/>
      <c r="H129" s="44" t="s">
        <v>166</v>
      </c>
      <c r="I129" s="360"/>
      <c r="J129" s="756"/>
      <c r="K129" s="273"/>
    </row>
    <row r="130" spans="3:14" x14ac:dyDescent="0.25">
      <c r="F130" s="240"/>
      <c r="G130" s="1875"/>
      <c r="H130" s="44" t="s">
        <v>166</v>
      </c>
      <c r="I130" s="360"/>
      <c r="J130" s="756"/>
      <c r="K130" s="273"/>
    </row>
    <row r="131" spans="3:14" ht="15" customHeight="1" x14ac:dyDescent="0.25">
      <c r="C131" s="43" t="s">
        <v>170</v>
      </c>
      <c r="F131" s="357">
        <f>SUM(F127:F129)</f>
        <v>0</v>
      </c>
      <c r="G131" s="1875"/>
      <c r="H131" s="43"/>
      <c r="K131"/>
    </row>
    <row r="132" spans="3:14" x14ac:dyDescent="0.25">
      <c r="C132" s="43"/>
      <c r="F132" s="67"/>
      <c r="G132" s="1875"/>
      <c r="H132" s="43" t="s">
        <v>171</v>
      </c>
      <c r="K132" s="357">
        <f>SUM(K118:K130)</f>
        <v>0</v>
      </c>
    </row>
    <row r="133" spans="3:14" x14ac:dyDescent="0.25">
      <c r="C133" s="7"/>
      <c r="F133" s="292" t="str">
        <f>IF(SUM($I97:$I102)&gt;=$I104,"","Revise UFAS units to equal minimum number of required UFAS Units")</f>
        <v/>
      </c>
      <c r="G133" s="1875"/>
      <c r="H133" s="43"/>
      <c r="K133"/>
    </row>
    <row r="134" spans="3:14" x14ac:dyDescent="0.25">
      <c r="C134" s="1312" t="s">
        <v>172</v>
      </c>
      <c r="F134" s="273"/>
      <c r="H134" s="237"/>
      <c r="I134" s="237"/>
      <c r="J134" s="43"/>
    </row>
    <row r="135" spans="3:14" x14ac:dyDescent="0.25">
      <c r="J135" s="53"/>
    </row>
    <row r="136" spans="3:14" ht="12.75" customHeight="1" x14ac:dyDescent="0.25">
      <c r="C136" s="43" t="s">
        <v>173</v>
      </c>
      <c r="J136" s="53"/>
    </row>
    <row r="137" spans="3:14" x14ac:dyDescent="0.25">
      <c r="C137" s="7"/>
      <c r="F137" s="116" t="s">
        <v>2110</v>
      </c>
      <c r="G137" s="1872" t="s">
        <v>2114</v>
      </c>
      <c r="H137" s="1872"/>
      <c r="I137" s="1872"/>
      <c r="J137" s="116" t="s">
        <v>2110</v>
      </c>
      <c r="K137" s="1872" t="s">
        <v>2115</v>
      </c>
      <c r="L137" s="1872"/>
    </row>
    <row r="138" spans="3:14" ht="45" customHeight="1" x14ac:dyDescent="0.25">
      <c r="C138" s="1871" t="s">
        <v>2111</v>
      </c>
      <c r="D138" s="1871"/>
      <c r="E138" s="39"/>
      <c r="F138" s="362"/>
      <c r="G138" s="1880"/>
      <c r="H138" s="1881"/>
      <c r="I138" s="1882"/>
      <c r="J138" s="362"/>
      <c r="K138" s="1876"/>
      <c r="L138" s="1877"/>
      <c r="N138" s="693" t="s">
        <v>2749</v>
      </c>
    </row>
    <row r="139" spans="3:14" ht="45" customHeight="1" x14ac:dyDescent="0.25">
      <c r="C139" s="1871" t="s">
        <v>2112</v>
      </c>
      <c r="D139" s="1871"/>
      <c r="E139" s="39"/>
      <c r="F139" s="362"/>
      <c r="N139" s="693" t="s">
        <v>175</v>
      </c>
    </row>
    <row r="140" spans="3:14" ht="21.45" customHeight="1" x14ac:dyDescent="0.25">
      <c r="C140" s="7"/>
      <c r="N140" s="693" t="s">
        <v>176</v>
      </c>
    </row>
    <row r="141" spans="3:14" ht="31.5" customHeight="1" x14ac:dyDescent="0.25">
      <c r="C141" s="1873" t="s">
        <v>2113</v>
      </c>
      <c r="D141" s="1873"/>
      <c r="E141" s="243"/>
      <c r="F141" s="363">
        <f>F138+J138+F139+J139</f>
        <v>0</v>
      </c>
      <c r="N141" s="693"/>
    </row>
    <row r="142" spans="3:14" ht="25.2" customHeight="1" x14ac:dyDescent="0.25">
      <c r="C142" s="1873" t="s">
        <v>2623</v>
      </c>
      <c r="D142" s="1873"/>
      <c r="E142" s="243"/>
      <c r="F142" s="1715"/>
      <c r="N142" s="693" t="s">
        <v>177</v>
      </c>
    </row>
    <row r="143" spans="3:14" ht="13.2" customHeight="1" x14ac:dyDescent="0.25">
      <c r="I143" s="756"/>
      <c r="J143" s="756"/>
      <c r="K143" s="756"/>
      <c r="L143" s="756"/>
    </row>
    <row r="144" spans="3:14" ht="13.95" customHeight="1" x14ac:dyDescent="0.25">
      <c r="C144" s="43" t="s">
        <v>2116</v>
      </c>
      <c r="D144" s="43"/>
      <c r="E144" s="43"/>
      <c r="F144" s="43"/>
      <c r="G144" s="756"/>
      <c r="H144" s="273"/>
      <c r="I144" s="874" t="s">
        <v>178</v>
      </c>
      <c r="J144" s="756"/>
      <c r="K144" s="756"/>
      <c r="L144" s="756"/>
      <c r="M144" s="76"/>
    </row>
    <row r="145" spans="3:14" x14ac:dyDescent="0.25">
      <c r="C145" s="118"/>
      <c r="M145" s="76"/>
    </row>
    <row r="146" spans="3:14" ht="13.95" customHeight="1" x14ac:dyDescent="0.3">
      <c r="C146" s="43" t="s">
        <v>180</v>
      </c>
      <c r="L146" s="119"/>
    </row>
    <row r="147" spans="3:14" ht="13.95" customHeight="1" x14ac:dyDescent="0.25">
      <c r="C147" s="44" t="s">
        <v>181</v>
      </c>
      <c r="H147" s="534">
        <f>SUMIFS(INCOME!$F$11:$F$40,INCOME!C11:C40,"&lt;=20%")</f>
        <v>0</v>
      </c>
      <c r="L147" s="119"/>
    </row>
    <row r="148" spans="3:14" ht="13.95" customHeight="1" x14ac:dyDescent="0.25">
      <c r="C148" s="47"/>
      <c r="H148" s="723"/>
      <c r="L148" s="119"/>
    </row>
    <row r="149" spans="3:14" ht="13.95" customHeight="1" x14ac:dyDescent="0.25">
      <c r="C149" s="44" t="s">
        <v>182</v>
      </c>
      <c r="H149" s="534">
        <f>SUMIFS(INCOME!$F$11:$F$40,INCOME!C11:C40,"&gt;20%",INCOME!C11:C40,"&lt;=30%")</f>
        <v>0</v>
      </c>
      <c r="N149" s="694"/>
    </row>
    <row r="150" spans="3:14" ht="13.95" customHeight="1" x14ac:dyDescent="0.25">
      <c r="H150" s="724"/>
      <c r="N150" s="694"/>
    </row>
    <row r="151" spans="3:14" ht="13.95" customHeight="1" x14ac:dyDescent="0.25">
      <c r="C151" s="44" t="s">
        <v>183</v>
      </c>
      <c r="H151" s="534">
        <f>SUMIFS(INCOME!$F$11:$F$40,INCOME!C11:C40,"&gt;30%",INCOME!C11:C40,"&lt;=40%")</f>
        <v>0</v>
      </c>
      <c r="N151" s="694"/>
    </row>
    <row r="152" spans="3:14" ht="13.95" customHeight="1" x14ac:dyDescent="0.25">
      <c r="H152" s="724"/>
      <c r="N152" s="694"/>
    </row>
    <row r="153" spans="3:14" ht="13.95" customHeight="1" x14ac:dyDescent="0.25">
      <c r="C153" s="44" t="s">
        <v>184</v>
      </c>
      <c r="H153" s="534">
        <f>SUMIFS(INCOME!$F$11:$F$40,INCOME!C11:C40,"&gt;40%",INCOME!C11:C40,"&lt;=50%")</f>
        <v>0</v>
      </c>
      <c r="N153" s="694"/>
    </row>
    <row r="154" spans="3:14" ht="13.95" customHeight="1" x14ac:dyDescent="0.25">
      <c r="H154" s="724"/>
      <c r="N154" s="694"/>
    </row>
    <row r="155" spans="3:14" ht="13.95" customHeight="1" x14ac:dyDescent="0.25">
      <c r="C155" s="44" t="s">
        <v>185</v>
      </c>
      <c r="H155" s="534">
        <f>SUMIFS(INCOME!$F$11:$F$40,INCOME!C11:C40,"&gt;50%",INCOME!C11:C40,"&lt;=60%")</f>
        <v>0</v>
      </c>
      <c r="N155" s="694"/>
    </row>
    <row r="156" spans="3:14" ht="13.95" customHeight="1" x14ac:dyDescent="0.25">
      <c r="H156" s="724"/>
    </row>
    <row r="157" spans="3:14" ht="13.95" customHeight="1" x14ac:dyDescent="0.25">
      <c r="C157" s="44" t="s">
        <v>186</v>
      </c>
      <c r="H157" s="534">
        <f>SUMIFS(INCOME!$F$11:$F$40,INCOME!C11:C40,"&gt;60%",INCOME!C11:C40,"&lt;=70%")</f>
        <v>0</v>
      </c>
      <c r="J157" s="10"/>
      <c r="K157" s="10"/>
    </row>
    <row r="158" spans="3:14" ht="13.95" customHeight="1" x14ac:dyDescent="0.25">
      <c r="H158" s="724"/>
      <c r="I158" s="10"/>
      <c r="J158" s="10"/>
      <c r="K158" s="10"/>
    </row>
    <row r="159" spans="3:14" ht="13.95" customHeight="1" x14ac:dyDescent="0.25">
      <c r="C159" s="44" t="s">
        <v>187</v>
      </c>
      <c r="H159" s="534">
        <f>SUMIFS(INCOME!$F$11:$F$40,INCOME!C11:C40,"&gt;70%",INCOME!C11:C40,"&lt;=80%")</f>
        <v>0</v>
      </c>
    </row>
    <row r="160" spans="3:14" ht="13.95" customHeight="1" x14ac:dyDescent="0.25">
      <c r="H160" s="724"/>
      <c r="I160" s="10"/>
      <c r="J160" s="10"/>
      <c r="K160" s="10"/>
    </row>
    <row r="161" spans="3:14" ht="13.95" customHeight="1" x14ac:dyDescent="0.25">
      <c r="C161" s="44" t="s">
        <v>188</v>
      </c>
      <c r="H161" s="534">
        <f>INCOME!F59</f>
        <v>0</v>
      </c>
    </row>
    <row r="162" spans="3:14" ht="13.95" customHeight="1" x14ac:dyDescent="0.25">
      <c r="H162" s="724"/>
    </row>
    <row r="163" spans="3:14" ht="13.95" customHeight="1" x14ac:dyDescent="0.25">
      <c r="C163" s="44" t="s">
        <v>189</v>
      </c>
      <c r="H163" s="534">
        <f>INCOME!I93</f>
        <v>0</v>
      </c>
      <c r="I163" s="72"/>
      <c r="M163" s="39"/>
    </row>
    <row r="164" spans="3:14" ht="4.95" customHeight="1" x14ac:dyDescent="0.25">
      <c r="H164" s="234"/>
      <c r="M164" s="39"/>
    </row>
    <row r="165" spans="3:14" ht="13.95" customHeight="1" x14ac:dyDescent="0.3">
      <c r="C165" s="47" t="s">
        <v>190</v>
      </c>
      <c r="H165" s="357">
        <f>SUM(H147:H163)</f>
        <v>0</v>
      </c>
      <c r="I165" s="809" t="str">
        <f>IF($H165=$F131,"","Revise to equal ''Total Residential Units'' above")</f>
        <v/>
      </c>
      <c r="J165" s="24"/>
    </row>
    <row r="166" spans="3:14" ht="13.95" customHeight="1" x14ac:dyDescent="0.25">
      <c r="H166" s="212"/>
      <c r="J166" s="44"/>
      <c r="K166" s="44"/>
    </row>
    <row r="167" spans="3:14" ht="11.7" customHeight="1" x14ac:dyDescent="0.25">
      <c r="C167" s="43" t="s">
        <v>191</v>
      </c>
      <c r="H167" s="117"/>
      <c r="J167" s="44"/>
      <c r="K167" s="44"/>
    </row>
    <row r="168" spans="3:14" x14ac:dyDescent="0.25">
      <c r="C168" s="44" t="s">
        <v>2117</v>
      </c>
      <c r="D168" s="117"/>
      <c r="E168" s="117"/>
      <c r="F168" s="117"/>
      <c r="G168" s="117"/>
      <c r="H168" s="358"/>
    </row>
    <row r="169" spans="3:14" ht="12.75" customHeight="1" x14ac:dyDescent="0.25"/>
    <row r="170" spans="3:14" x14ac:dyDescent="0.25">
      <c r="C170" s="336" t="s">
        <v>192</v>
      </c>
      <c r="D170" s="234"/>
      <c r="E170" s="234"/>
      <c r="F170" s="234"/>
      <c r="G170" s="234"/>
      <c r="H170" s="234"/>
    </row>
    <row r="171" spans="3:14" ht="13.8" x14ac:dyDescent="0.3">
      <c r="C171" s="364" t="s">
        <v>193</v>
      </c>
      <c r="D171" s="322"/>
      <c r="E171" s="322"/>
      <c r="F171" s="322"/>
      <c r="H171" s="365"/>
      <c r="I171" s="365"/>
      <c r="J171" s="365"/>
      <c r="K171" s="365"/>
      <c r="L171" s="366"/>
      <c r="N171" s="695"/>
    </row>
    <row r="172" spans="3:14" x14ac:dyDescent="0.25">
      <c r="C172" s="231" t="s">
        <v>194</v>
      </c>
      <c r="D172" s="80"/>
      <c r="E172" s="80"/>
      <c r="F172" s="365"/>
      <c r="G172" s="365"/>
      <c r="L172" s="232"/>
    </row>
    <row r="173" spans="3:14" x14ac:dyDescent="0.25">
      <c r="C173" s="231"/>
      <c r="D173" s="7" t="s">
        <v>2120</v>
      </c>
      <c r="F173" s="1860"/>
      <c r="G173" s="1859"/>
      <c r="L173" s="232"/>
      <c r="N173" s="696" t="s">
        <v>196</v>
      </c>
    </row>
    <row r="174" spans="3:14" ht="12.75" customHeight="1" x14ac:dyDescent="0.25">
      <c r="C174" s="231"/>
      <c r="D174" s="7" t="s">
        <v>2119</v>
      </c>
      <c r="E174" s="53"/>
      <c r="F174" s="1858"/>
      <c r="G174" s="1859"/>
      <c r="H174" s="7" t="s">
        <v>2118</v>
      </c>
      <c r="J174" s="10"/>
      <c r="K174" s="334"/>
      <c r="L174" s="232"/>
      <c r="N174" s="696" t="s">
        <v>198</v>
      </c>
    </row>
    <row r="175" spans="3:14" ht="12.75" customHeight="1" x14ac:dyDescent="0.25">
      <c r="C175" s="231"/>
      <c r="D175" s="7" t="s">
        <v>2124</v>
      </c>
      <c r="E175" s="367"/>
      <c r="F175" s="367"/>
      <c r="G175" s="367"/>
      <c r="H175" s="52" t="s">
        <v>2123</v>
      </c>
      <c r="I175" s="368"/>
      <c r="J175" s="368"/>
      <c r="K175" s="368"/>
      <c r="L175" s="293"/>
      <c r="N175" s="696" t="s">
        <v>199</v>
      </c>
    </row>
    <row r="176" spans="3:14" x14ac:dyDescent="0.25">
      <c r="C176" s="231"/>
      <c r="D176" s="7" t="s">
        <v>200</v>
      </c>
      <c r="F176" s="746" t="s">
        <v>2122</v>
      </c>
      <c r="G176" s="369"/>
      <c r="H176" s="7" t="s">
        <v>2121</v>
      </c>
      <c r="I176" s="757"/>
      <c r="J176" s="273"/>
      <c r="K176" s="233"/>
      <c r="L176" s="232"/>
      <c r="N176" s="696" t="s">
        <v>201</v>
      </c>
    </row>
    <row r="177" spans="3:14" ht="13.8" x14ac:dyDescent="0.25">
      <c r="C177" s="370" t="s">
        <v>202</v>
      </c>
      <c r="D177" s="339"/>
      <c r="E177" s="38"/>
      <c r="F177" s="38"/>
      <c r="G177" s="339"/>
      <c r="H177" s="339"/>
      <c r="K177" s="274" t="str">
        <f>IF($G175&lt;=($D7+180),"","Provide number of and length of contract extensions")</f>
        <v/>
      </c>
      <c r="L177" s="371"/>
    </row>
    <row r="178" spans="3:14" x14ac:dyDescent="0.25">
      <c r="C178" s="231"/>
      <c r="D178" s="7" t="s">
        <v>203</v>
      </c>
      <c r="F178" s="360"/>
      <c r="L178" s="232"/>
    </row>
    <row r="179" spans="3:14" x14ac:dyDescent="0.25">
      <c r="C179" s="231"/>
      <c r="D179" s="234" t="s">
        <v>204</v>
      </c>
      <c r="E179" s="234"/>
      <c r="F179" s="234"/>
      <c r="G179" s="234"/>
      <c r="H179" s="234"/>
      <c r="I179" s="234"/>
      <c r="J179" s="234"/>
      <c r="K179" s="234"/>
      <c r="L179" s="232"/>
    </row>
    <row r="180" spans="3:14" x14ac:dyDescent="0.25">
      <c r="C180" s="231"/>
      <c r="D180" s="1861"/>
      <c r="E180" s="1862"/>
      <c r="F180" s="1863"/>
      <c r="G180" s="1863"/>
      <c r="H180" s="1863"/>
      <c r="I180" s="1863"/>
      <c r="J180" s="1863"/>
      <c r="K180" s="1864"/>
      <c r="L180" s="232"/>
    </row>
    <row r="181" spans="3:14" x14ac:dyDescent="0.25">
      <c r="C181" s="231"/>
      <c r="D181" s="1865"/>
      <c r="E181" s="1866"/>
      <c r="F181" s="1866"/>
      <c r="G181" s="1866"/>
      <c r="H181" s="1866"/>
      <c r="I181" s="1866"/>
      <c r="J181" s="1866"/>
      <c r="K181" s="1867"/>
      <c r="L181" s="232"/>
    </row>
    <row r="182" spans="3:14" x14ac:dyDescent="0.25">
      <c r="C182" s="231"/>
      <c r="D182" s="1868"/>
      <c r="E182" s="1869"/>
      <c r="F182" s="1869"/>
      <c r="G182" s="1869"/>
      <c r="H182" s="1869"/>
      <c r="I182" s="1869"/>
      <c r="J182" s="1869"/>
      <c r="K182" s="1870"/>
      <c r="L182" s="235"/>
    </row>
    <row r="183" spans="3:14" ht="15" customHeight="1" x14ac:dyDescent="0.3">
      <c r="C183" s="231"/>
      <c r="D183" s="1723" t="s">
        <v>2125</v>
      </c>
      <c r="E183" s="1716"/>
      <c r="F183" s="1717" t="s">
        <v>2126</v>
      </c>
      <c r="G183" s="1718"/>
      <c r="L183" s="1719" t="s">
        <v>205</v>
      </c>
    </row>
    <row r="184" spans="3:14" x14ac:dyDescent="0.25">
      <c r="C184" s="231"/>
      <c r="D184" s="1724" t="s">
        <v>206</v>
      </c>
      <c r="E184" s="1720"/>
      <c r="F184" s="1721"/>
      <c r="G184" s="1721"/>
      <c r="H184" s="1721"/>
      <c r="I184" s="1721"/>
      <c r="J184" s="1721"/>
      <c r="K184" s="1721"/>
      <c r="L184" s="1722"/>
      <c r="N184" s="697"/>
    </row>
    <row r="185" spans="3:14" x14ac:dyDescent="0.25">
      <c r="C185" s="231"/>
      <c r="D185" s="1724" t="s">
        <v>207</v>
      </c>
      <c r="E185" s="1720"/>
      <c r="F185" s="1721"/>
      <c r="G185" s="1721"/>
      <c r="H185" s="1721"/>
      <c r="I185" s="1721"/>
      <c r="J185" s="1721"/>
      <c r="K185" s="1721"/>
      <c r="L185" s="1722"/>
      <c r="N185" s="697"/>
    </row>
    <row r="186" spans="3:14" x14ac:dyDescent="0.25">
      <c r="C186" s="373"/>
      <c r="D186" s="373" t="s">
        <v>208</v>
      </c>
      <c r="E186" s="374"/>
      <c r="F186" s="234"/>
      <c r="G186" s="234"/>
      <c r="H186" s="234"/>
      <c r="I186" s="234"/>
      <c r="J186" s="234"/>
      <c r="K186" s="234"/>
      <c r="L186" s="372"/>
      <c r="N186" s="697"/>
    </row>
    <row r="187" spans="3:14" x14ac:dyDescent="0.25">
      <c r="C187" s="375" t="s">
        <v>209</v>
      </c>
      <c r="D187" s="322"/>
      <c r="E187" s="322"/>
      <c r="F187" s="322"/>
      <c r="G187" s="322"/>
      <c r="H187" s="322"/>
      <c r="I187" s="322"/>
      <c r="J187" s="322"/>
      <c r="K187" s="758"/>
      <c r="L187" s="376"/>
    </row>
    <row r="188" spans="3:14" x14ac:dyDescent="0.25">
      <c r="C188" s="375" t="s">
        <v>210</v>
      </c>
      <c r="D188" s="322"/>
      <c r="E188" s="322"/>
      <c r="F188" s="322"/>
      <c r="G188" s="322"/>
      <c r="H188" s="322"/>
      <c r="I188" s="322"/>
      <c r="J188" s="322"/>
      <c r="K188" s="758"/>
      <c r="L188" s="376"/>
    </row>
    <row r="189" spans="3:14" x14ac:dyDescent="0.25">
      <c r="C189" s="375" t="s">
        <v>211</v>
      </c>
      <c r="D189" s="322"/>
      <c r="E189" s="322"/>
      <c r="F189" s="322"/>
      <c r="G189" s="322"/>
      <c r="H189" s="322"/>
      <c r="I189" s="322"/>
      <c r="J189" s="322"/>
      <c r="K189" s="758"/>
      <c r="L189" s="376"/>
    </row>
    <row r="190" spans="3:14" x14ac:dyDescent="0.25">
      <c r="C190" s="375" t="s">
        <v>212</v>
      </c>
      <c r="D190" s="322"/>
      <c r="E190" s="322"/>
      <c r="F190" s="322"/>
      <c r="G190" s="322"/>
      <c r="H190" s="322"/>
      <c r="I190" s="322"/>
      <c r="J190" s="322"/>
      <c r="K190" s="758"/>
      <c r="L190" s="376"/>
    </row>
    <row r="191" spans="3:14" x14ac:dyDescent="0.25">
      <c r="C191" s="375" t="s">
        <v>213</v>
      </c>
      <c r="D191" s="322"/>
      <c r="E191" s="322"/>
      <c r="F191" s="322"/>
      <c r="G191" s="322"/>
      <c r="H191" s="322"/>
      <c r="I191" s="322"/>
      <c r="J191" s="322"/>
      <c r="K191" s="758"/>
      <c r="L191" s="376"/>
    </row>
    <row r="192" spans="3:14" x14ac:dyDescent="0.25">
      <c r="C192" s="375" t="s">
        <v>214</v>
      </c>
      <c r="K192" s="758"/>
      <c r="L192" s="376"/>
    </row>
    <row r="193" spans="3:16" x14ac:dyDescent="0.25">
      <c r="C193" s="375" t="s">
        <v>215</v>
      </c>
      <c r="D193" s="322"/>
      <c r="E193" s="322"/>
      <c r="F193" s="322"/>
      <c r="G193" s="322"/>
      <c r="H193" s="322"/>
      <c r="I193" s="322"/>
      <c r="J193" s="322"/>
      <c r="K193" s="758"/>
      <c r="L193" s="376"/>
    </row>
    <row r="194" spans="3:16" s="43" customFormat="1" ht="13.8" x14ac:dyDescent="0.3">
      <c r="C194" s="1247" t="s">
        <v>2624</v>
      </c>
      <c r="D194" s="1248"/>
      <c r="E194" s="1248"/>
      <c r="F194" s="1248"/>
      <c r="G194" s="1248"/>
      <c r="H194" s="377" t="s">
        <v>216</v>
      </c>
      <c r="I194" s="378">
        <f>(L196-L194)/30</f>
        <v>0</v>
      </c>
      <c r="J194" s="379" t="s">
        <v>217</v>
      </c>
      <c r="K194" s="1249"/>
      <c r="L194" s="380"/>
      <c r="N194" s="1250"/>
      <c r="O194" s="4"/>
      <c r="P194" s="4"/>
    </row>
    <row r="195" spans="3:16" x14ac:dyDescent="0.25">
      <c r="C195" s="375" t="s">
        <v>218</v>
      </c>
      <c r="D195" s="322"/>
      <c r="E195" s="322"/>
      <c r="F195" s="322"/>
      <c r="G195" s="322"/>
      <c r="H195" s="322"/>
      <c r="I195" s="322"/>
      <c r="J195" s="322"/>
      <c r="K195" s="758"/>
      <c r="L195" s="376"/>
    </row>
    <row r="196" spans="3:16" s="43" customFormat="1" ht="13.8" x14ac:dyDescent="0.3">
      <c r="C196" s="1247" t="s">
        <v>219</v>
      </c>
      <c r="D196" s="1248"/>
      <c r="E196" s="1248"/>
      <c r="F196" s="1248"/>
      <c r="G196" s="1248"/>
      <c r="H196" s="1248"/>
      <c r="I196" s="1248"/>
      <c r="J196" s="1248"/>
      <c r="K196" s="1249"/>
      <c r="L196" s="380"/>
      <c r="N196" s="1250"/>
      <c r="O196" s="4"/>
      <c r="P196" s="4"/>
    </row>
    <row r="197" spans="3:16" x14ac:dyDescent="0.25">
      <c r="C197" s="375" t="s">
        <v>220</v>
      </c>
      <c r="D197" s="322"/>
      <c r="E197" s="322"/>
      <c r="F197" s="322"/>
      <c r="G197" s="322"/>
      <c r="H197" s="322"/>
      <c r="I197" s="322"/>
      <c r="J197" s="322"/>
      <c r="K197" s="758"/>
      <c r="L197" s="376"/>
    </row>
    <row r="198" spans="3:16" x14ac:dyDescent="0.25">
      <c r="C198" s="375" t="s">
        <v>221</v>
      </c>
      <c r="E198" s="322"/>
      <c r="F198" s="322"/>
      <c r="G198" s="322"/>
      <c r="H198" s="322"/>
      <c r="I198" s="322"/>
      <c r="J198" s="322"/>
      <c r="K198" s="758"/>
      <c r="L198" s="376"/>
    </row>
    <row r="199" spans="3:16" ht="13.8" x14ac:dyDescent="0.3">
      <c r="C199" s="375" t="s">
        <v>2637</v>
      </c>
      <c r="D199" s="322"/>
      <c r="E199" s="322"/>
      <c r="F199" s="322"/>
      <c r="G199" s="322"/>
      <c r="H199" s="377" t="s">
        <v>2741</v>
      </c>
      <c r="I199" s="378">
        <f>(L199-L197)/30</f>
        <v>0</v>
      </c>
      <c r="J199" s="381" t="s">
        <v>217</v>
      </c>
      <c r="K199" s="758"/>
      <c r="L199" s="376"/>
    </row>
    <row r="200" spans="3:16" s="43" customFormat="1" ht="13.8" x14ac:dyDescent="0.3">
      <c r="C200" s="1247" t="s">
        <v>223</v>
      </c>
      <c r="D200" s="1248"/>
      <c r="E200" s="1248"/>
      <c r="F200" s="1248"/>
      <c r="G200" s="1248"/>
      <c r="H200" s="377" t="s">
        <v>224</v>
      </c>
      <c r="I200" s="378">
        <f>(L200-L194)/30+4</f>
        <v>4</v>
      </c>
      <c r="J200" s="381" t="s">
        <v>217</v>
      </c>
      <c r="K200" s="1249"/>
      <c r="L200" s="380"/>
      <c r="N200" s="1250"/>
      <c r="O200" s="4"/>
      <c r="P200" s="4"/>
    </row>
    <row r="201" spans="3:16" x14ac:dyDescent="0.25">
      <c r="C201" s="375"/>
      <c r="D201" s="234"/>
      <c r="E201" s="234"/>
      <c r="F201" s="234"/>
      <c r="G201" s="234"/>
      <c r="H201" s="382" t="s">
        <v>225</v>
      </c>
      <c r="I201" s="234"/>
      <c r="J201" s="234"/>
      <c r="K201" s="234"/>
      <c r="L201" s="323"/>
    </row>
  </sheetData>
  <sheetProtection algorithmName="SHA-512" hashValue="JznB/nMrtJ+MnlWQkBWTwk3LwW3OFcLenAqfqmCCJCNoI21WOMQ+nraBBRRXvZ8YG+UBtNrdUdRNiiDhmMr78Q==" saltValue="pdu4le7YAtLGY7FWyot3jg==" spinCount="100000" sheet="1" objects="1" scenarios="1"/>
  <customSheetViews>
    <customSheetView guid="{76F395A0-B7E9-4489-8589-E8786779257B}" showPageBreaks="1" zeroValues="0" hiddenColumns="1" view="pageLayout">
      <selection activeCell="A4" sqref="A4"/>
      <rowBreaks count="2" manualBreakCount="2">
        <brk id="55" max="16383" man="1"/>
        <brk id="103" max="16383" man="1"/>
      </rowBreaks>
      <pageMargins left="0" right="0" top="0" bottom="0" header="0" footer="0"/>
      <pageSetup scale="88" fitToHeight="3" orientation="portrait" useFirstPageNumber="1" horizontalDpi="1200" verticalDpi="1200"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zeroValues="0" view="pageBreakPreview" topLeftCell="A77">
      <selection activeCell="D101" sqref="D101:F101"/>
      <rowBreaks count="2" manualBreakCount="2">
        <brk id="55" max="16383" man="1"/>
        <brk id="103" max="16383" man="1"/>
      </rowBreaks>
      <pageMargins left="0" right="0" top="0" bottom="0" header="0" footer="0"/>
      <pageSetup scale="89" fitToHeight="3" orientation="portrait" useFirstPageNumber="1" horizontalDpi="4294967292" r:id="rId2"/>
      <headerFooter alignWithMargins="0">
        <oddFooter>&amp;L&amp;"Times New Roman,Italic"&amp;8CDA Form 202 revised 8/1/2013
&amp;C&amp;"Times New Roman,Italic"&amp;9&amp;P&amp;R&amp;"Times New Roman,Italic"&amp;8&amp;A:&amp;D</oddFooter>
      </headerFooter>
    </customSheetView>
    <customSheetView guid="{E132EC1F-F891-4922-AB90-4FA7835D9B5A}" showPageBreaks="1" zeroValues="0" view="pageBreakPreview" topLeftCell="A4">
      <selection activeCell="D5" sqref="D5"/>
      <rowBreaks count="2" manualBreakCount="2">
        <brk id="55" max="16383" man="1"/>
        <brk id="103" max="16383" man="1"/>
      </rowBreaks>
      <pageMargins left="0" right="0" top="0" bottom="0" header="0" footer="0"/>
      <pageSetup scale="89" fitToHeight="3" orientation="portrait" useFirstPageNumber="1" horizontalDpi="4294967292" r:id="rId3"/>
      <headerFooter alignWithMargins="0">
        <oddFooter>&amp;L&amp;"Times New Roman,Italic"&amp;8CDA Form 202 revised 8/1/2013
&amp;C&amp;"Times New Roman,Italic"&amp;9&amp;P&amp;R&amp;"Times New Roman,Italic"&amp;8&amp;A:&amp;D</oddFooter>
      </headerFooter>
    </customSheetView>
    <customSheetView guid="{602BBDD0-2A0B-434E-AE8E-4C472F9AEC01}" showPageBreaks="1" zeroValues="0" view="pageBreakPreview">
      <selection activeCell="B23" sqref="B23"/>
      <rowBreaks count="2" manualBreakCount="2">
        <brk id="55" max="16383" man="1"/>
        <brk id="103" max="16383" man="1"/>
      </rowBreaks>
      <pageMargins left="0" right="0" top="0" bottom="0" header="0" footer="0"/>
      <pageSetup scale="89" fitToHeight="3" orientation="portrait"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zeroValues="0" view="pageBreakPreview" showRuler="0">
      <selection activeCell="A4" sqref="A4"/>
      <rowBreaks count="2" manualBreakCount="2">
        <brk id="55" max="16383" man="1"/>
        <brk id="103" max="16383" man="1"/>
      </rowBreaks>
      <pageMargins left="0" right="0" top="0" bottom="0" header="0" footer="0"/>
      <pageSetup scale="89" fitToHeight="3" orientation="portrait"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zeroValues="0" view="pageBreakPreview" showRuler="0" topLeftCell="A22">
      <selection activeCell="F29" sqref="F29"/>
      <rowBreaks count="2" manualBreakCount="2">
        <brk id="55" max="16383" man="1"/>
        <brk id="103" max="16383" man="1"/>
      </rowBreaks>
      <pageMargins left="0" right="0" top="0" bottom="0" header="0" footer="0"/>
      <pageSetup scale="93" fitToHeight="3" orientation="portrait"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showPageBreaks="1" zeroValues="0" showRuler="0" topLeftCell="A172">
      <selection activeCell="H105" sqref="H105"/>
      <rowBreaks count="4" manualBreakCount="4">
        <brk id="52" max="16383" man="1"/>
        <brk id="103" max="16383" man="1"/>
        <brk id="155" max="16383" man="1"/>
        <brk id="208" max="16383" man="1"/>
      </rowBreaks>
      <pageMargins left="0" right="0" top="0" bottom="0" header="0" footer="0"/>
      <pageSetup orientation="portrait" blackAndWhite="1" useFirstPageNumber="1" horizontalDpi="4294967292" r:id="rId7"/>
      <headerFooter alignWithMargins="0"/>
    </customSheetView>
    <customSheetView guid="{714B32FB-A92F-4F7C-8495-8C3BCEB888AE}" scale="110" showPageBreaks="1" zeroValues="0" view="pageBreakPreview" showRuler="0">
      <selection activeCell="J1" sqref="J1"/>
      <rowBreaks count="2" manualBreakCount="2">
        <brk id="55" max="16383" man="1"/>
        <brk id="103" max="16383" man="1"/>
      </rowBreaks>
      <pageMargins left="0" right="0" top="0" bottom="0" header="0" footer="0"/>
      <pageSetup scale="95" fitToHeight="3" orientation="portrait"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zeroValues="0" view="pageBreakPreview" showRuler="0">
      <selection activeCell="A4" sqref="A4"/>
      <rowBreaks count="2" manualBreakCount="2">
        <brk id="55" max="16383" man="1"/>
        <brk id="103" max="16383" man="1"/>
      </rowBreaks>
      <pageMargins left="0" right="0" top="0" bottom="0" header="0" footer="0"/>
      <pageSetup scale="89" fitToHeight="3" orientation="portrait"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zeroValues="0" view="pageBreakPreview" topLeftCell="A122">
      <selection activeCell="E117" sqref="E117"/>
      <rowBreaks count="2" manualBreakCount="2">
        <brk id="55" max="16383" man="1"/>
        <brk id="103" max="16383" man="1"/>
      </rowBreaks>
      <pageMargins left="0" right="0" top="0" bottom="0" header="0" footer="0"/>
      <pageSetup scale="89" fitToHeight="3" orientation="portrait"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zeroValues="0" view="pageBreakPreview">
      <selection activeCell="B23" sqref="B23"/>
      <rowBreaks count="2" manualBreakCount="2">
        <brk id="55" max="16383" man="1"/>
        <brk id="103" max="16383" man="1"/>
      </rowBreaks>
      <pageMargins left="0" right="0" top="0" bottom="0" header="0" footer="0"/>
      <pageSetup scale="89" fitToHeight="3" orientation="portrait"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zeroValues="0" view="pageBreakPreview">
      <selection activeCell="D15" sqref="D15"/>
      <rowBreaks count="2" manualBreakCount="2">
        <brk id="56" max="16383" man="1"/>
        <brk id="104" max="16383" man="1"/>
      </rowBreaks>
      <pageMargins left="0" right="0" top="0" bottom="0" header="0" footer="0"/>
      <pageSetup scale="89" fitToHeight="3" orientation="portrait"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zeroValues="0" view="pageBreakPreview">
      <selection activeCell="D5" sqref="D5"/>
      <rowBreaks count="2" manualBreakCount="2">
        <brk id="55" max="16383" man="1"/>
        <brk id="103" max="16383" man="1"/>
      </rowBreaks>
      <pageMargins left="0" right="0" top="0" bottom="0" header="0" footer="0"/>
      <pageSetup scale="89" fitToHeight="3" orientation="portrait" useFirstPageNumber="1" horizontalDpi="4294967292" r:id="rId13"/>
      <headerFooter alignWithMargins="0">
        <oddFooter>&amp;L&amp;"Times New Roman,Italic"&amp;8CDA Form 202 revised 7/2013
&amp;C&amp;"Times New Roman,Italic"&amp;9&amp;P&amp;R&amp;"Times New Roman,Italic"&amp;8&amp;A:&amp;D</oddFooter>
      </headerFooter>
    </customSheetView>
    <customSheetView guid="{8142EFA3-2DB8-4FA0-90CC-65C61CCEFD62}" showPageBreaks="1" zeroValues="0" view="pageBreakPreview">
      <selection activeCell="D5" sqref="D5"/>
      <rowBreaks count="2" manualBreakCount="2">
        <brk id="55" max="16383" man="1"/>
        <brk id="103" max="16383" man="1"/>
      </rowBreaks>
      <pageMargins left="0" right="0" top="0" bottom="0" header="0" footer="0"/>
      <pageSetup scale="89" fitToHeight="3" orientation="portrait" useFirstPageNumber="1" horizontalDpi="4294967292" r:id="rId14"/>
      <headerFooter alignWithMargins="0">
        <oddFooter>&amp;L&amp;"Times New Roman,Italic"&amp;8CDA Form 202 revised 7/2013
&amp;C&amp;"Times New Roman,Italic"&amp;9&amp;P&amp;R&amp;"Times New Roman,Italic"&amp;8&amp;A:&amp;D</oddFooter>
      </headerFooter>
    </customSheetView>
  </customSheetViews>
  <mergeCells count="31">
    <mergeCell ref="J82:L87"/>
    <mergeCell ref="D2:K3"/>
    <mergeCell ref="C26:D26"/>
    <mergeCell ref="C27:D27"/>
    <mergeCell ref="C29:D29"/>
    <mergeCell ref="C30:D30"/>
    <mergeCell ref="C24:D24"/>
    <mergeCell ref="J14:K16"/>
    <mergeCell ref="C25:D25"/>
    <mergeCell ref="C28:D28"/>
    <mergeCell ref="J12:K12"/>
    <mergeCell ref="L14:L16"/>
    <mergeCell ref="C70:L77"/>
    <mergeCell ref="K63:K64"/>
    <mergeCell ref="L63:L64"/>
    <mergeCell ref="C31:D31"/>
    <mergeCell ref="F174:G174"/>
    <mergeCell ref="F173:G173"/>
    <mergeCell ref="D180:K182"/>
    <mergeCell ref="C105:D107"/>
    <mergeCell ref="K137:L137"/>
    <mergeCell ref="C141:D141"/>
    <mergeCell ref="C138:D138"/>
    <mergeCell ref="C139:D139"/>
    <mergeCell ref="G127:G133"/>
    <mergeCell ref="C142:D142"/>
    <mergeCell ref="H110:J111"/>
    <mergeCell ref="K138:L138"/>
    <mergeCell ref="K110:K111"/>
    <mergeCell ref="G138:I138"/>
    <mergeCell ref="G137:I137"/>
  </mergeCells>
  <phoneticPr fontId="19" type="noConversion"/>
  <dataValidations count="16">
    <dataValidation type="list" allowBlank="1" showInputMessage="1" showErrorMessage="1" sqref="K110 F106 G183 H168 F111:F113 L65:L67 H32:H33 F173 K174 H24:H29" xr:uid="{00000000-0002-0000-0200-000000000000}">
      <formula1>"Yes, No"</formula1>
    </dataValidation>
    <dataValidation type="list" allowBlank="1" showInputMessage="1" showErrorMessage="1" sqref="F12:F13 C12:C13 C58:C60 F58:F59 I58:I59 F82:F87 C82:C87 C91:C92 F91:F92" xr:uid="{00000000-0002-0000-0200-000001000000}">
      <formula1>$N$11:$N$12</formula1>
    </dataValidation>
    <dataValidation type="list" allowBlank="1" showInputMessage="1" showErrorMessage="1" sqref="L12" xr:uid="{00000000-0002-0000-0200-000002000000}">
      <formula1>$N$18:$N$22</formula1>
    </dataValidation>
    <dataValidation type="list" errorStyle="warning" showInputMessage="1" showErrorMessage="1" errorTitle="SmartDox" error="The value you entered for the dropdown is not valid." sqref="F174:G174" xr:uid="{00000000-0002-0000-0200-000003000000}">
      <formula1>$N$172:$N$176</formula1>
    </dataValidation>
    <dataValidation type="list" allowBlank="1" showInputMessage="1" showErrorMessage="1" sqref="D9" xr:uid="{00000000-0002-0000-0200-000004000000}">
      <formula1>$N$5:$N$9</formula1>
    </dataValidation>
    <dataValidation type="list" allowBlank="1" showInputMessage="1" showErrorMessage="1" sqref="K138 G138:I138" xr:uid="{00000000-0002-0000-0200-000005000000}">
      <formula1>$N$137:$N$142</formula1>
    </dataValidation>
    <dataValidation type="list" allowBlank="1" showInputMessage="1" showErrorMessage="1" sqref="D141:E142" xr:uid="{00000000-0002-0000-0200-000006000000}">
      <formula1>$U$137:$U$144</formula1>
    </dataValidation>
    <dataValidation type="list" allowBlank="1" showInputMessage="1" showErrorMessage="1" sqref="L14:L16" xr:uid="{00000000-0002-0000-0200-000007000000}">
      <formula1>$N$24:$N$27</formula1>
    </dataValidation>
    <dataValidation type="whole" operator="lessThan" allowBlank="1" showInputMessage="1" showErrorMessage="1" promptTitle="TIN" prompt="Enter 9 number TIN only without &quot;-&quot;" sqref="H65:H67 F55" xr:uid="{C1E0AA80-F7F8-4B08-9C18-09AFFE4578B1}">
      <formula1>1000000000</formula1>
    </dataValidation>
    <dataValidation type="whole" allowBlank="1" showInputMessage="1" showErrorMessage="1" error="Enter Number of Units by type" sqref="C96:C97" xr:uid="{9D4D65C9-7209-40CF-A466-E9A40A480E70}">
      <formula1>0</formula1>
      <formula2>99999</formula2>
    </dataValidation>
    <dataValidation type="list" allowBlank="1" showInputMessage="1" showErrorMessage="1" sqref="H85:H87" xr:uid="{DAACBEAF-A0A1-420A-AE5B-517B6C12566F}">
      <formula1>$P$88:$P$90</formula1>
    </dataValidation>
    <dataValidation type="list" allowBlank="1" showInputMessage="1" showErrorMessage="1" sqref="I48" xr:uid="{845E276A-D67E-4FFA-B5B0-88082773F5B5}">
      <formula1>$P$39:$P$86</formula1>
    </dataValidation>
    <dataValidation type="list" allowBlank="1" showInputMessage="1" showErrorMessage="1" sqref="C15" xr:uid="{7AE8BD0E-27B5-4345-9888-B92B8CD8FFA2}">
      <formula1>$P$20:$P$22</formula1>
    </dataValidation>
    <dataValidation type="list" allowBlank="1" showInputMessage="1" showErrorMessage="1" sqref="F15" xr:uid="{11B30F7D-9B59-488A-875F-97BF4BF7D560}">
      <formula1>$P$13:$P$17</formula1>
    </dataValidation>
    <dataValidation type="whole" operator="greaterThanOrEqual" allowBlank="1" showInputMessage="1" showErrorMessage="1" sqref="K118:K121 K123:K130 H144" xr:uid="{978F2DA1-CB37-4476-AF29-9C0C49BCC89A}">
      <formula1>0</formula1>
    </dataValidation>
    <dataValidation type="date" operator="greaterThan" allowBlank="1" showInputMessage="1" showErrorMessage="1" sqref="L187:L200" xr:uid="{098D3D86-4141-4B15-A710-17B7B6886C5E}">
      <formula1>367</formula1>
    </dataValidation>
  </dataValidations>
  <pageMargins left="0.25" right="0.25" top="0.25" bottom="0.25" header="0.25" footer="0.25"/>
  <pageSetup scale="51" fitToHeight="0" orientation="portrait" useFirstPageNumber="1" r:id="rId15"/>
  <headerFooter scaleWithDoc="0" alignWithMargins="0"/>
  <ignoredErrors>
    <ignoredError sqref="G127 I165" unlockedFormula="1"/>
  </ignoredErrors>
  <drawing r:id="rId16"/>
  <extLst>
    <ext xmlns:x14="http://schemas.microsoft.com/office/spreadsheetml/2009/9/main" uri="{CCE6A557-97BC-4b89-ADB6-D9C93CAAB3DF}">
      <x14:dataValidations xmlns:xm="http://schemas.microsoft.com/office/excel/2006/main" count="3">
        <x14:dataValidation type="list" allowBlank="1" showInputMessage="1" showErrorMessage="1" xr:uid="{DD16F239-BB72-42AB-8AFA-FB8E42359FDD}">
          <x14:formula1>
            <xm:f>MAPPING!$A$951:$A$958</xm:f>
          </x14:formula1>
          <xm:sqref>F42</xm:sqref>
        </x14:dataValidation>
        <x14:dataValidation type="list" allowBlank="1" showInputMessage="1" showErrorMessage="1" xr:uid="{0468DC0E-FE6C-4E41-9027-65A14BC946E4}">
          <x14:formula1>
            <xm:f>MAPPING!$B$951:$B$1032</xm:f>
          </x14:formula1>
          <xm:sqref>J42</xm:sqref>
        </x14:dataValidation>
        <x14:dataValidation type="list" allowBlank="1" showInputMessage="1" showErrorMessage="1" xr:uid="{FD910DB7-6477-401D-A7FC-FDEE566955E8}">
          <x14:formula1>
            <xm:f>MAPPING!$C$951:$C$974</xm:f>
          </x14:formula1>
          <xm:sqref>J40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3">
    <tabColor rgb="FFFF0000"/>
    <pageSetUpPr fitToPage="1"/>
  </sheetPr>
  <dimension ref="B1:AX49"/>
  <sheetViews>
    <sheetView showGridLines="0" view="pageBreakPreview" zoomScale="140" zoomScaleNormal="100" zoomScaleSheetLayoutView="140" workbookViewId="0">
      <selection activeCell="L48" sqref="L48"/>
    </sheetView>
  </sheetViews>
  <sheetFormatPr defaultColWidth="9" defaultRowHeight="13.2" x14ac:dyDescent="0.25"/>
  <cols>
    <col min="1" max="1" width="3.44140625" style="7" customWidth="1"/>
    <col min="2" max="16384" width="9" style="7"/>
  </cols>
  <sheetData>
    <row r="1" spans="2:22" x14ac:dyDescent="0.25">
      <c r="B1" s="79" t="s">
        <v>2008</v>
      </c>
    </row>
    <row r="2" spans="2:22" x14ac:dyDescent="0.25">
      <c r="B2" s="79"/>
    </row>
    <row r="3" spans="2:22" ht="18" x14ac:dyDescent="0.35">
      <c r="B3" s="90" t="s">
        <v>1</v>
      </c>
      <c r="V3" s="120">
        <f>projname</f>
        <v>0</v>
      </c>
    </row>
    <row r="4" spans="2:22" x14ac:dyDescent="0.25">
      <c r="U4" s="29" t="s">
        <v>227</v>
      </c>
      <c r="V4" s="384">
        <f>GENERAL!D7</f>
        <v>0</v>
      </c>
    </row>
    <row r="49" spans="2:50" ht="20.399999999999999" x14ac:dyDescent="0.35">
      <c r="B49" s="684"/>
      <c r="V49" s="684"/>
      <c r="AJ49" s="684"/>
      <c r="AX49" s="684"/>
    </row>
  </sheetData>
  <pageMargins left="0.25" right="0.25" top="0.25" bottom="0.25" header="0.25" footer="0.25"/>
  <pageSetup scale="71" fitToHeight="0" orientation="landscape" useFirstPageNumber="1" r:id="rId1"/>
  <headerFooter scaleWithDoc="0" alignWithMargins="0"/>
  <ignoredErrors>
    <ignoredError sqref="V3:V4"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0C8D9-3AC9-45F7-9EAD-8F0E809B89B2}">
  <sheetPr transitionEvaluation="1" codeName="Sheet18">
    <tabColor rgb="FF0000FF"/>
    <pageSetUpPr fitToPage="1"/>
  </sheetPr>
  <dimension ref="C3:AY112"/>
  <sheetViews>
    <sheetView showGridLines="0" view="pageBreakPreview" zoomScale="90" zoomScaleNormal="100" zoomScaleSheetLayoutView="90" workbookViewId="0">
      <selection activeCell="H13" sqref="H13"/>
    </sheetView>
  </sheetViews>
  <sheetFormatPr defaultColWidth="11.77734375" defaultRowHeight="13.2" x14ac:dyDescent="0.25"/>
  <cols>
    <col min="1" max="2" width="2.77734375" style="7" customWidth="1"/>
    <col min="3" max="3" width="14" style="7" customWidth="1"/>
    <col min="4" max="4" width="32.44140625" style="7" customWidth="1"/>
    <col min="5" max="6" width="21" style="7" customWidth="1"/>
    <col min="7" max="7" width="19.44140625" style="7" customWidth="1"/>
    <col min="8" max="14" width="17.109375" style="7" customWidth="1"/>
    <col min="15" max="15" width="16.109375" style="7" customWidth="1"/>
    <col min="16" max="16" width="17.44140625" style="7" customWidth="1"/>
    <col min="17" max="17" width="8.44140625" style="7" customWidth="1"/>
    <col min="18" max="19" width="11.77734375" hidden="1" customWidth="1"/>
    <col min="20" max="20" width="0" style="7" hidden="1" customWidth="1"/>
    <col min="21" max="16384" width="11.77734375" style="7"/>
  </cols>
  <sheetData>
    <row r="3" spans="3:51" ht="18" x14ac:dyDescent="0.35">
      <c r="C3" s="1139" t="s">
        <v>226</v>
      </c>
      <c r="D3" s="312"/>
      <c r="E3" s="312"/>
      <c r="F3" s="312"/>
      <c r="G3" s="312"/>
      <c r="H3" s="312"/>
      <c r="I3" s="312"/>
      <c r="J3" s="312"/>
      <c r="K3" s="312"/>
      <c r="L3" s="312"/>
      <c r="M3" s="312"/>
      <c r="N3" s="312"/>
      <c r="O3" s="312"/>
      <c r="P3" s="876"/>
    </row>
    <row r="4" spans="3:51" ht="12.75" customHeight="1" x14ac:dyDescent="0.25">
      <c r="E4" s="69"/>
      <c r="F4" s="69"/>
      <c r="G4" s="69"/>
      <c r="P4" s="383">
        <f>projname</f>
        <v>0</v>
      </c>
    </row>
    <row r="5" spans="3:51" ht="12.75" customHeight="1" x14ac:dyDescent="0.25">
      <c r="C5" s="47"/>
      <c r="D5" s="69"/>
      <c r="E5" s="69"/>
      <c r="F5" s="69"/>
      <c r="G5" s="69"/>
      <c r="O5" s="29" t="s">
        <v>227</v>
      </c>
      <c r="P5" s="384">
        <f>GENERAL!D7</f>
        <v>0</v>
      </c>
    </row>
    <row r="7" spans="3:51" x14ac:dyDescent="0.25">
      <c r="C7" s="336" t="s">
        <v>228</v>
      </c>
      <c r="D7" s="234"/>
      <c r="E7" s="234"/>
      <c r="F7" s="234"/>
      <c r="G7" s="385"/>
      <c r="H7" s="234"/>
      <c r="I7" s="234"/>
      <c r="J7" s="234"/>
      <c r="K7" s="234"/>
      <c r="L7" s="234"/>
      <c r="M7" s="234"/>
      <c r="N7" s="234"/>
      <c r="O7" s="234"/>
      <c r="P7" s="234"/>
    </row>
    <row r="8" spans="3:51" x14ac:dyDescent="0.25">
      <c r="C8" s="44"/>
    </row>
    <row r="9" spans="3:51" ht="54.75" customHeight="1" x14ac:dyDescent="0.25">
      <c r="C9" s="318" t="s">
        <v>229</v>
      </c>
      <c r="D9" s="386" t="s">
        <v>230</v>
      </c>
      <c r="E9" s="320" t="s">
        <v>38</v>
      </c>
      <c r="F9" s="321" t="s">
        <v>55</v>
      </c>
      <c r="G9" s="387" t="s">
        <v>56</v>
      </c>
      <c r="H9" s="388" t="s">
        <v>190</v>
      </c>
      <c r="I9" s="388" t="s">
        <v>232</v>
      </c>
      <c r="J9" s="388" t="s">
        <v>233</v>
      </c>
      <c r="K9" s="388" t="s">
        <v>234</v>
      </c>
      <c r="L9" s="388" t="s">
        <v>235</v>
      </c>
      <c r="M9" s="388" t="s">
        <v>236</v>
      </c>
      <c r="N9" s="388" t="s">
        <v>237</v>
      </c>
      <c r="O9" s="388" t="s">
        <v>2227</v>
      </c>
      <c r="P9" s="388" t="s">
        <v>2634</v>
      </c>
    </row>
    <row r="10" spans="3:51" customFormat="1" x14ac:dyDescent="0.25">
      <c r="C10" s="389"/>
      <c r="D10" s="390"/>
      <c r="E10" s="319"/>
      <c r="F10" s="391"/>
      <c r="G10" s="392"/>
      <c r="H10" s="393"/>
      <c r="I10" s="393"/>
      <c r="J10" s="394">
        <f>IFERROR(I10/H10,0)</f>
        <v>0</v>
      </c>
      <c r="K10" s="395"/>
      <c r="L10" s="395"/>
      <c r="M10" s="394">
        <f>IFERROR(L10/K10,0)</f>
        <v>0</v>
      </c>
      <c r="N10" s="396">
        <f>MIN(J10,M10)</f>
        <v>0</v>
      </c>
      <c r="O10" s="397"/>
      <c r="P10" s="393"/>
      <c r="Q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3:51" customFormat="1" x14ac:dyDescent="0.25">
      <c r="C11" s="389"/>
      <c r="D11" s="390"/>
      <c r="E11" s="391"/>
      <c r="F11" s="391"/>
      <c r="G11" s="392"/>
      <c r="H11" s="393"/>
      <c r="I11" s="393"/>
      <c r="J11" s="394">
        <f>IFERROR(I11/H11,0)</f>
        <v>0</v>
      </c>
      <c r="K11" s="395"/>
      <c r="L11" s="395"/>
      <c r="M11" s="394">
        <f t="shared" ref="M11:M29" si="0">IFERROR(L11/K11,0)</f>
        <v>0</v>
      </c>
      <c r="N11" s="396">
        <f t="shared" ref="N11:N29" si="1">MIN(J11,M11)</f>
        <v>0</v>
      </c>
      <c r="O11" s="397"/>
      <c r="P11" s="393"/>
      <c r="Q11" s="7"/>
      <c r="S11" t="s">
        <v>152</v>
      </c>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3:51" customFormat="1" x14ac:dyDescent="0.25">
      <c r="C12" s="389"/>
      <c r="D12" s="390"/>
      <c r="E12" s="391"/>
      <c r="F12" s="391"/>
      <c r="G12" s="392"/>
      <c r="H12" s="393"/>
      <c r="I12" s="393"/>
      <c r="J12" s="394">
        <f t="shared" ref="J12:J29" si="2">IFERROR(I12/H12,0)</f>
        <v>0</v>
      </c>
      <c r="K12" s="395"/>
      <c r="L12" s="395"/>
      <c r="M12" s="394">
        <f t="shared" si="0"/>
        <v>0</v>
      </c>
      <c r="N12" s="396">
        <f t="shared" si="1"/>
        <v>0</v>
      </c>
      <c r="O12" s="397"/>
      <c r="P12" s="393"/>
      <c r="Q12" s="7"/>
      <c r="S12" t="s">
        <v>153</v>
      </c>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3:51" customFormat="1" x14ac:dyDescent="0.25">
      <c r="C13" s="389"/>
      <c r="D13" s="390"/>
      <c r="E13" s="391"/>
      <c r="F13" s="391"/>
      <c r="G13" s="392"/>
      <c r="H13" s="393"/>
      <c r="I13" s="393"/>
      <c r="J13" s="394">
        <f t="shared" si="2"/>
        <v>0</v>
      </c>
      <c r="K13" s="395"/>
      <c r="L13" s="395"/>
      <c r="M13" s="394">
        <f t="shared" si="0"/>
        <v>0</v>
      </c>
      <c r="N13" s="396">
        <f t="shared" si="1"/>
        <v>0</v>
      </c>
      <c r="O13" s="397"/>
      <c r="P13" s="393"/>
      <c r="Q13" s="7"/>
      <c r="S13" t="s">
        <v>154</v>
      </c>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3:51" customFormat="1" x14ac:dyDescent="0.25">
      <c r="C14" s="389"/>
      <c r="D14" s="390"/>
      <c r="E14" s="391"/>
      <c r="F14" s="391"/>
      <c r="G14" s="392"/>
      <c r="H14" s="393"/>
      <c r="I14" s="393"/>
      <c r="J14" s="394">
        <f t="shared" si="2"/>
        <v>0</v>
      </c>
      <c r="K14" s="395"/>
      <c r="L14" s="395"/>
      <c r="M14" s="394">
        <f t="shared" si="0"/>
        <v>0</v>
      </c>
      <c r="N14" s="396">
        <f t="shared" si="1"/>
        <v>0</v>
      </c>
      <c r="O14" s="397"/>
      <c r="P14" s="393"/>
      <c r="Q14" s="7"/>
      <c r="S14" t="s">
        <v>156</v>
      </c>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3:51" customFormat="1" x14ac:dyDescent="0.25">
      <c r="C15" s="389"/>
      <c r="D15" s="390"/>
      <c r="E15" s="391"/>
      <c r="F15" s="391"/>
      <c r="G15" s="392"/>
      <c r="H15" s="393"/>
      <c r="I15" s="393"/>
      <c r="J15" s="394">
        <f>IFERROR(I15/H15,0)</f>
        <v>0</v>
      </c>
      <c r="K15" s="395"/>
      <c r="L15" s="395"/>
      <c r="M15" s="394">
        <f t="shared" si="0"/>
        <v>0</v>
      </c>
      <c r="N15" s="396">
        <f t="shared" si="1"/>
        <v>0</v>
      </c>
      <c r="O15" s="397"/>
      <c r="P15" s="393"/>
      <c r="Q15" s="7"/>
      <c r="S15" t="s">
        <v>158</v>
      </c>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3:51" customFormat="1" x14ac:dyDescent="0.25">
      <c r="C16" s="389"/>
      <c r="D16" s="390"/>
      <c r="E16" s="391"/>
      <c r="F16" s="391"/>
      <c r="G16" s="392"/>
      <c r="H16" s="393"/>
      <c r="I16" s="393"/>
      <c r="J16" s="394">
        <f t="shared" si="2"/>
        <v>0</v>
      </c>
      <c r="K16" s="395"/>
      <c r="L16" s="395"/>
      <c r="M16" s="394">
        <f t="shared" si="0"/>
        <v>0</v>
      </c>
      <c r="N16" s="396">
        <f t="shared" si="1"/>
        <v>0</v>
      </c>
      <c r="O16" s="397"/>
      <c r="P16" s="393"/>
      <c r="Q16" s="7"/>
      <c r="S16" t="s">
        <v>160</v>
      </c>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3:51" customFormat="1" x14ac:dyDescent="0.25">
      <c r="C17" s="389"/>
      <c r="D17" s="390"/>
      <c r="E17" s="391"/>
      <c r="F17" s="391"/>
      <c r="G17" s="392"/>
      <c r="H17" s="393"/>
      <c r="I17" s="393"/>
      <c r="J17" s="394">
        <f t="shared" si="2"/>
        <v>0</v>
      </c>
      <c r="K17" s="395"/>
      <c r="L17" s="395"/>
      <c r="M17" s="394">
        <f t="shared" si="0"/>
        <v>0</v>
      </c>
      <c r="N17" s="396">
        <f t="shared" si="1"/>
        <v>0</v>
      </c>
      <c r="O17" s="397"/>
      <c r="P17" s="393"/>
      <c r="Q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3:51" customFormat="1" x14ac:dyDescent="0.25">
      <c r="C18" s="389"/>
      <c r="D18" s="390"/>
      <c r="E18" s="391"/>
      <c r="F18" s="391"/>
      <c r="G18" s="392"/>
      <c r="H18" s="393"/>
      <c r="I18" s="393"/>
      <c r="J18" s="394">
        <f t="shared" si="2"/>
        <v>0</v>
      </c>
      <c r="K18" s="395"/>
      <c r="L18" s="395"/>
      <c r="M18" s="394">
        <f t="shared" si="0"/>
        <v>0</v>
      </c>
      <c r="N18" s="396">
        <f t="shared" si="1"/>
        <v>0</v>
      </c>
      <c r="O18" s="397"/>
      <c r="P18" s="393"/>
      <c r="Q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3:51" customFormat="1" x14ac:dyDescent="0.25">
      <c r="C19" s="389"/>
      <c r="D19" s="390"/>
      <c r="E19" s="391"/>
      <c r="F19" s="391"/>
      <c r="G19" s="392"/>
      <c r="H19" s="393"/>
      <c r="I19" s="393"/>
      <c r="J19" s="394">
        <f t="shared" si="2"/>
        <v>0</v>
      </c>
      <c r="K19" s="395"/>
      <c r="L19" s="395"/>
      <c r="M19" s="394">
        <f t="shared" si="0"/>
        <v>0</v>
      </c>
      <c r="N19" s="396">
        <f t="shared" si="1"/>
        <v>0</v>
      </c>
      <c r="O19" s="397"/>
      <c r="P19" s="393"/>
      <c r="Q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3:51" customFormat="1" x14ac:dyDescent="0.25">
      <c r="C20" s="389"/>
      <c r="D20" s="390"/>
      <c r="E20" s="391"/>
      <c r="F20" s="391"/>
      <c r="G20" s="392"/>
      <c r="H20" s="393"/>
      <c r="I20" s="393"/>
      <c r="J20" s="394">
        <f t="shared" si="2"/>
        <v>0</v>
      </c>
      <c r="K20" s="395"/>
      <c r="L20" s="395"/>
      <c r="M20" s="394">
        <f t="shared" si="0"/>
        <v>0</v>
      </c>
      <c r="N20" s="396">
        <f t="shared" si="1"/>
        <v>0</v>
      </c>
      <c r="O20" s="397"/>
      <c r="P20" s="393"/>
      <c r="Q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3:51" customFormat="1" x14ac:dyDescent="0.25">
      <c r="C21" s="389"/>
      <c r="D21" s="390"/>
      <c r="E21" s="391"/>
      <c r="F21" s="391"/>
      <c r="G21" s="392"/>
      <c r="H21" s="393"/>
      <c r="I21" s="393"/>
      <c r="J21" s="394">
        <f t="shared" si="2"/>
        <v>0</v>
      </c>
      <c r="K21" s="395"/>
      <c r="L21" s="395"/>
      <c r="M21" s="394">
        <f t="shared" si="0"/>
        <v>0</v>
      </c>
      <c r="N21" s="396">
        <f t="shared" si="1"/>
        <v>0</v>
      </c>
      <c r="O21" s="397"/>
      <c r="P21" s="393"/>
      <c r="Q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3:51" customFormat="1" x14ac:dyDescent="0.25">
      <c r="C22" s="389"/>
      <c r="D22" s="390"/>
      <c r="E22" s="391"/>
      <c r="F22" s="391"/>
      <c r="G22" s="392"/>
      <c r="H22" s="393"/>
      <c r="I22" s="393"/>
      <c r="J22" s="394">
        <f t="shared" si="2"/>
        <v>0</v>
      </c>
      <c r="K22" s="395"/>
      <c r="L22" s="395"/>
      <c r="M22" s="394">
        <f t="shared" si="0"/>
        <v>0</v>
      </c>
      <c r="N22" s="396">
        <f t="shared" si="1"/>
        <v>0</v>
      </c>
      <c r="O22" s="397"/>
      <c r="P22" s="393"/>
      <c r="Q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3:51" customFormat="1" x14ac:dyDescent="0.25">
      <c r="C23" s="389"/>
      <c r="D23" s="390"/>
      <c r="E23" s="391"/>
      <c r="F23" s="391"/>
      <c r="G23" s="392"/>
      <c r="H23" s="393"/>
      <c r="I23" s="393"/>
      <c r="J23" s="394">
        <f t="shared" si="2"/>
        <v>0</v>
      </c>
      <c r="K23" s="395"/>
      <c r="L23" s="395"/>
      <c r="M23" s="394">
        <f t="shared" si="0"/>
        <v>0</v>
      </c>
      <c r="N23" s="396">
        <f t="shared" si="1"/>
        <v>0</v>
      </c>
      <c r="O23" s="397"/>
      <c r="P23" s="393"/>
      <c r="Q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3:51" customFormat="1" x14ac:dyDescent="0.25">
      <c r="C24" s="389"/>
      <c r="D24" s="390"/>
      <c r="E24" s="391"/>
      <c r="F24" s="391"/>
      <c r="G24" s="392"/>
      <c r="H24" s="393"/>
      <c r="I24" s="393"/>
      <c r="J24" s="394">
        <f t="shared" si="2"/>
        <v>0</v>
      </c>
      <c r="K24" s="395"/>
      <c r="L24" s="395"/>
      <c r="M24" s="394">
        <f t="shared" si="0"/>
        <v>0</v>
      </c>
      <c r="N24" s="396">
        <f t="shared" si="1"/>
        <v>0</v>
      </c>
      <c r="O24" s="397"/>
      <c r="P24" s="393"/>
      <c r="Q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3:51" customFormat="1" x14ac:dyDescent="0.25">
      <c r="C25" s="389"/>
      <c r="D25" s="390"/>
      <c r="E25" s="391"/>
      <c r="F25" s="391"/>
      <c r="G25" s="392"/>
      <c r="H25" s="393"/>
      <c r="I25" s="393"/>
      <c r="J25" s="394">
        <f t="shared" si="2"/>
        <v>0</v>
      </c>
      <c r="K25" s="395"/>
      <c r="L25" s="395"/>
      <c r="M25" s="394">
        <f t="shared" si="0"/>
        <v>0</v>
      </c>
      <c r="N25" s="396">
        <f t="shared" si="1"/>
        <v>0</v>
      </c>
      <c r="O25" s="397"/>
      <c r="P25" s="393"/>
      <c r="Q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3:51" customFormat="1" x14ac:dyDescent="0.25">
      <c r="C26" s="389"/>
      <c r="D26" s="390"/>
      <c r="E26" s="391"/>
      <c r="F26" s="391"/>
      <c r="G26" s="392"/>
      <c r="H26" s="393"/>
      <c r="I26" s="393"/>
      <c r="J26" s="394">
        <f t="shared" si="2"/>
        <v>0</v>
      </c>
      <c r="K26" s="395"/>
      <c r="L26" s="395"/>
      <c r="M26" s="394">
        <f t="shared" si="0"/>
        <v>0</v>
      </c>
      <c r="N26" s="396">
        <f t="shared" si="1"/>
        <v>0</v>
      </c>
      <c r="O26" s="397"/>
      <c r="P26" s="393"/>
      <c r="Q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3:51" customFormat="1" x14ac:dyDescent="0.25">
      <c r="C27" s="389"/>
      <c r="D27" s="390"/>
      <c r="E27" s="391"/>
      <c r="F27" s="391"/>
      <c r="G27" s="392"/>
      <c r="H27" s="393"/>
      <c r="I27" s="393"/>
      <c r="J27" s="394">
        <f t="shared" si="2"/>
        <v>0</v>
      </c>
      <c r="K27" s="395"/>
      <c r="L27" s="395"/>
      <c r="M27" s="394">
        <f t="shared" si="0"/>
        <v>0</v>
      </c>
      <c r="N27" s="396">
        <f t="shared" si="1"/>
        <v>0</v>
      </c>
      <c r="O27" s="397"/>
      <c r="P27" s="393"/>
      <c r="Q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row>
    <row r="28" spans="3:51" customFormat="1" x14ac:dyDescent="0.25">
      <c r="C28" s="389"/>
      <c r="D28" s="390"/>
      <c r="E28" s="391"/>
      <c r="F28" s="391"/>
      <c r="G28" s="392"/>
      <c r="H28" s="393"/>
      <c r="I28" s="393"/>
      <c r="J28" s="394">
        <f t="shared" si="2"/>
        <v>0</v>
      </c>
      <c r="K28" s="395"/>
      <c r="L28" s="395"/>
      <c r="M28" s="394">
        <f t="shared" si="0"/>
        <v>0</v>
      </c>
      <c r="N28" s="396">
        <f t="shared" si="1"/>
        <v>0</v>
      </c>
      <c r="O28" s="397"/>
      <c r="P28" s="393"/>
      <c r="Q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row>
    <row r="29" spans="3:51" customFormat="1" x14ac:dyDescent="0.25">
      <c r="C29" s="398"/>
      <c r="D29" s="390"/>
      <c r="E29" s="399"/>
      <c r="F29" s="399"/>
      <c r="G29" s="392"/>
      <c r="H29" s="393"/>
      <c r="I29" s="393"/>
      <c r="J29" s="394">
        <f t="shared" si="2"/>
        <v>0</v>
      </c>
      <c r="K29" s="395"/>
      <c r="L29" s="395"/>
      <c r="M29" s="394">
        <f t="shared" si="0"/>
        <v>0</v>
      </c>
      <c r="N29" s="396">
        <f t="shared" si="1"/>
        <v>0</v>
      </c>
      <c r="O29" s="397"/>
      <c r="P29" s="393"/>
      <c r="Q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row>
    <row r="30" spans="3:51" customFormat="1" x14ac:dyDescent="0.25">
      <c r="C30" s="398"/>
      <c r="D30" s="390"/>
      <c r="E30" s="399"/>
      <c r="F30" s="399"/>
      <c r="G30" s="392"/>
      <c r="H30" s="393"/>
      <c r="I30" s="393"/>
      <c r="J30" s="394">
        <f t="shared" ref="J30:J93" si="3">IFERROR(I30/H30,0)</f>
        <v>0</v>
      </c>
      <c r="K30" s="395"/>
      <c r="L30" s="395"/>
      <c r="M30" s="394">
        <f t="shared" ref="M30:M93" si="4">IFERROR(L30/K30,0)</f>
        <v>0</v>
      </c>
      <c r="N30" s="396">
        <f t="shared" ref="N30:N93" si="5">MIN(J30,M30)</f>
        <v>0</v>
      </c>
      <c r="O30" s="397"/>
      <c r="P30" s="393"/>
      <c r="Q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3:51" customFormat="1" x14ac:dyDescent="0.25">
      <c r="C31" s="398"/>
      <c r="D31" s="390"/>
      <c r="E31" s="399"/>
      <c r="F31" s="399"/>
      <c r="G31" s="392"/>
      <c r="H31" s="393"/>
      <c r="I31" s="393"/>
      <c r="J31" s="394">
        <f t="shared" si="3"/>
        <v>0</v>
      </c>
      <c r="K31" s="395"/>
      <c r="L31" s="395"/>
      <c r="M31" s="394">
        <f t="shared" si="4"/>
        <v>0</v>
      </c>
      <c r="N31" s="396">
        <f t="shared" si="5"/>
        <v>0</v>
      </c>
      <c r="O31" s="397"/>
      <c r="P31" s="393"/>
      <c r="Q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row>
    <row r="32" spans="3:51" customFormat="1" x14ac:dyDescent="0.25">
      <c r="C32" s="398"/>
      <c r="D32" s="390"/>
      <c r="E32" s="399"/>
      <c r="F32" s="399"/>
      <c r="G32" s="392"/>
      <c r="H32" s="393"/>
      <c r="I32" s="393"/>
      <c r="J32" s="394">
        <f t="shared" si="3"/>
        <v>0</v>
      </c>
      <c r="K32" s="395"/>
      <c r="L32" s="395"/>
      <c r="M32" s="394">
        <f t="shared" si="4"/>
        <v>0</v>
      </c>
      <c r="N32" s="396">
        <f t="shared" si="5"/>
        <v>0</v>
      </c>
      <c r="O32" s="397"/>
      <c r="P32" s="393"/>
      <c r="Q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row>
    <row r="33" spans="3:51" customFormat="1" x14ac:dyDescent="0.25">
      <c r="C33" s="398"/>
      <c r="D33" s="390"/>
      <c r="E33" s="399"/>
      <c r="F33" s="399"/>
      <c r="G33" s="392"/>
      <c r="H33" s="393"/>
      <c r="I33" s="393"/>
      <c r="J33" s="394">
        <f t="shared" si="3"/>
        <v>0</v>
      </c>
      <c r="K33" s="395"/>
      <c r="L33" s="395"/>
      <c r="M33" s="394">
        <f t="shared" si="4"/>
        <v>0</v>
      </c>
      <c r="N33" s="396">
        <f t="shared" si="5"/>
        <v>0</v>
      </c>
      <c r="O33" s="397"/>
      <c r="P33" s="393"/>
      <c r="Q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row>
    <row r="34" spans="3:51" customFormat="1" x14ac:dyDescent="0.25">
      <c r="C34" s="398"/>
      <c r="D34" s="390"/>
      <c r="E34" s="399"/>
      <c r="F34" s="399"/>
      <c r="G34" s="392"/>
      <c r="H34" s="393"/>
      <c r="I34" s="393"/>
      <c r="J34" s="394">
        <f t="shared" si="3"/>
        <v>0</v>
      </c>
      <c r="K34" s="395"/>
      <c r="L34" s="395"/>
      <c r="M34" s="394">
        <f t="shared" si="4"/>
        <v>0</v>
      </c>
      <c r="N34" s="396">
        <f t="shared" si="5"/>
        <v>0</v>
      </c>
      <c r="O34" s="397"/>
      <c r="P34" s="393"/>
      <c r="Q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row>
    <row r="35" spans="3:51" customFormat="1" x14ac:dyDescent="0.25">
      <c r="C35" s="398"/>
      <c r="D35" s="390"/>
      <c r="E35" s="399"/>
      <c r="F35" s="399"/>
      <c r="G35" s="392"/>
      <c r="H35" s="393"/>
      <c r="I35" s="393"/>
      <c r="J35" s="394">
        <f t="shared" si="3"/>
        <v>0</v>
      </c>
      <c r="K35" s="395"/>
      <c r="L35" s="395"/>
      <c r="M35" s="394">
        <f t="shared" si="4"/>
        <v>0</v>
      </c>
      <c r="N35" s="396">
        <f t="shared" si="5"/>
        <v>0</v>
      </c>
      <c r="O35" s="397"/>
      <c r="P35" s="393"/>
      <c r="Q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row>
    <row r="36" spans="3:51" customFormat="1" x14ac:dyDescent="0.25">
      <c r="C36" s="398"/>
      <c r="D36" s="390"/>
      <c r="E36" s="399"/>
      <c r="F36" s="399"/>
      <c r="G36" s="392"/>
      <c r="H36" s="393"/>
      <c r="I36" s="393"/>
      <c r="J36" s="394">
        <f t="shared" si="3"/>
        <v>0</v>
      </c>
      <c r="K36" s="395"/>
      <c r="L36" s="395"/>
      <c r="M36" s="394">
        <f t="shared" si="4"/>
        <v>0</v>
      </c>
      <c r="N36" s="396">
        <f t="shared" si="5"/>
        <v>0</v>
      </c>
      <c r="O36" s="397"/>
      <c r="P36" s="393"/>
      <c r="Q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row>
    <row r="37" spans="3:51" customFormat="1" x14ac:dyDescent="0.25">
      <c r="C37" s="398"/>
      <c r="D37" s="390"/>
      <c r="E37" s="399"/>
      <c r="F37" s="399"/>
      <c r="G37" s="392"/>
      <c r="H37" s="393"/>
      <c r="I37" s="393"/>
      <c r="J37" s="394">
        <f t="shared" si="3"/>
        <v>0</v>
      </c>
      <c r="K37" s="395"/>
      <c r="L37" s="395"/>
      <c r="M37" s="394">
        <f t="shared" si="4"/>
        <v>0</v>
      </c>
      <c r="N37" s="396">
        <f t="shared" si="5"/>
        <v>0</v>
      </c>
      <c r="O37" s="397"/>
      <c r="P37" s="393"/>
      <c r="Q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row>
    <row r="38" spans="3:51" customFormat="1" x14ac:dyDescent="0.25">
      <c r="C38" s="398"/>
      <c r="D38" s="390"/>
      <c r="E38" s="399"/>
      <c r="F38" s="399"/>
      <c r="G38" s="392"/>
      <c r="H38" s="393"/>
      <c r="I38" s="393"/>
      <c r="J38" s="394">
        <f t="shared" si="3"/>
        <v>0</v>
      </c>
      <c r="K38" s="395"/>
      <c r="L38" s="395"/>
      <c r="M38" s="394">
        <f t="shared" si="4"/>
        <v>0</v>
      </c>
      <c r="N38" s="396">
        <f t="shared" si="5"/>
        <v>0</v>
      </c>
      <c r="O38" s="397"/>
      <c r="P38" s="393"/>
      <c r="Q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row>
    <row r="39" spans="3:51" customFormat="1" x14ac:dyDescent="0.25">
      <c r="C39" s="398"/>
      <c r="D39" s="390"/>
      <c r="E39" s="399"/>
      <c r="F39" s="399"/>
      <c r="G39" s="392"/>
      <c r="H39" s="393"/>
      <c r="I39" s="393"/>
      <c r="J39" s="394">
        <f t="shared" si="3"/>
        <v>0</v>
      </c>
      <c r="K39" s="395"/>
      <c r="L39" s="395"/>
      <c r="M39" s="394">
        <f t="shared" si="4"/>
        <v>0</v>
      </c>
      <c r="N39" s="396">
        <f t="shared" si="5"/>
        <v>0</v>
      </c>
      <c r="O39" s="397"/>
      <c r="P39" s="393"/>
      <c r="Q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row>
    <row r="40" spans="3:51" customFormat="1" x14ac:dyDescent="0.25">
      <c r="C40" s="398"/>
      <c r="D40" s="390"/>
      <c r="E40" s="399"/>
      <c r="F40" s="399"/>
      <c r="G40" s="392"/>
      <c r="H40" s="393"/>
      <c r="I40" s="393"/>
      <c r="J40" s="394">
        <f t="shared" si="3"/>
        <v>0</v>
      </c>
      <c r="K40" s="395"/>
      <c r="L40" s="395"/>
      <c r="M40" s="394">
        <f t="shared" si="4"/>
        <v>0</v>
      </c>
      <c r="N40" s="396">
        <f t="shared" si="5"/>
        <v>0</v>
      </c>
      <c r="O40" s="397"/>
      <c r="P40" s="393"/>
      <c r="Q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row>
    <row r="41" spans="3:51" customFormat="1" x14ac:dyDescent="0.25">
      <c r="C41" s="398"/>
      <c r="D41" s="390"/>
      <c r="E41" s="399"/>
      <c r="F41" s="399"/>
      <c r="G41" s="392"/>
      <c r="H41" s="393"/>
      <c r="I41" s="393"/>
      <c r="J41" s="394">
        <f t="shared" si="3"/>
        <v>0</v>
      </c>
      <c r="K41" s="395"/>
      <c r="L41" s="395"/>
      <c r="M41" s="394">
        <f t="shared" si="4"/>
        <v>0</v>
      </c>
      <c r="N41" s="396">
        <f t="shared" si="5"/>
        <v>0</v>
      </c>
      <c r="O41" s="397"/>
      <c r="P41" s="393"/>
      <c r="Q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row>
    <row r="42" spans="3:51" customFormat="1" x14ac:dyDescent="0.25">
      <c r="C42" s="398"/>
      <c r="D42" s="390"/>
      <c r="E42" s="399"/>
      <c r="F42" s="399"/>
      <c r="G42" s="392"/>
      <c r="H42" s="393"/>
      <c r="I42" s="393"/>
      <c r="J42" s="394">
        <f t="shared" si="3"/>
        <v>0</v>
      </c>
      <c r="K42" s="395"/>
      <c r="L42" s="395"/>
      <c r="M42" s="394">
        <f t="shared" si="4"/>
        <v>0</v>
      </c>
      <c r="N42" s="396">
        <f t="shared" si="5"/>
        <v>0</v>
      </c>
      <c r="O42" s="397"/>
      <c r="P42" s="393"/>
      <c r="Q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row>
    <row r="43" spans="3:51" customFormat="1" x14ac:dyDescent="0.25">
      <c r="C43" s="398"/>
      <c r="D43" s="390"/>
      <c r="E43" s="399"/>
      <c r="F43" s="399"/>
      <c r="G43" s="392"/>
      <c r="H43" s="393"/>
      <c r="I43" s="393"/>
      <c r="J43" s="394">
        <f t="shared" si="3"/>
        <v>0</v>
      </c>
      <c r="K43" s="395"/>
      <c r="L43" s="395"/>
      <c r="M43" s="394">
        <f t="shared" si="4"/>
        <v>0</v>
      </c>
      <c r="N43" s="396">
        <f t="shared" si="5"/>
        <v>0</v>
      </c>
      <c r="O43" s="397"/>
      <c r="P43" s="393"/>
      <c r="Q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row>
    <row r="44" spans="3:51" customFormat="1" x14ac:dyDescent="0.25">
      <c r="C44" s="398"/>
      <c r="D44" s="390"/>
      <c r="E44" s="399"/>
      <c r="F44" s="399"/>
      <c r="G44" s="392"/>
      <c r="H44" s="393"/>
      <c r="I44" s="393"/>
      <c r="J44" s="394">
        <f t="shared" si="3"/>
        <v>0</v>
      </c>
      <c r="K44" s="395"/>
      <c r="L44" s="395"/>
      <c r="M44" s="394">
        <f t="shared" si="4"/>
        <v>0</v>
      </c>
      <c r="N44" s="396">
        <f t="shared" si="5"/>
        <v>0</v>
      </c>
      <c r="O44" s="397"/>
      <c r="P44" s="393"/>
      <c r="Q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row>
    <row r="45" spans="3:51" customFormat="1" x14ac:dyDescent="0.25">
      <c r="C45" s="398"/>
      <c r="D45" s="390"/>
      <c r="E45" s="399"/>
      <c r="F45" s="399"/>
      <c r="G45" s="392"/>
      <c r="H45" s="393"/>
      <c r="I45" s="393"/>
      <c r="J45" s="394">
        <f t="shared" si="3"/>
        <v>0</v>
      </c>
      <c r="K45" s="395"/>
      <c r="L45" s="395"/>
      <c r="M45" s="394">
        <f t="shared" si="4"/>
        <v>0</v>
      </c>
      <c r="N45" s="396">
        <f t="shared" si="5"/>
        <v>0</v>
      </c>
      <c r="O45" s="397"/>
      <c r="P45" s="393"/>
      <c r="Q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row>
    <row r="46" spans="3:51" customFormat="1" x14ac:dyDescent="0.25">
      <c r="C46" s="398"/>
      <c r="D46" s="390"/>
      <c r="E46" s="399"/>
      <c r="F46" s="399"/>
      <c r="G46" s="392"/>
      <c r="H46" s="393"/>
      <c r="I46" s="393"/>
      <c r="J46" s="394">
        <f t="shared" si="3"/>
        <v>0</v>
      </c>
      <c r="K46" s="395"/>
      <c r="L46" s="395"/>
      <c r="M46" s="394">
        <f t="shared" si="4"/>
        <v>0</v>
      </c>
      <c r="N46" s="396">
        <f t="shared" si="5"/>
        <v>0</v>
      </c>
      <c r="O46" s="397"/>
      <c r="P46" s="393"/>
      <c r="Q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row>
    <row r="47" spans="3:51" customFormat="1" x14ac:dyDescent="0.25">
      <c r="C47" s="398"/>
      <c r="D47" s="390"/>
      <c r="E47" s="399"/>
      <c r="F47" s="399"/>
      <c r="G47" s="392"/>
      <c r="H47" s="393"/>
      <c r="I47" s="393"/>
      <c r="J47" s="394">
        <f t="shared" si="3"/>
        <v>0</v>
      </c>
      <c r="K47" s="395"/>
      <c r="L47" s="395"/>
      <c r="M47" s="394">
        <f t="shared" si="4"/>
        <v>0</v>
      </c>
      <c r="N47" s="396">
        <f t="shared" si="5"/>
        <v>0</v>
      </c>
      <c r="O47" s="397"/>
      <c r="P47" s="393"/>
      <c r="Q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row>
    <row r="48" spans="3:51" customFormat="1" x14ac:dyDescent="0.25">
      <c r="C48" s="398"/>
      <c r="D48" s="390"/>
      <c r="E48" s="399"/>
      <c r="F48" s="399"/>
      <c r="G48" s="392"/>
      <c r="H48" s="393"/>
      <c r="I48" s="393"/>
      <c r="J48" s="394">
        <f t="shared" si="3"/>
        <v>0</v>
      </c>
      <c r="K48" s="395"/>
      <c r="L48" s="395"/>
      <c r="M48" s="394">
        <f t="shared" si="4"/>
        <v>0</v>
      </c>
      <c r="N48" s="396">
        <f t="shared" si="5"/>
        <v>0</v>
      </c>
      <c r="O48" s="397"/>
      <c r="P48" s="393"/>
      <c r="Q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row>
    <row r="49" spans="3:51" customFormat="1" x14ac:dyDescent="0.25">
      <c r="C49" s="398"/>
      <c r="D49" s="390"/>
      <c r="E49" s="399"/>
      <c r="F49" s="399"/>
      <c r="G49" s="392"/>
      <c r="H49" s="393"/>
      <c r="I49" s="393"/>
      <c r="J49" s="394">
        <f t="shared" si="3"/>
        <v>0</v>
      </c>
      <c r="K49" s="395"/>
      <c r="L49" s="395"/>
      <c r="M49" s="394">
        <f t="shared" si="4"/>
        <v>0</v>
      </c>
      <c r="N49" s="396">
        <f t="shared" si="5"/>
        <v>0</v>
      </c>
      <c r="O49" s="397"/>
      <c r="P49" s="393"/>
      <c r="Q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row>
    <row r="50" spans="3:51" customFormat="1" x14ac:dyDescent="0.25">
      <c r="C50" s="398"/>
      <c r="D50" s="390"/>
      <c r="E50" s="399"/>
      <c r="F50" s="399"/>
      <c r="G50" s="392"/>
      <c r="H50" s="393"/>
      <c r="I50" s="393"/>
      <c r="J50" s="394">
        <f t="shared" si="3"/>
        <v>0</v>
      </c>
      <c r="K50" s="395"/>
      <c r="L50" s="395"/>
      <c r="M50" s="394">
        <f t="shared" si="4"/>
        <v>0</v>
      </c>
      <c r="N50" s="396">
        <f t="shared" si="5"/>
        <v>0</v>
      </c>
      <c r="O50" s="397"/>
      <c r="P50" s="393"/>
      <c r="Q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row>
    <row r="51" spans="3:51" customFormat="1" x14ac:dyDescent="0.25">
      <c r="C51" s="398"/>
      <c r="D51" s="390"/>
      <c r="E51" s="399"/>
      <c r="F51" s="399"/>
      <c r="G51" s="392"/>
      <c r="H51" s="393"/>
      <c r="I51" s="393"/>
      <c r="J51" s="394">
        <f t="shared" si="3"/>
        <v>0</v>
      </c>
      <c r="K51" s="395"/>
      <c r="L51" s="395"/>
      <c r="M51" s="394">
        <f t="shared" si="4"/>
        <v>0</v>
      </c>
      <c r="N51" s="396">
        <f t="shared" si="5"/>
        <v>0</v>
      </c>
      <c r="O51" s="397"/>
      <c r="P51" s="393"/>
      <c r="Q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3:51" customFormat="1" x14ac:dyDescent="0.25">
      <c r="C52" s="398"/>
      <c r="D52" s="390"/>
      <c r="E52" s="399"/>
      <c r="F52" s="399"/>
      <c r="G52" s="392"/>
      <c r="H52" s="393"/>
      <c r="I52" s="393"/>
      <c r="J52" s="394">
        <f t="shared" si="3"/>
        <v>0</v>
      </c>
      <c r="K52" s="395"/>
      <c r="L52" s="395"/>
      <c r="M52" s="394">
        <f t="shared" si="4"/>
        <v>0</v>
      </c>
      <c r="N52" s="396">
        <f t="shared" si="5"/>
        <v>0</v>
      </c>
      <c r="O52" s="397"/>
      <c r="P52" s="393"/>
      <c r="Q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row>
    <row r="53" spans="3:51" customFormat="1" x14ac:dyDescent="0.25">
      <c r="C53" s="398"/>
      <c r="D53" s="390"/>
      <c r="E53" s="399"/>
      <c r="F53" s="399"/>
      <c r="G53" s="392"/>
      <c r="H53" s="393"/>
      <c r="I53" s="393"/>
      <c r="J53" s="394">
        <f t="shared" si="3"/>
        <v>0</v>
      </c>
      <c r="K53" s="395"/>
      <c r="L53" s="395"/>
      <c r="M53" s="394">
        <f t="shared" si="4"/>
        <v>0</v>
      </c>
      <c r="N53" s="396">
        <f t="shared" si="5"/>
        <v>0</v>
      </c>
      <c r="O53" s="397"/>
      <c r="P53" s="393"/>
      <c r="Q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3:51" customFormat="1" x14ac:dyDescent="0.25">
      <c r="C54" s="398"/>
      <c r="D54" s="390"/>
      <c r="E54" s="399"/>
      <c r="F54" s="399"/>
      <c r="G54" s="392"/>
      <c r="H54" s="393"/>
      <c r="I54" s="393"/>
      <c r="J54" s="394">
        <f t="shared" si="3"/>
        <v>0</v>
      </c>
      <c r="K54" s="395"/>
      <c r="L54" s="395"/>
      <c r="M54" s="394">
        <f t="shared" si="4"/>
        <v>0</v>
      </c>
      <c r="N54" s="396">
        <f t="shared" si="5"/>
        <v>0</v>
      </c>
      <c r="O54" s="397"/>
      <c r="P54" s="393"/>
      <c r="Q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3:51" customFormat="1" x14ac:dyDescent="0.25">
      <c r="C55" s="398"/>
      <c r="D55" s="390"/>
      <c r="E55" s="399"/>
      <c r="F55" s="399"/>
      <c r="G55" s="392"/>
      <c r="H55" s="393"/>
      <c r="I55" s="393"/>
      <c r="J55" s="394">
        <f t="shared" si="3"/>
        <v>0</v>
      </c>
      <c r="K55" s="395"/>
      <c r="L55" s="395"/>
      <c r="M55" s="394">
        <f t="shared" si="4"/>
        <v>0</v>
      </c>
      <c r="N55" s="396">
        <f t="shared" si="5"/>
        <v>0</v>
      </c>
      <c r="O55" s="397"/>
      <c r="P55" s="393"/>
      <c r="Q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3:51" customFormat="1" x14ac:dyDescent="0.25">
      <c r="C56" s="398"/>
      <c r="D56" s="390"/>
      <c r="E56" s="399"/>
      <c r="F56" s="399"/>
      <c r="G56" s="392"/>
      <c r="H56" s="393"/>
      <c r="I56" s="393"/>
      <c r="J56" s="394">
        <f t="shared" si="3"/>
        <v>0</v>
      </c>
      <c r="K56" s="395"/>
      <c r="L56" s="395"/>
      <c r="M56" s="394">
        <f t="shared" si="4"/>
        <v>0</v>
      </c>
      <c r="N56" s="396">
        <f t="shared" si="5"/>
        <v>0</v>
      </c>
      <c r="O56" s="397"/>
      <c r="P56" s="393"/>
      <c r="Q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row>
    <row r="57" spans="3:51" customFormat="1" x14ac:dyDescent="0.25">
      <c r="C57" s="398"/>
      <c r="D57" s="390"/>
      <c r="E57" s="399"/>
      <c r="F57" s="399"/>
      <c r="G57" s="392"/>
      <c r="H57" s="393"/>
      <c r="I57" s="393"/>
      <c r="J57" s="394">
        <f t="shared" si="3"/>
        <v>0</v>
      </c>
      <c r="K57" s="395"/>
      <c r="L57" s="395"/>
      <c r="M57" s="394">
        <f t="shared" si="4"/>
        <v>0</v>
      </c>
      <c r="N57" s="396">
        <f t="shared" si="5"/>
        <v>0</v>
      </c>
      <c r="O57" s="397"/>
      <c r="P57" s="393"/>
      <c r="Q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row>
    <row r="58" spans="3:51" customFormat="1" x14ac:dyDescent="0.25">
      <c r="C58" s="398"/>
      <c r="D58" s="390"/>
      <c r="E58" s="399"/>
      <c r="F58" s="399"/>
      <c r="G58" s="392"/>
      <c r="H58" s="393"/>
      <c r="I58" s="393"/>
      <c r="J58" s="394">
        <f t="shared" si="3"/>
        <v>0</v>
      </c>
      <c r="K58" s="395"/>
      <c r="L58" s="395"/>
      <c r="M58" s="394">
        <f t="shared" si="4"/>
        <v>0</v>
      </c>
      <c r="N58" s="396">
        <f t="shared" si="5"/>
        <v>0</v>
      </c>
      <c r="O58" s="397"/>
      <c r="P58" s="393"/>
      <c r="Q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3:51" customFormat="1" x14ac:dyDescent="0.25">
      <c r="C59" s="398"/>
      <c r="D59" s="390"/>
      <c r="E59" s="399"/>
      <c r="F59" s="399"/>
      <c r="G59" s="392"/>
      <c r="H59" s="393"/>
      <c r="I59" s="393"/>
      <c r="J59" s="394">
        <f t="shared" si="3"/>
        <v>0</v>
      </c>
      <c r="K59" s="395"/>
      <c r="L59" s="395"/>
      <c r="M59" s="394">
        <f t="shared" si="4"/>
        <v>0</v>
      </c>
      <c r="N59" s="396">
        <f t="shared" si="5"/>
        <v>0</v>
      </c>
      <c r="O59" s="397"/>
      <c r="P59" s="393"/>
      <c r="Q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row>
    <row r="60" spans="3:51" customFormat="1" x14ac:dyDescent="0.25">
      <c r="C60" s="398"/>
      <c r="D60" s="390"/>
      <c r="E60" s="399"/>
      <c r="F60" s="399"/>
      <c r="G60" s="392"/>
      <c r="H60" s="393"/>
      <c r="I60" s="393"/>
      <c r="J60" s="394">
        <f t="shared" si="3"/>
        <v>0</v>
      </c>
      <c r="K60" s="395"/>
      <c r="L60" s="395"/>
      <c r="M60" s="394">
        <f t="shared" si="4"/>
        <v>0</v>
      </c>
      <c r="N60" s="396">
        <f t="shared" si="5"/>
        <v>0</v>
      </c>
      <c r="O60" s="397"/>
      <c r="P60" s="393"/>
      <c r="Q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3:51" customFormat="1" x14ac:dyDescent="0.25">
      <c r="C61" s="398"/>
      <c r="D61" s="390"/>
      <c r="E61" s="399"/>
      <c r="F61" s="399"/>
      <c r="G61" s="392"/>
      <c r="H61" s="393"/>
      <c r="I61" s="393"/>
      <c r="J61" s="394">
        <f t="shared" si="3"/>
        <v>0</v>
      </c>
      <c r="K61" s="395"/>
      <c r="L61" s="395"/>
      <c r="M61" s="394">
        <f t="shared" si="4"/>
        <v>0</v>
      </c>
      <c r="N61" s="396">
        <f t="shared" si="5"/>
        <v>0</v>
      </c>
      <c r="O61" s="397"/>
      <c r="P61" s="393"/>
      <c r="Q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row>
    <row r="62" spans="3:51" customFormat="1" x14ac:dyDescent="0.25">
      <c r="C62" s="398"/>
      <c r="D62" s="390"/>
      <c r="E62" s="399"/>
      <c r="F62" s="399"/>
      <c r="G62" s="392"/>
      <c r="H62" s="393"/>
      <c r="I62" s="393"/>
      <c r="J62" s="394">
        <f t="shared" si="3"/>
        <v>0</v>
      </c>
      <c r="K62" s="395"/>
      <c r="L62" s="395"/>
      <c r="M62" s="394">
        <f t="shared" si="4"/>
        <v>0</v>
      </c>
      <c r="N62" s="396">
        <f t="shared" si="5"/>
        <v>0</v>
      </c>
      <c r="O62" s="397"/>
      <c r="P62" s="393"/>
      <c r="Q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row>
    <row r="63" spans="3:51" customFormat="1" x14ac:dyDescent="0.25">
      <c r="C63" s="398"/>
      <c r="D63" s="390"/>
      <c r="E63" s="399"/>
      <c r="F63" s="399"/>
      <c r="G63" s="392"/>
      <c r="H63" s="393"/>
      <c r="I63" s="393"/>
      <c r="J63" s="394">
        <f t="shared" si="3"/>
        <v>0</v>
      </c>
      <c r="K63" s="395"/>
      <c r="L63" s="395"/>
      <c r="M63" s="394">
        <f t="shared" si="4"/>
        <v>0</v>
      </c>
      <c r="N63" s="396">
        <f t="shared" si="5"/>
        <v>0</v>
      </c>
      <c r="O63" s="397"/>
      <c r="P63" s="393"/>
      <c r="Q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3:51" customFormat="1" x14ac:dyDescent="0.25">
      <c r="C64" s="398"/>
      <c r="D64" s="390"/>
      <c r="E64" s="399"/>
      <c r="F64" s="399"/>
      <c r="G64" s="392"/>
      <c r="H64" s="393"/>
      <c r="I64" s="393"/>
      <c r="J64" s="394">
        <f t="shared" si="3"/>
        <v>0</v>
      </c>
      <c r="K64" s="395"/>
      <c r="L64" s="395"/>
      <c r="M64" s="394">
        <f t="shared" si="4"/>
        <v>0</v>
      </c>
      <c r="N64" s="396">
        <f t="shared" si="5"/>
        <v>0</v>
      </c>
      <c r="O64" s="397"/>
      <c r="P64" s="393"/>
      <c r="Q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row>
    <row r="65" spans="3:51" customFormat="1" x14ac:dyDescent="0.25">
      <c r="C65" s="398"/>
      <c r="D65" s="390"/>
      <c r="E65" s="399"/>
      <c r="F65" s="399"/>
      <c r="G65" s="392"/>
      <c r="H65" s="393"/>
      <c r="I65" s="393"/>
      <c r="J65" s="394">
        <f t="shared" si="3"/>
        <v>0</v>
      </c>
      <c r="K65" s="395"/>
      <c r="L65" s="395"/>
      <c r="M65" s="394">
        <f t="shared" si="4"/>
        <v>0</v>
      </c>
      <c r="N65" s="396">
        <f t="shared" si="5"/>
        <v>0</v>
      </c>
      <c r="O65" s="397"/>
      <c r="P65" s="393"/>
      <c r="Q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row>
    <row r="66" spans="3:51" customFormat="1" x14ac:dyDescent="0.25">
      <c r="C66" s="398"/>
      <c r="D66" s="390"/>
      <c r="E66" s="399"/>
      <c r="F66" s="399"/>
      <c r="G66" s="392"/>
      <c r="H66" s="393"/>
      <c r="I66" s="393"/>
      <c r="J66" s="394">
        <f t="shared" si="3"/>
        <v>0</v>
      </c>
      <c r="K66" s="395"/>
      <c r="L66" s="395"/>
      <c r="M66" s="394">
        <f t="shared" si="4"/>
        <v>0</v>
      </c>
      <c r="N66" s="396">
        <f t="shared" si="5"/>
        <v>0</v>
      </c>
      <c r="O66" s="397"/>
      <c r="P66" s="393"/>
      <c r="Q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row>
    <row r="67" spans="3:51" customFormat="1" x14ac:dyDescent="0.25">
      <c r="C67" s="398"/>
      <c r="D67" s="390"/>
      <c r="E67" s="399"/>
      <c r="F67" s="399"/>
      <c r="G67" s="392"/>
      <c r="H67" s="393"/>
      <c r="I67" s="393"/>
      <c r="J67" s="394">
        <f t="shared" si="3"/>
        <v>0</v>
      </c>
      <c r="K67" s="395"/>
      <c r="L67" s="395"/>
      <c r="M67" s="394">
        <f t="shared" si="4"/>
        <v>0</v>
      </c>
      <c r="N67" s="396">
        <f t="shared" si="5"/>
        <v>0</v>
      </c>
      <c r="O67" s="397"/>
      <c r="P67" s="393"/>
      <c r="Q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row>
    <row r="68" spans="3:51" customFormat="1" x14ac:dyDescent="0.25">
      <c r="C68" s="398"/>
      <c r="D68" s="390"/>
      <c r="E68" s="399"/>
      <c r="F68" s="399"/>
      <c r="G68" s="392"/>
      <c r="H68" s="393"/>
      <c r="I68" s="393"/>
      <c r="J68" s="394">
        <f t="shared" si="3"/>
        <v>0</v>
      </c>
      <c r="K68" s="395"/>
      <c r="L68" s="395"/>
      <c r="M68" s="394">
        <f t="shared" si="4"/>
        <v>0</v>
      </c>
      <c r="N68" s="396">
        <f t="shared" si="5"/>
        <v>0</v>
      </c>
      <c r="O68" s="397"/>
      <c r="P68" s="393"/>
      <c r="Q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3:51" customFormat="1" x14ac:dyDescent="0.25">
      <c r="C69" s="398"/>
      <c r="D69" s="390"/>
      <c r="E69" s="399"/>
      <c r="F69" s="399"/>
      <c r="G69" s="392"/>
      <c r="H69" s="393"/>
      <c r="I69" s="393"/>
      <c r="J69" s="394">
        <f t="shared" si="3"/>
        <v>0</v>
      </c>
      <c r="K69" s="395"/>
      <c r="L69" s="395"/>
      <c r="M69" s="394">
        <f t="shared" si="4"/>
        <v>0</v>
      </c>
      <c r="N69" s="396">
        <f t="shared" si="5"/>
        <v>0</v>
      </c>
      <c r="O69" s="397"/>
      <c r="P69" s="393"/>
      <c r="Q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row>
    <row r="70" spans="3:51" customFormat="1" x14ac:dyDescent="0.25">
      <c r="C70" s="398"/>
      <c r="D70" s="390"/>
      <c r="E70" s="399"/>
      <c r="F70" s="399"/>
      <c r="G70" s="392"/>
      <c r="H70" s="393"/>
      <c r="I70" s="393"/>
      <c r="J70" s="394">
        <f t="shared" si="3"/>
        <v>0</v>
      </c>
      <c r="K70" s="395"/>
      <c r="L70" s="395"/>
      <c r="M70" s="394">
        <f t="shared" si="4"/>
        <v>0</v>
      </c>
      <c r="N70" s="396">
        <f t="shared" si="5"/>
        <v>0</v>
      </c>
      <c r="O70" s="397"/>
      <c r="P70" s="393"/>
      <c r="Q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3:51" customFormat="1" x14ac:dyDescent="0.25">
      <c r="C71" s="398"/>
      <c r="D71" s="390"/>
      <c r="E71" s="399"/>
      <c r="F71" s="399"/>
      <c r="G71" s="392"/>
      <c r="H71" s="393"/>
      <c r="I71" s="393"/>
      <c r="J71" s="394">
        <f t="shared" si="3"/>
        <v>0</v>
      </c>
      <c r="K71" s="395"/>
      <c r="L71" s="395"/>
      <c r="M71" s="394">
        <f t="shared" si="4"/>
        <v>0</v>
      </c>
      <c r="N71" s="396">
        <f t="shared" si="5"/>
        <v>0</v>
      </c>
      <c r="O71" s="397"/>
      <c r="P71" s="393"/>
      <c r="Q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row>
    <row r="72" spans="3:51" customFormat="1" x14ac:dyDescent="0.25">
      <c r="C72" s="398"/>
      <c r="D72" s="390"/>
      <c r="E72" s="399"/>
      <c r="F72" s="399"/>
      <c r="G72" s="392"/>
      <c r="H72" s="393"/>
      <c r="I72" s="393"/>
      <c r="J72" s="394">
        <f t="shared" si="3"/>
        <v>0</v>
      </c>
      <c r="K72" s="395"/>
      <c r="L72" s="395"/>
      <c r="M72" s="394">
        <f t="shared" si="4"/>
        <v>0</v>
      </c>
      <c r="N72" s="396">
        <f t="shared" si="5"/>
        <v>0</v>
      </c>
      <c r="O72" s="397"/>
      <c r="P72" s="393"/>
      <c r="Q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row>
    <row r="73" spans="3:51" customFormat="1" x14ac:dyDescent="0.25">
      <c r="C73" s="398"/>
      <c r="D73" s="390"/>
      <c r="E73" s="399"/>
      <c r="F73" s="399"/>
      <c r="G73" s="392"/>
      <c r="H73" s="393"/>
      <c r="I73" s="393"/>
      <c r="J73" s="394">
        <f t="shared" si="3"/>
        <v>0</v>
      </c>
      <c r="K73" s="395"/>
      <c r="L73" s="395"/>
      <c r="M73" s="394">
        <f t="shared" si="4"/>
        <v>0</v>
      </c>
      <c r="N73" s="396">
        <f t="shared" si="5"/>
        <v>0</v>
      </c>
      <c r="O73" s="397"/>
      <c r="P73" s="393"/>
      <c r="Q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3:51" customFormat="1" x14ac:dyDescent="0.25">
      <c r="C74" s="398"/>
      <c r="D74" s="390"/>
      <c r="E74" s="399"/>
      <c r="F74" s="399"/>
      <c r="G74" s="392"/>
      <c r="H74" s="393"/>
      <c r="I74" s="393"/>
      <c r="J74" s="394">
        <f t="shared" si="3"/>
        <v>0</v>
      </c>
      <c r="K74" s="395"/>
      <c r="L74" s="395"/>
      <c r="M74" s="394">
        <f t="shared" si="4"/>
        <v>0</v>
      </c>
      <c r="N74" s="396">
        <f t="shared" si="5"/>
        <v>0</v>
      </c>
      <c r="O74" s="397"/>
      <c r="P74" s="393"/>
      <c r="Q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row>
    <row r="75" spans="3:51" customFormat="1" x14ac:dyDescent="0.25">
      <c r="C75" s="398"/>
      <c r="D75" s="390"/>
      <c r="E75" s="399"/>
      <c r="F75" s="399"/>
      <c r="G75" s="392"/>
      <c r="H75" s="393"/>
      <c r="I75" s="393"/>
      <c r="J75" s="394">
        <f t="shared" si="3"/>
        <v>0</v>
      </c>
      <c r="K75" s="395"/>
      <c r="L75" s="395"/>
      <c r="M75" s="394">
        <f t="shared" si="4"/>
        <v>0</v>
      </c>
      <c r="N75" s="396">
        <f t="shared" si="5"/>
        <v>0</v>
      </c>
      <c r="O75" s="397"/>
      <c r="P75" s="393"/>
      <c r="Q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row>
    <row r="76" spans="3:51" customFormat="1" x14ac:dyDescent="0.25">
      <c r="C76" s="398"/>
      <c r="D76" s="390"/>
      <c r="E76" s="399"/>
      <c r="F76" s="399"/>
      <c r="G76" s="392"/>
      <c r="H76" s="393"/>
      <c r="I76" s="393"/>
      <c r="J76" s="394">
        <f t="shared" si="3"/>
        <v>0</v>
      </c>
      <c r="K76" s="395"/>
      <c r="L76" s="395"/>
      <c r="M76" s="394">
        <f t="shared" si="4"/>
        <v>0</v>
      </c>
      <c r="N76" s="396">
        <f t="shared" si="5"/>
        <v>0</v>
      </c>
      <c r="O76" s="397"/>
      <c r="P76" s="393"/>
      <c r="Q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row>
    <row r="77" spans="3:51" customFormat="1" x14ac:dyDescent="0.25">
      <c r="C77" s="398"/>
      <c r="D77" s="390"/>
      <c r="E77" s="399"/>
      <c r="F77" s="399"/>
      <c r="G77" s="392"/>
      <c r="H77" s="393"/>
      <c r="I77" s="393"/>
      <c r="J77" s="394">
        <f t="shared" si="3"/>
        <v>0</v>
      </c>
      <c r="K77" s="395"/>
      <c r="L77" s="395"/>
      <c r="M77" s="394">
        <f t="shared" si="4"/>
        <v>0</v>
      </c>
      <c r="N77" s="396">
        <f t="shared" si="5"/>
        <v>0</v>
      </c>
      <c r="O77" s="397"/>
      <c r="P77" s="393"/>
      <c r="Q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row>
    <row r="78" spans="3:51" customFormat="1" x14ac:dyDescent="0.25">
      <c r="C78" s="398"/>
      <c r="D78" s="390"/>
      <c r="E78" s="399"/>
      <c r="F78" s="399"/>
      <c r="G78" s="392"/>
      <c r="H78" s="393"/>
      <c r="I78" s="393"/>
      <c r="J78" s="394">
        <f t="shared" si="3"/>
        <v>0</v>
      </c>
      <c r="K78" s="395"/>
      <c r="L78" s="395"/>
      <c r="M78" s="394">
        <f t="shared" si="4"/>
        <v>0</v>
      </c>
      <c r="N78" s="396">
        <f t="shared" si="5"/>
        <v>0</v>
      </c>
      <c r="O78" s="397"/>
      <c r="P78" s="393"/>
      <c r="Q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row>
    <row r="79" spans="3:51" customFormat="1" x14ac:dyDescent="0.25">
      <c r="C79" s="398"/>
      <c r="D79" s="390"/>
      <c r="E79" s="399"/>
      <c r="F79" s="399"/>
      <c r="G79" s="392"/>
      <c r="H79" s="393"/>
      <c r="I79" s="393"/>
      <c r="J79" s="394">
        <f t="shared" si="3"/>
        <v>0</v>
      </c>
      <c r="K79" s="395"/>
      <c r="L79" s="395"/>
      <c r="M79" s="394">
        <f t="shared" si="4"/>
        <v>0</v>
      </c>
      <c r="N79" s="396">
        <f t="shared" si="5"/>
        <v>0</v>
      </c>
      <c r="O79" s="397"/>
      <c r="P79" s="393"/>
      <c r="Q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row>
    <row r="80" spans="3:51" customFormat="1" x14ac:dyDescent="0.25">
      <c r="C80" s="398"/>
      <c r="D80" s="390"/>
      <c r="E80" s="399"/>
      <c r="F80" s="399"/>
      <c r="G80" s="392"/>
      <c r="H80" s="393"/>
      <c r="I80" s="393"/>
      <c r="J80" s="394">
        <f t="shared" si="3"/>
        <v>0</v>
      </c>
      <c r="K80" s="395"/>
      <c r="L80" s="395"/>
      <c r="M80" s="394">
        <f t="shared" si="4"/>
        <v>0</v>
      </c>
      <c r="N80" s="396">
        <f t="shared" si="5"/>
        <v>0</v>
      </c>
      <c r="O80" s="397"/>
      <c r="P80" s="393"/>
      <c r="Q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row>
    <row r="81" spans="3:51" customFormat="1" x14ac:dyDescent="0.25">
      <c r="C81" s="398"/>
      <c r="D81" s="390"/>
      <c r="E81" s="399"/>
      <c r="F81" s="399"/>
      <c r="G81" s="392"/>
      <c r="H81" s="393"/>
      <c r="I81" s="393"/>
      <c r="J81" s="394">
        <f t="shared" si="3"/>
        <v>0</v>
      </c>
      <c r="K81" s="395"/>
      <c r="L81" s="395"/>
      <c r="M81" s="394">
        <f t="shared" si="4"/>
        <v>0</v>
      </c>
      <c r="N81" s="396">
        <f t="shared" si="5"/>
        <v>0</v>
      </c>
      <c r="O81" s="397"/>
      <c r="P81" s="393"/>
      <c r="Q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row>
    <row r="82" spans="3:51" customFormat="1" x14ac:dyDescent="0.25">
      <c r="C82" s="398"/>
      <c r="D82" s="390"/>
      <c r="E82" s="399"/>
      <c r="F82" s="399"/>
      <c r="G82" s="392"/>
      <c r="H82" s="393"/>
      <c r="I82" s="393"/>
      <c r="J82" s="394">
        <f t="shared" si="3"/>
        <v>0</v>
      </c>
      <c r="K82" s="395"/>
      <c r="L82" s="395"/>
      <c r="M82" s="394">
        <f t="shared" si="4"/>
        <v>0</v>
      </c>
      <c r="N82" s="396">
        <f t="shared" si="5"/>
        <v>0</v>
      </c>
      <c r="O82" s="397"/>
      <c r="P82" s="393"/>
      <c r="Q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row>
    <row r="83" spans="3:51" customFormat="1" x14ac:dyDescent="0.25">
      <c r="C83" s="398"/>
      <c r="D83" s="390"/>
      <c r="E83" s="399"/>
      <c r="F83" s="399"/>
      <c r="G83" s="392"/>
      <c r="H83" s="393"/>
      <c r="I83" s="393"/>
      <c r="J83" s="394">
        <f t="shared" si="3"/>
        <v>0</v>
      </c>
      <c r="K83" s="395"/>
      <c r="L83" s="395"/>
      <c r="M83" s="394">
        <f t="shared" si="4"/>
        <v>0</v>
      </c>
      <c r="N83" s="396">
        <f t="shared" si="5"/>
        <v>0</v>
      </c>
      <c r="O83" s="397"/>
      <c r="P83" s="393"/>
      <c r="Q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row>
    <row r="84" spans="3:51" customFormat="1" x14ac:dyDescent="0.25">
      <c r="C84" s="398"/>
      <c r="D84" s="390"/>
      <c r="E84" s="399"/>
      <c r="F84" s="399"/>
      <c r="G84" s="392"/>
      <c r="H84" s="393"/>
      <c r="I84" s="393"/>
      <c r="J84" s="394">
        <f t="shared" si="3"/>
        <v>0</v>
      </c>
      <c r="K84" s="395"/>
      <c r="L84" s="395"/>
      <c r="M84" s="394">
        <f t="shared" si="4"/>
        <v>0</v>
      </c>
      <c r="N84" s="396">
        <f t="shared" si="5"/>
        <v>0</v>
      </c>
      <c r="O84" s="397"/>
      <c r="P84" s="393"/>
      <c r="Q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row>
    <row r="85" spans="3:51" customFormat="1" x14ac:dyDescent="0.25">
      <c r="C85" s="398"/>
      <c r="D85" s="390"/>
      <c r="E85" s="399"/>
      <c r="F85" s="399"/>
      <c r="G85" s="392"/>
      <c r="H85" s="393"/>
      <c r="I85" s="393"/>
      <c r="J85" s="394">
        <f t="shared" si="3"/>
        <v>0</v>
      </c>
      <c r="K85" s="395"/>
      <c r="L85" s="395"/>
      <c r="M85" s="394">
        <f t="shared" si="4"/>
        <v>0</v>
      </c>
      <c r="N85" s="396">
        <f t="shared" si="5"/>
        <v>0</v>
      </c>
      <c r="O85" s="397"/>
      <c r="P85" s="393"/>
      <c r="Q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row>
    <row r="86" spans="3:51" customFormat="1" x14ac:dyDescent="0.25">
      <c r="C86" s="398"/>
      <c r="D86" s="390"/>
      <c r="E86" s="399"/>
      <c r="F86" s="399"/>
      <c r="G86" s="392"/>
      <c r="H86" s="393"/>
      <c r="I86" s="393"/>
      <c r="J86" s="394">
        <f t="shared" si="3"/>
        <v>0</v>
      </c>
      <c r="K86" s="395"/>
      <c r="L86" s="395"/>
      <c r="M86" s="394">
        <f t="shared" si="4"/>
        <v>0</v>
      </c>
      <c r="N86" s="396">
        <f t="shared" si="5"/>
        <v>0</v>
      </c>
      <c r="O86" s="397"/>
      <c r="P86" s="393"/>
      <c r="Q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row>
    <row r="87" spans="3:51" customFormat="1" x14ac:dyDescent="0.25">
      <c r="C87" s="398"/>
      <c r="D87" s="390"/>
      <c r="E87" s="399"/>
      <c r="F87" s="399"/>
      <c r="G87" s="392"/>
      <c r="H87" s="393"/>
      <c r="I87" s="393"/>
      <c r="J87" s="394">
        <f t="shared" si="3"/>
        <v>0</v>
      </c>
      <c r="K87" s="395"/>
      <c r="L87" s="395"/>
      <c r="M87" s="394">
        <f t="shared" si="4"/>
        <v>0</v>
      </c>
      <c r="N87" s="396">
        <f t="shared" si="5"/>
        <v>0</v>
      </c>
      <c r="O87" s="397"/>
      <c r="P87" s="393"/>
      <c r="Q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row>
    <row r="88" spans="3:51" customFormat="1" x14ac:dyDescent="0.25">
      <c r="C88" s="398"/>
      <c r="D88" s="390"/>
      <c r="E88" s="399"/>
      <c r="F88" s="399"/>
      <c r="G88" s="392"/>
      <c r="H88" s="393"/>
      <c r="I88" s="393"/>
      <c r="J88" s="394">
        <f t="shared" si="3"/>
        <v>0</v>
      </c>
      <c r="K88" s="395"/>
      <c r="L88" s="395"/>
      <c r="M88" s="394">
        <f t="shared" si="4"/>
        <v>0</v>
      </c>
      <c r="N88" s="396">
        <f t="shared" si="5"/>
        <v>0</v>
      </c>
      <c r="O88" s="397"/>
      <c r="P88" s="393"/>
      <c r="Q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row>
    <row r="89" spans="3:51" customFormat="1" x14ac:dyDescent="0.25">
      <c r="C89" s="398"/>
      <c r="D89" s="390"/>
      <c r="E89" s="399"/>
      <c r="F89" s="399"/>
      <c r="G89" s="392"/>
      <c r="H89" s="393"/>
      <c r="I89" s="393"/>
      <c r="J89" s="394">
        <f t="shared" si="3"/>
        <v>0</v>
      </c>
      <c r="K89" s="395"/>
      <c r="L89" s="395"/>
      <c r="M89" s="394">
        <f t="shared" si="4"/>
        <v>0</v>
      </c>
      <c r="N89" s="396">
        <f t="shared" si="5"/>
        <v>0</v>
      </c>
      <c r="O89" s="397"/>
      <c r="P89" s="393"/>
      <c r="Q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row>
    <row r="90" spans="3:51" customFormat="1" x14ac:dyDescent="0.25">
      <c r="C90" s="398"/>
      <c r="D90" s="390"/>
      <c r="E90" s="399"/>
      <c r="F90" s="399"/>
      <c r="G90" s="392"/>
      <c r="H90" s="393"/>
      <c r="I90" s="393"/>
      <c r="J90" s="394">
        <f t="shared" si="3"/>
        <v>0</v>
      </c>
      <c r="K90" s="395"/>
      <c r="L90" s="395"/>
      <c r="M90" s="394">
        <f t="shared" si="4"/>
        <v>0</v>
      </c>
      <c r="N90" s="396">
        <f t="shared" si="5"/>
        <v>0</v>
      </c>
      <c r="O90" s="397"/>
      <c r="P90" s="393"/>
      <c r="Q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row>
    <row r="91" spans="3:51" customFormat="1" x14ac:dyDescent="0.25">
      <c r="C91" s="398"/>
      <c r="D91" s="390"/>
      <c r="E91" s="399"/>
      <c r="F91" s="399"/>
      <c r="G91" s="392"/>
      <c r="H91" s="393"/>
      <c r="I91" s="393"/>
      <c r="J91" s="394">
        <f t="shared" si="3"/>
        <v>0</v>
      </c>
      <c r="K91" s="395"/>
      <c r="L91" s="395"/>
      <c r="M91" s="394">
        <f t="shared" si="4"/>
        <v>0</v>
      </c>
      <c r="N91" s="396">
        <f t="shared" si="5"/>
        <v>0</v>
      </c>
      <c r="O91" s="397"/>
      <c r="P91" s="393"/>
      <c r="Q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row>
    <row r="92" spans="3:51" customFormat="1" x14ac:dyDescent="0.25">
      <c r="C92" s="398"/>
      <c r="D92" s="390"/>
      <c r="E92" s="399"/>
      <c r="F92" s="399"/>
      <c r="G92" s="392"/>
      <c r="H92" s="393"/>
      <c r="I92" s="393"/>
      <c r="J92" s="394">
        <f t="shared" si="3"/>
        <v>0</v>
      </c>
      <c r="K92" s="395"/>
      <c r="L92" s="395"/>
      <c r="M92" s="394">
        <f t="shared" si="4"/>
        <v>0</v>
      </c>
      <c r="N92" s="396">
        <f t="shared" si="5"/>
        <v>0</v>
      </c>
      <c r="O92" s="397"/>
      <c r="P92" s="393"/>
      <c r="Q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row>
    <row r="93" spans="3:51" customFormat="1" x14ac:dyDescent="0.25">
      <c r="C93" s="398"/>
      <c r="D93" s="390"/>
      <c r="E93" s="399"/>
      <c r="F93" s="399"/>
      <c r="G93" s="392"/>
      <c r="H93" s="393"/>
      <c r="I93" s="393"/>
      <c r="J93" s="394">
        <f t="shared" si="3"/>
        <v>0</v>
      </c>
      <c r="K93" s="395"/>
      <c r="L93" s="395"/>
      <c r="M93" s="394">
        <f t="shared" si="4"/>
        <v>0</v>
      </c>
      <c r="N93" s="396">
        <f t="shared" si="5"/>
        <v>0</v>
      </c>
      <c r="O93" s="397"/>
      <c r="P93" s="393"/>
      <c r="Q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row>
    <row r="94" spans="3:51" customFormat="1" x14ac:dyDescent="0.25">
      <c r="C94" s="398"/>
      <c r="D94" s="390"/>
      <c r="E94" s="399"/>
      <c r="F94" s="399"/>
      <c r="G94" s="392"/>
      <c r="H94" s="393"/>
      <c r="I94" s="393"/>
      <c r="J94" s="394">
        <f t="shared" ref="J94:J109" si="6">IFERROR(I94/H94,0)</f>
        <v>0</v>
      </c>
      <c r="K94" s="395"/>
      <c r="L94" s="395"/>
      <c r="M94" s="394">
        <f t="shared" ref="M94:M109" si="7">IFERROR(L94/K94,0)</f>
        <v>0</v>
      </c>
      <c r="N94" s="396">
        <f t="shared" ref="N94:N109" si="8">MIN(J94,M94)</f>
        <v>0</v>
      </c>
      <c r="O94" s="397"/>
      <c r="P94" s="393"/>
      <c r="Q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row>
    <row r="95" spans="3:51" customFormat="1" x14ac:dyDescent="0.25">
      <c r="C95" s="398"/>
      <c r="D95" s="390"/>
      <c r="E95" s="399"/>
      <c r="F95" s="399"/>
      <c r="G95" s="392"/>
      <c r="H95" s="393"/>
      <c r="I95" s="393"/>
      <c r="J95" s="394">
        <f t="shared" si="6"/>
        <v>0</v>
      </c>
      <c r="K95" s="395"/>
      <c r="L95" s="395"/>
      <c r="M95" s="394">
        <f t="shared" si="7"/>
        <v>0</v>
      </c>
      <c r="N95" s="396">
        <f t="shared" si="8"/>
        <v>0</v>
      </c>
      <c r="O95" s="397"/>
      <c r="P95" s="393"/>
      <c r="Q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row>
    <row r="96" spans="3:51" customFormat="1" x14ac:dyDescent="0.25">
      <c r="C96" s="398"/>
      <c r="D96" s="390"/>
      <c r="E96" s="399"/>
      <c r="F96" s="399"/>
      <c r="G96" s="392"/>
      <c r="H96" s="393"/>
      <c r="I96" s="393"/>
      <c r="J96" s="394">
        <f t="shared" si="6"/>
        <v>0</v>
      </c>
      <c r="K96" s="395"/>
      <c r="L96" s="395"/>
      <c r="M96" s="394">
        <f t="shared" si="7"/>
        <v>0</v>
      </c>
      <c r="N96" s="396">
        <f t="shared" si="8"/>
        <v>0</v>
      </c>
      <c r="O96" s="397"/>
      <c r="P96" s="393"/>
      <c r="Q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row>
    <row r="97" spans="3:51" customFormat="1" x14ac:dyDescent="0.25">
      <c r="C97" s="398"/>
      <c r="D97" s="390"/>
      <c r="E97" s="399"/>
      <c r="F97" s="399"/>
      <c r="G97" s="392"/>
      <c r="H97" s="393"/>
      <c r="I97" s="393"/>
      <c r="J97" s="394">
        <f t="shared" si="6"/>
        <v>0</v>
      </c>
      <c r="K97" s="395"/>
      <c r="L97" s="395"/>
      <c r="M97" s="394">
        <f t="shared" si="7"/>
        <v>0</v>
      </c>
      <c r="N97" s="396">
        <f t="shared" si="8"/>
        <v>0</v>
      </c>
      <c r="O97" s="397"/>
      <c r="P97" s="393"/>
      <c r="Q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row>
    <row r="98" spans="3:51" customFormat="1" x14ac:dyDescent="0.25">
      <c r="C98" s="398"/>
      <c r="D98" s="390"/>
      <c r="E98" s="399"/>
      <c r="F98" s="399"/>
      <c r="G98" s="392"/>
      <c r="H98" s="393"/>
      <c r="I98" s="393"/>
      <c r="J98" s="394">
        <f t="shared" si="6"/>
        <v>0</v>
      </c>
      <c r="K98" s="395"/>
      <c r="L98" s="395"/>
      <c r="M98" s="394">
        <f t="shared" si="7"/>
        <v>0</v>
      </c>
      <c r="N98" s="396">
        <f t="shared" si="8"/>
        <v>0</v>
      </c>
      <c r="O98" s="397"/>
      <c r="P98" s="393"/>
      <c r="Q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row>
    <row r="99" spans="3:51" customFormat="1" x14ac:dyDescent="0.25">
      <c r="C99" s="398"/>
      <c r="D99" s="390"/>
      <c r="E99" s="399"/>
      <c r="F99" s="399"/>
      <c r="G99" s="392"/>
      <c r="H99" s="393"/>
      <c r="I99" s="393"/>
      <c r="J99" s="394">
        <f t="shared" si="6"/>
        <v>0</v>
      </c>
      <c r="K99" s="395"/>
      <c r="L99" s="395"/>
      <c r="M99" s="394">
        <f t="shared" si="7"/>
        <v>0</v>
      </c>
      <c r="N99" s="396">
        <f t="shared" si="8"/>
        <v>0</v>
      </c>
      <c r="O99" s="397"/>
      <c r="P99" s="393"/>
      <c r="Q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row>
    <row r="100" spans="3:51" customFormat="1" x14ac:dyDescent="0.25">
      <c r="C100" s="398"/>
      <c r="D100" s="390"/>
      <c r="E100" s="399"/>
      <c r="F100" s="399"/>
      <c r="G100" s="392"/>
      <c r="H100" s="393"/>
      <c r="I100" s="393"/>
      <c r="J100" s="394">
        <f t="shared" si="6"/>
        <v>0</v>
      </c>
      <c r="K100" s="395"/>
      <c r="L100" s="395"/>
      <c r="M100" s="394">
        <f t="shared" si="7"/>
        <v>0</v>
      </c>
      <c r="N100" s="396">
        <f t="shared" si="8"/>
        <v>0</v>
      </c>
      <c r="O100" s="397"/>
      <c r="P100" s="393"/>
      <c r="Q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row>
    <row r="101" spans="3:51" customFormat="1" x14ac:dyDescent="0.25">
      <c r="C101" s="398"/>
      <c r="D101" s="390"/>
      <c r="E101" s="399"/>
      <c r="F101" s="399"/>
      <c r="G101" s="392"/>
      <c r="H101" s="393"/>
      <c r="I101" s="393"/>
      <c r="J101" s="394">
        <f t="shared" si="6"/>
        <v>0</v>
      </c>
      <c r="K101" s="395"/>
      <c r="L101" s="395"/>
      <c r="M101" s="394">
        <f t="shared" si="7"/>
        <v>0</v>
      </c>
      <c r="N101" s="396">
        <f t="shared" si="8"/>
        <v>0</v>
      </c>
      <c r="O101" s="397"/>
      <c r="P101" s="393"/>
      <c r="Q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row>
    <row r="102" spans="3:51" customFormat="1" x14ac:dyDescent="0.25">
      <c r="C102" s="398"/>
      <c r="D102" s="390"/>
      <c r="E102" s="399"/>
      <c r="F102" s="399"/>
      <c r="G102" s="392"/>
      <c r="H102" s="393"/>
      <c r="I102" s="393"/>
      <c r="J102" s="394">
        <f t="shared" si="6"/>
        <v>0</v>
      </c>
      <c r="K102" s="395"/>
      <c r="L102" s="395"/>
      <c r="M102" s="394">
        <f t="shared" si="7"/>
        <v>0</v>
      </c>
      <c r="N102" s="396">
        <f t="shared" si="8"/>
        <v>0</v>
      </c>
      <c r="O102" s="397"/>
      <c r="P102" s="393"/>
      <c r="Q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row>
    <row r="103" spans="3:51" customFormat="1" x14ac:dyDescent="0.25">
      <c r="C103" s="398"/>
      <c r="D103" s="390"/>
      <c r="E103" s="399"/>
      <c r="F103" s="399"/>
      <c r="G103" s="392"/>
      <c r="H103" s="393"/>
      <c r="I103" s="393"/>
      <c r="J103" s="394">
        <f t="shared" si="6"/>
        <v>0</v>
      </c>
      <c r="K103" s="395"/>
      <c r="L103" s="395"/>
      <c r="M103" s="394">
        <f t="shared" si="7"/>
        <v>0</v>
      </c>
      <c r="N103" s="396">
        <f t="shared" si="8"/>
        <v>0</v>
      </c>
      <c r="O103" s="397"/>
      <c r="P103" s="393"/>
      <c r="Q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row>
    <row r="104" spans="3:51" customFormat="1" x14ac:dyDescent="0.25">
      <c r="C104" s="398"/>
      <c r="D104" s="390"/>
      <c r="E104" s="399"/>
      <c r="F104" s="399"/>
      <c r="G104" s="392"/>
      <c r="H104" s="393"/>
      <c r="I104" s="393"/>
      <c r="J104" s="394">
        <f t="shared" si="6"/>
        <v>0</v>
      </c>
      <c r="K104" s="395"/>
      <c r="L104" s="395"/>
      <c r="M104" s="394">
        <f t="shared" si="7"/>
        <v>0</v>
      </c>
      <c r="N104" s="396">
        <f t="shared" si="8"/>
        <v>0</v>
      </c>
      <c r="O104" s="397"/>
      <c r="P104" s="393"/>
      <c r="Q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row>
    <row r="105" spans="3:51" customFormat="1" x14ac:dyDescent="0.25">
      <c r="C105" s="398"/>
      <c r="D105" s="390"/>
      <c r="E105" s="399"/>
      <c r="F105" s="399"/>
      <c r="G105" s="392"/>
      <c r="H105" s="393"/>
      <c r="I105" s="393"/>
      <c r="J105" s="394">
        <f t="shared" si="6"/>
        <v>0</v>
      </c>
      <c r="K105" s="395"/>
      <c r="L105" s="395"/>
      <c r="M105" s="394">
        <f t="shared" si="7"/>
        <v>0</v>
      </c>
      <c r="N105" s="396">
        <f t="shared" si="8"/>
        <v>0</v>
      </c>
      <c r="O105" s="397"/>
      <c r="P105" s="393"/>
      <c r="Q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row>
    <row r="106" spans="3:51" customFormat="1" x14ac:dyDescent="0.25">
      <c r="C106" s="398"/>
      <c r="D106" s="390"/>
      <c r="E106" s="399"/>
      <c r="F106" s="399"/>
      <c r="G106" s="392"/>
      <c r="H106" s="393"/>
      <c r="I106" s="393"/>
      <c r="J106" s="394">
        <f t="shared" si="6"/>
        <v>0</v>
      </c>
      <c r="K106" s="395"/>
      <c r="L106" s="395"/>
      <c r="M106" s="394">
        <f t="shared" si="7"/>
        <v>0</v>
      </c>
      <c r="N106" s="396">
        <f t="shared" si="8"/>
        <v>0</v>
      </c>
      <c r="O106" s="397"/>
      <c r="P106" s="393"/>
      <c r="Q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row>
    <row r="107" spans="3:51" customFormat="1" x14ac:dyDescent="0.25">
      <c r="C107" s="398"/>
      <c r="D107" s="390"/>
      <c r="E107" s="399"/>
      <c r="F107" s="399"/>
      <c r="G107" s="392"/>
      <c r="H107" s="393"/>
      <c r="I107" s="393"/>
      <c r="J107" s="394">
        <f t="shared" si="6"/>
        <v>0</v>
      </c>
      <c r="K107" s="395"/>
      <c r="L107" s="395"/>
      <c r="M107" s="394">
        <f t="shared" si="7"/>
        <v>0</v>
      </c>
      <c r="N107" s="396">
        <f t="shared" si="8"/>
        <v>0</v>
      </c>
      <c r="O107" s="397"/>
      <c r="P107" s="393"/>
      <c r="Q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row>
    <row r="108" spans="3:51" customFormat="1" x14ac:dyDescent="0.25">
      <c r="C108" s="398"/>
      <c r="D108" s="390"/>
      <c r="E108" s="399"/>
      <c r="F108" s="399"/>
      <c r="G108" s="392"/>
      <c r="H108" s="393"/>
      <c r="I108" s="393"/>
      <c r="J108" s="394">
        <f t="shared" si="6"/>
        <v>0</v>
      </c>
      <c r="K108" s="395"/>
      <c r="L108" s="395"/>
      <c r="M108" s="394">
        <f t="shared" si="7"/>
        <v>0</v>
      </c>
      <c r="N108" s="396">
        <f t="shared" si="8"/>
        <v>0</v>
      </c>
      <c r="O108" s="397"/>
      <c r="P108" s="393"/>
      <c r="Q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row>
    <row r="109" spans="3:51" customFormat="1" x14ac:dyDescent="0.25">
      <c r="C109" s="398"/>
      <c r="D109" s="390"/>
      <c r="E109" s="399"/>
      <c r="F109" s="399"/>
      <c r="G109" s="392"/>
      <c r="H109" s="393"/>
      <c r="I109" s="393"/>
      <c r="J109" s="394">
        <f t="shared" si="6"/>
        <v>0</v>
      </c>
      <c r="K109" s="395"/>
      <c r="L109" s="395"/>
      <c r="M109" s="394">
        <f t="shared" si="7"/>
        <v>0</v>
      </c>
      <c r="N109" s="396">
        <f t="shared" si="8"/>
        <v>0</v>
      </c>
      <c r="O109" s="397"/>
      <c r="P109" s="393"/>
      <c r="Q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row>
    <row r="110" spans="3:51" customFormat="1" x14ac:dyDescent="0.25">
      <c r="C110" s="47" t="s">
        <v>240</v>
      </c>
      <c r="D110" s="7"/>
      <c r="E110" s="7"/>
      <c r="F110" s="7"/>
      <c r="G110" s="7"/>
      <c r="H110" s="400">
        <f>SUM(H10:H29)</f>
        <v>0</v>
      </c>
      <c r="I110" s="400">
        <f>SUM(I10:I29)</f>
        <v>0</v>
      </c>
      <c r="J110" s="7"/>
      <c r="K110" s="7"/>
      <c r="L110" s="7"/>
      <c r="M110" s="7"/>
      <c r="N110" s="7"/>
      <c r="O110" s="7"/>
      <c r="P110" s="7"/>
      <c r="Q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row>
    <row r="111" spans="3:51" customFormat="1" x14ac:dyDescent="0.25">
      <c r="C111" s="44"/>
      <c r="D111" s="7"/>
      <c r="E111" s="7"/>
      <c r="F111" s="7"/>
      <c r="G111" s="7"/>
      <c r="H111" s="7"/>
      <c r="I111" s="7"/>
      <c r="J111" s="7"/>
      <c r="K111" s="7"/>
      <c r="L111" s="7"/>
      <c r="M111" s="7"/>
      <c r="N111" s="7"/>
      <c r="O111" s="7"/>
      <c r="P111" s="7"/>
      <c r="Q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row>
    <row r="112" spans="3:51" x14ac:dyDescent="0.25">
      <c r="C112" s="7" t="s">
        <v>2226</v>
      </c>
      <c r="E112" s="400">
        <f>GENERAL!H161</f>
        <v>0</v>
      </c>
      <c r="F112" s="786"/>
    </row>
  </sheetData>
  <sheetProtection algorithmName="SHA-512" hashValue="IxOCL/DB/YPGPJ4mIrmMuYXyUXErCnO9pYgrPXdSUatHI1fwH+Htq1fptJFMleq2TgtvDyzrWtvKBkzOwSQy3A==" saltValue="oEI8y8E+JaaX3eXd0XusxA==" spinCount="100000" sheet="1" objects="1" scenarios="1"/>
  <phoneticPr fontId="19" type="noConversion"/>
  <dataValidations count="1">
    <dataValidation type="list" allowBlank="1" showInputMessage="1" showErrorMessage="1" sqref="P10:P109" xr:uid="{B7C04792-8569-4635-AE6C-6F769889EDB8}">
      <formula1>$S$11:$S$16</formula1>
    </dataValidation>
  </dataValidations>
  <pageMargins left="0.25" right="0.25" top="0.25" bottom="0.25" header="0.25" footer="0.25"/>
  <pageSetup scale="41" fitToHeight="0" orientation="portrait" useFirstPageNumber="1" r:id="rId1"/>
  <headerFooter scaleWithDoc="0" alignWithMargins="0"/>
  <ignoredErrors>
    <ignoredError sqref="P4:P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codeName="Sheet8">
    <tabColor rgb="FF0000FF"/>
    <pageSetUpPr fitToPage="1"/>
  </sheetPr>
  <dimension ref="C2:O162"/>
  <sheetViews>
    <sheetView showGridLines="0" view="pageBreakPreview" zoomScale="110" zoomScaleNormal="130" zoomScaleSheetLayoutView="110" workbookViewId="0">
      <selection activeCell="H22" sqref="H22"/>
    </sheetView>
  </sheetViews>
  <sheetFormatPr defaultColWidth="11.77734375" defaultRowHeight="13.2" x14ac:dyDescent="0.25"/>
  <cols>
    <col min="1" max="2" width="2.77734375" style="7" customWidth="1"/>
    <col min="3" max="3" width="11.77734375" style="7"/>
    <col min="4" max="4" width="23.77734375" style="7" customWidth="1"/>
    <col min="5" max="6" width="15.44140625" style="7" customWidth="1"/>
    <col min="7" max="7" width="18" style="7" customWidth="1"/>
    <col min="8" max="8" width="15.44140625" style="7" customWidth="1"/>
    <col min="9" max="9" width="17.44140625" style="7" customWidth="1"/>
    <col min="10" max="10" width="14.44140625" style="7" customWidth="1"/>
    <col min="11" max="12" width="18.109375" style="7" customWidth="1"/>
    <col min="13" max="13" width="2.77734375" style="7" customWidth="1"/>
    <col min="14" max="14" width="11.77734375" style="7"/>
    <col min="15" max="15" width="0" style="7" hidden="1" customWidth="1"/>
    <col min="16" max="16384" width="11.77734375" style="7"/>
  </cols>
  <sheetData>
    <row r="2" spans="3:15" ht="18" x14ac:dyDescent="0.35">
      <c r="C2" s="127" t="s">
        <v>929</v>
      </c>
      <c r="D2" s="41"/>
      <c r="E2" s="41"/>
      <c r="F2" s="41"/>
      <c r="G2" s="41"/>
      <c r="H2" s="41"/>
      <c r="I2" s="41"/>
      <c r="J2" s="41"/>
      <c r="K2" s="41"/>
      <c r="L2" s="41"/>
      <c r="M2" s="41"/>
    </row>
    <row r="3" spans="3:15" x14ac:dyDescent="0.25">
      <c r="C3" s="47"/>
      <c r="K3" s="120">
        <f>projname</f>
        <v>0</v>
      </c>
      <c r="L3" s="120"/>
      <c r="M3" s="121"/>
    </row>
    <row r="4" spans="3:15" x14ac:dyDescent="0.25">
      <c r="J4" s="9" t="s">
        <v>227</v>
      </c>
      <c r="K4" s="384">
        <f>GENERAL!D7</f>
        <v>0</v>
      </c>
      <c r="L4" s="1400"/>
      <c r="M4" s="121"/>
    </row>
    <row r="5" spans="3:15" x14ac:dyDescent="0.25">
      <c r="C5" s="336" t="s">
        <v>2</v>
      </c>
      <c r="D5" s="234"/>
      <c r="E5" s="234"/>
      <c r="F5" s="234"/>
      <c r="G5" s="234"/>
      <c r="H5" s="234"/>
      <c r="I5" s="234"/>
      <c r="J5" s="234"/>
      <c r="K5" s="234"/>
      <c r="L5" s="234"/>
    </row>
    <row r="6" spans="3:15" x14ac:dyDescent="0.25">
      <c r="C6" s="44"/>
    </row>
    <row r="7" spans="3:15" x14ac:dyDescent="0.25">
      <c r="C7" s="100" t="s">
        <v>930</v>
      </c>
    </row>
    <row r="8" spans="3:15" x14ac:dyDescent="0.25">
      <c r="C8" s="44" t="s">
        <v>32</v>
      </c>
      <c r="E8" s="304">
        <f>GENERAL!F37</f>
        <v>0</v>
      </c>
      <c r="F8" s="10"/>
      <c r="G8" s="10"/>
      <c r="H8" s="10" t="s">
        <v>39</v>
      </c>
      <c r="I8" s="10"/>
      <c r="J8" s="10">
        <f>GENERAL!J40</f>
        <v>0</v>
      </c>
      <c r="O8" s="7" t="s">
        <v>152</v>
      </c>
    </row>
    <row r="9" spans="3:15" x14ac:dyDescent="0.25">
      <c r="C9" s="44" t="s">
        <v>931</v>
      </c>
      <c r="E9" s="10">
        <f>GENERAL!F38</f>
        <v>0</v>
      </c>
      <c r="F9" s="10"/>
      <c r="G9" s="10"/>
      <c r="H9" s="10" t="s">
        <v>2670</v>
      </c>
      <c r="I9" s="10"/>
      <c r="J9" s="1399"/>
      <c r="O9" s="7" t="s">
        <v>153</v>
      </c>
    </row>
    <row r="10" spans="3:15" x14ac:dyDescent="0.25">
      <c r="C10" s="44" t="s">
        <v>38</v>
      </c>
      <c r="E10" s="10">
        <f>GENERAL!F40</f>
        <v>0</v>
      </c>
      <c r="F10" s="10"/>
      <c r="G10" s="10"/>
      <c r="H10" s="10" t="s">
        <v>2671</v>
      </c>
      <c r="I10" s="10"/>
      <c r="J10" s="1399"/>
      <c r="O10" s="7" t="s">
        <v>154</v>
      </c>
    </row>
    <row r="11" spans="3:15" x14ac:dyDescent="0.25">
      <c r="C11" s="44" t="s">
        <v>431</v>
      </c>
      <c r="E11" s="10">
        <f>GENERAL!F46</f>
        <v>0</v>
      </c>
      <c r="F11" s="10"/>
      <c r="G11" s="10"/>
      <c r="H11" s="10" t="s">
        <v>2672</v>
      </c>
      <c r="I11" s="10"/>
      <c r="J11" s="10">
        <f>INCOME!F41</f>
        <v>0</v>
      </c>
      <c r="O11" s="7" t="s">
        <v>156</v>
      </c>
    </row>
    <row r="12" spans="3:15" x14ac:dyDescent="0.25">
      <c r="C12" s="44" t="s">
        <v>2696</v>
      </c>
      <c r="E12" s="10">
        <f>GENERAL!F15</f>
        <v>0</v>
      </c>
      <c r="F12" s="10"/>
      <c r="G12" s="10"/>
      <c r="H12" s="10" t="s">
        <v>2673</v>
      </c>
      <c r="I12" s="10"/>
      <c r="J12" s="10">
        <f>INCOME!F59</f>
        <v>0</v>
      </c>
      <c r="O12" s="7" t="s">
        <v>158</v>
      </c>
    </row>
    <row r="13" spans="3:15" x14ac:dyDescent="0.25">
      <c r="C13" s="44" t="s">
        <v>2668</v>
      </c>
      <c r="E13" s="1702"/>
      <c r="F13" s="1702"/>
      <c r="G13" s="10"/>
      <c r="H13" s="10" t="s">
        <v>2675</v>
      </c>
      <c r="I13" s="10"/>
      <c r="J13" s="10">
        <f>INCOME!I93</f>
        <v>0</v>
      </c>
      <c r="O13" s="7" t="s">
        <v>160</v>
      </c>
    </row>
    <row r="14" spans="3:15" x14ac:dyDescent="0.25">
      <c r="C14" s="44" t="s">
        <v>2669</v>
      </c>
      <c r="E14" s="10">
        <f>GENERAL!F114</f>
        <v>0</v>
      </c>
      <c r="H14" s="7" t="s">
        <v>2674</v>
      </c>
      <c r="J14" s="10">
        <f>GEN_AreaCommercial</f>
        <v>0</v>
      </c>
    </row>
    <row r="15" spans="3:15" x14ac:dyDescent="0.25">
      <c r="C15" s="44"/>
      <c r="E15" s="10"/>
      <c r="J15" s="10"/>
    </row>
    <row r="16" spans="3:15" x14ac:dyDescent="0.25">
      <c r="C16" s="291" t="s">
        <v>2676</v>
      </c>
      <c r="D16"/>
      <c r="E16"/>
      <c r="F16"/>
      <c r="G16"/>
      <c r="H16"/>
      <c r="I16"/>
      <c r="J16"/>
      <c r="K16"/>
    </row>
    <row r="17" spans="3:13" x14ac:dyDescent="0.25">
      <c r="C17" s="12" t="s">
        <v>2677</v>
      </c>
      <c r="D17"/>
      <c r="E17" s="237">
        <f>GEN_OwnerName</f>
        <v>0</v>
      </c>
      <c r="F17"/>
      <c r="G17"/>
      <c r="H17" t="s">
        <v>250</v>
      </c>
      <c r="I17"/>
      <c r="J17" s="1504" t="str">
        <f>'DEV TEAM'!E41</f>
        <v>Required</v>
      </c>
      <c r="K17"/>
    </row>
    <row r="18" spans="3:13" x14ac:dyDescent="0.25">
      <c r="C18" s="12" t="s">
        <v>244</v>
      </c>
      <c r="D18"/>
      <c r="E18" s="237" t="str">
        <f>DEV_CompanyName1</f>
        <v>Required</v>
      </c>
      <c r="F18"/>
      <c r="G18"/>
      <c r="H18" t="s">
        <v>255</v>
      </c>
      <c r="I18"/>
      <c r="J18" s="1504" t="str">
        <f>'DEV TEAM'!E52</f>
        <v>Required</v>
      </c>
      <c r="K18"/>
    </row>
    <row r="19" spans="3:13" x14ac:dyDescent="0.25">
      <c r="C19" s="12" t="s">
        <v>2714</v>
      </c>
      <c r="D19"/>
      <c r="E19" s="237" t="str">
        <f>'DEV TEAM'!E30</f>
        <v>Required, if applicable</v>
      </c>
      <c r="F19"/>
      <c r="G19"/>
      <c r="H19" t="s">
        <v>2076</v>
      </c>
      <c r="I19"/>
      <c r="J19" s="1504" t="str">
        <f>'DEV TEAM'!E63</f>
        <v>Required</v>
      </c>
      <c r="K19"/>
    </row>
    <row r="20" spans="3:13" x14ac:dyDescent="0.25">
      <c r="C20" s="12" t="s">
        <v>248</v>
      </c>
      <c r="D20"/>
      <c r="E20" s="237" t="str">
        <f>DEV_CompanyName2</f>
        <v>Required</v>
      </c>
      <c r="F20"/>
      <c r="G20"/>
      <c r="H20"/>
      <c r="I20"/>
      <c r="J20" s="237"/>
      <c r="K20"/>
    </row>
    <row r="21" spans="3:13" x14ac:dyDescent="0.25">
      <c r="C21" s="44"/>
      <c r="E21" s="10"/>
    </row>
    <row r="22" spans="3:13" x14ac:dyDescent="0.25">
      <c r="C22" s="100" t="s">
        <v>2679</v>
      </c>
    </row>
    <row r="23" spans="3:13" x14ac:dyDescent="0.25">
      <c r="C23" s="44" t="s">
        <v>2680</v>
      </c>
      <c r="E23" s="1399"/>
      <c r="G23" s="7" t="s">
        <v>2681</v>
      </c>
      <c r="I23" s="1399"/>
      <c r="K23" s="7" t="s">
        <v>2683</v>
      </c>
      <c r="L23" s="1402"/>
    </row>
    <row r="24" spans="3:13" x14ac:dyDescent="0.25">
      <c r="C24" s="44" t="s">
        <v>2777</v>
      </c>
      <c r="E24" s="1725"/>
      <c r="G24" s="7" t="s">
        <v>2682</v>
      </c>
      <c r="I24" s="1399"/>
    </row>
    <row r="25" spans="3:13" x14ac:dyDescent="0.25">
      <c r="C25" s="44"/>
    </row>
    <row r="26" spans="3:13" x14ac:dyDescent="0.25">
      <c r="C26" s="100" t="s">
        <v>19</v>
      </c>
      <c r="I26" s="43" t="s">
        <v>932</v>
      </c>
      <c r="K26" s="43" t="s">
        <v>2684</v>
      </c>
      <c r="L26" s="1387" t="s">
        <v>2685</v>
      </c>
    </row>
    <row r="27" spans="3:13" x14ac:dyDescent="0.25">
      <c r="C27" s="12" t="str">
        <f>GENERAL!C18</f>
        <v>Low Income Housing Tax Credit</v>
      </c>
      <c r="D27"/>
      <c r="G27" s="614">
        <f>GENERAL!F18</f>
        <v>0</v>
      </c>
      <c r="I27" s="7" t="s">
        <v>933</v>
      </c>
      <c r="K27" s="533">
        <f>GENERAL!H147</f>
        <v>0</v>
      </c>
      <c r="L27" s="859" t="e">
        <f>K27/$K$36</f>
        <v>#DIV/0!</v>
      </c>
      <c r="M27" s="9"/>
    </row>
    <row r="28" spans="3:13" x14ac:dyDescent="0.25">
      <c r="C28" s="12" t="str">
        <f>GENERAL!C19</f>
        <v>Multifamily Bonds (taxable)</v>
      </c>
      <c r="D28"/>
      <c r="G28" s="615">
        <f>GENERAL!F19</f>
        <v>0</v>
      </c>
      <c r="I28" s="7" t="s">
        <v>934</v>
      </c>
      <c r="K28" s="533">
        <f>GENERAL!H149</f>
        <v>0</v>
      </c>
      <c r="L28" s="859" t="e">
        <f t="shared" ref="L28:L35" si="0">K28/$K$36</f>
        <v>#DIV/0!</v>
      </c>
      <c r="M28" s="9"/>
    </row>
    <row r="29" spans="3:13" x14ac:dyDescent="0.25">
      <c r="C29" s="12" t="str">
        <f>GENERAL!C20</f>
        <v xml:space="preserve">Multifamily Bonds (long term tax-exempt) </v>
      </c>
      <c r="D29"/>
      <c r="G29" s="615">
        <f>GENERAL!F20</f>
        <v>0</v>
      </c>
      <c r="I29" s="7" t="s">
        <v>935</v>
      </c>
      <c r="K29" s="533">
        <f>GENERAL!H151</f>
        <v>0</v>
      </c>
      <c r="L29" s="859" t="e">
        <f t="shared" si="0"/>
        <v>#DIV/0!</v>
      </c>
      <c r="M29" s="9"/>
    </row>
    <row r="30" spans="3:13" x14ac:dyDescent="0.25">
      <c r="C30" s="12" t="str">
        <f>GENERAL!C21</f>
        <v xml:space="preserve">Multifamily Bonds (short term tax-exempt) </v>
      </c>
      <c r="D30"/>
      <c r="G30" s="615">
        <f>GENERAL!F21</f>
        <v>0</v>
      </c>
      <c r="I30" s="7" t="s">
        <v>936</v>
      </c>
      <c r="K30" s="533">
        <f>GENERAL!H153</f>
        <v>0</v>
      </c>
      <c r="L30" s="859" t="e">
        <f t="shared" si="0"/>
        <v>#DIV/0!</v>
      </c>
      <c r="M30" s="9"/>
    </row>
    <row r="31" spans="3:13" x14ac:dyDescent="0.25">
      <c r="C31" s="291" t="str">
        <f>GENERAL!C23</f>
        <v>DHCD Subordinate Financing</v>
      </c>
      <c r="D31"/>
      <c r="I31" s="7" t="s">
        <v>937</v>
      </c>
      <c r="K31" s="533">
        <f>GENERAL!H155</f>
        <v>0</v>
      </c>
      <c r="L31" s="859" t="e">
        <f t="shared" si="0"/>
        <v>#DIV/0!</v>
      </c>
      <c r="M31" s="9"/>
    </row>
    <row r="32" spans="3:13" x14ac:dyDescent="0.25">
      <c r="C32" s="12" t="str">
        <f>GENERAL!C24</f>
        <v>Rental Housing Program Funds</v>
      </c>
      <c r="D32"/>
      <c r="G32" s="615">
        <f>GENERAL!F24</f>
        <v>0</v>
      </c>
      <c r="I32" s="7" t="s">
        <v>938</v>
      </c>
      <c r="K32" s="533">
        <f>GENERAL!H157</f>
        <v>0</v>
      </c>
      <c r="L32" s="859" t="e">
        <f t="shared" si="0"/>
        <v>#DIV/0!</v>
      </c>
      <c r="M32" s="9"/>
    </row>
    <row r="33" spans="3:13" x14ac:dyDescent="0.25">
      <c r="C33" s="12" t="str">
        <f>GENERAL!C25</f>
        <v>Rental Housing Works</v>
      </c>
      <c r="D33"/>
      <c r="G33" s="615">
        <f>GENERAL!F25</f>
        <v>0</v>
      </c>
      <c r="I33" s="7" t="s">
        <v>939</v>
      </c>
      <c r="K33" s="533">
        <f>GENERAL!H159</f>
        <v>0</v>
      </c>
      <c r="L33" s="859" t="e">
        <f t="shared" si="0"/>
        <v>#DIV/0!</v>
      </c>
      <c r="M33" s="9"/>
    </row>
    <row r="34" spans="3:13" x14ac:dyDescent="0.25">
      <c r="C34" s="12" t="str">
        <f>GENERAL!C26</f>
        <v>Housing Trust Fund</v>
      </c>
      <c r="D34"/>
      <c r="G34" s="615">
        <f>GENERAL!F26</f>
        <v>0</v>
      </c>
      <c r="I34" s="7" t="s">
        <v>940</v>
      </c>
      <c r="K34" s="533">
        <f>GENERAL!H161</f>
        <v>0</v>
      </c>
      <c r="L34" s="859" t="e">
        <f t="shared" si="0"/>
        <v>#DIV/0!</v>
      </c>
      <c r="M34" s="9"/>
    </row>
    <row r="35" spans="3:13" x14ac:dyDescent="0.25">
      <c r="C35" s="12" t="str">
        <f>GENERAL!C27</f>
        <v>HOME Funds (DHCD)</v>
      </c>
      <c r="D35"/>
      <c r="G35" s="615">
        <f>GENERAL!F27</f>
        <v>0</v>
      </c>
      <c r="I35" s="7" t="s">
        <v>941</v>
      </c>
      <c r="K35" s="533">
        <f>GENERAL!H163</f>
        <v>0</v>
      </c>
      <c r="L35" s="859" t="e">
        <f t="shared" si="0"/>
        <v>#DIV/0!</v>
      </c>
      <c r="M35" s="9"/>
    </row>
    <row r="36" spans="3:13" x14ac:dyDescent="0.25">
      <c r="C36" s="12" t="str">
        <f>GENERAL!C28</f>
        <v>HOME ARP (DHCD)</v>
      </c>
      <c r="D36"/>
      <c r="G36" s="615">
        <f>GENERAL!F28</f>
        <v>0</v>
      </c>
      <c r="I36" s="43" t="s">
        <v>190</v>
      </c>
      <c r="K36" s="616">
        <f>GENERAL!H165</f>
        <v>0</v>
      </c>
      <c r="L36" s="1403" t="e">
        <f>SUM(L27:L35)</f>
        <v>#DIV/0!</v>
      </c>
      <c r="M36" s="9"/>
    </row>
    <row r="37" spans="3:13" x14ac:dyDescent="0.25">
      <c r="C37" s="12" t="str">
        <f>GENERAL!C29</f>
        <v>Partnership Rental Housing Program Funds</v>
      </c>
      <c r="D37"/>
      <c r="G37" s="615">
        <f>GENERAL!F29</f>
        <v>0</v>
      </c>
      <c r="L37" s="873"/>
      <c r="M37" s="9"/>
    </row>
    <row r="38" spans="3:13" x14ac:dyDescent="0.25">
      <c r="C38" s="12" t="str">
        <f>GENERAL!C30</f>
        <v>Weinberg</v>
      </c>
      <c r="D38"/>
      <c r="G38" s="615">
        <f>GENERAL!F30</f>
        <v>0</v>
      </c>
      <c r="M38" s="99"/>
    </row>
    <row r="39" spans="3:13" x14ac:dyDescent="0.25">
      <c r="C39" s="12" t="str">
        <f>GENERAL!C31</f>
        <v>MEEHA</v>
      </c>
      <c r="D39"/>
      <c r="G39" s="615">
        <f>GENERAL!F31</f>
        <v>0</v>
      </c>
      <c r="I39" s="43"/>
      <c r="M39" s="99"/>
    </row>
    <row r="40" spans="3:13" x14ac:dyDescent="0.25">
      <c r="C40" s="12" t="str">
        <f>GENERAL!C32</f>
        <v>Other:</v>
      </c>
      <c r="D40" s="617" t="str">
        <f>GENERAL!D32</f>
        <v/>
      </c>
      <c r="E40" s="234"/>
      <c r="G40" s="615">
        <f>GENERAL!F32</f>
        <v>0</v>
      </c>
      <c r="I40" s="43"/>
      <c r="M40" s="99"/>
    </row>
    <row r="41" spans="3:13" x14ac:dyDescent="0.25">
      <c r="C41" s="12" t="str">
        <f>GENERAL!C33</f>
        <v>Other:</v>
      </c>
      <c r="D41" s="617" t="str">
        <f>GENERAL!D33</f>
        <v/>
      </c>
      <c r="E41" s="234"/>
      <c r="G41" s="615">
        <f>GENERAL!F33</f>
        <v>0</v>
      </c>
    </row>
    <row r="42" spans="3:13" x14ac:dyDescent="0.25">
      <c r="C42" s="12"/>
      <c r="D42" s="311"/>
      <c r="G42" s="1404"/>
    </row>
    <row r="43" spans="3:13" x14ac:dyDescent="0.25">
      <c r="C43" s="336" t="s">
        <v>2686</v>
      </c>
      <c r="D43" s="234"/>
      <c r="E43" s="234"/>
      <c r="F43" s="234"/>
      <c r="G43" s="234"/>
      <c r="H43" s="234"/>
      <c r="I43" s="234"/>
      <c r="J43" s="234"/>
      <c r="K43" s="234"/>
      <c r="L43" s="1277"/>
    </row>
    <row r="44" spans="3:13" s="117" customFormat="1" ht="26.4" x14ac:dyDescent="0.25">
      <c r="C44" s="1406" t="s">
        <v>2694</v>
      </c>
      <c r="D44" s="1407" t="s">
        <v>2693</v>
      </c>
      <c r="E44" s="168" t="s">
        <v>2687</v>
      </c>
      <c r="F44" s="168" t="s">
        <v>2688</v>
      </c>
      <c r="G44" s="1408" t="s">
        <v>2689</v>
      </c>
      <c r="H44" s="168" t="s">
        <v>2778</v>
      </c>
      <c r="I44" s="168" t="s">
        <v>2695</v>
      </c>
      <c r="J44" s="168" t="s">
        <v>2690</v>
      </c>
      <c r="K44" s="168" t="s">
        <v>2691</v>
      </c>
      <c r="L44" s="168" t="s">
        <v>2692</v>
      </c>
    </row>
    <row r="45" spans="3:13" x14ac:dyDescent="0.25">
      <c r="C45" s="1402"/>
      <c r="D45" s="1399"/>
      <c r="E45" s="1405"/>
      <c r="F45" s="1405"/>
      <c r="G45" s="1405"/>
      <c r="H45" s="1421">
        <f>E45+F45</f>
        <v>0</v>
      </c>
      <c r="I45" s="1405"/>
      <c r="J45" s="1399"/>
      <c r="K45" s="1422">
        <f>IFERROR((J45-E45)/J45,0)</f>
        <v>0</v>
      </c>
      <c r="L45" s="1422">
        <f>IFERROR(E45/I45,0)</f>
        <v>0</v>
      </c>
    </row>
    <row r="46" spans="3:13" x14ac:dyDescent="0.25">
      <c r="C46" s="1402"/>
      <c r="D46" s="1399"/>
      <c r="E46" s="1405"/>
      <c r="F46" s="1405"/>
      <c r="G46" s="1405"/>
      <c r="H46" s="1421">
        <f t="shared" ref="H46:H56" si="1">E46+F46</f>
        <v>0</v>
      </c>
      <c r="I46" s="1405"/>
      <c r="J46" s="1399"/>
      <c r="K46" s="1422">
        <f>IFERROR((J46-E46)/J46,0)</f>
        <v>0</v>
      </c>
      <c r="L46" s="1422">
        <f t="shared" ref="L46:L56" si="2">IFERROR(E46/I46,0)</f>
        <v>0</v>
      </c>
    </row>
    <row r="47" spans="3:13" x14ac:dyDescent="0.25">
      <c r="C47" s="1402"/>
      <c r="D47" s="1399"/>
      <c r="E47" s="1405"/>
      <c r="F47" s="1405"/>
      <c r="G47" s="1405"/>
      <c r="H47" s="1421">
        <f t="shared" si="1"/>
        <v>0</v>
      </c>
      <c r="I47" s="1405"/>
      <c r="J47" s="1399"/>
      <c r="K47" s="1422">
        <f t="shared" ref="K47:K55" si="3">IFERROR((J47-E47)/J47,0)</f>
        <v>0</v>
      </c>
      <c r="L47" s="1422">
        <f t="shared" si="2"/>
        <v>0</v>
      </c>
    </row>
    <row r="48" spans="3:13" x14ac:dyDescent="0.25">
      <c r="C48" s="1402"/>
      <c r="D48" s="1399"/>
      <c r="E48" s="1405"/>
      <c r="F48" s="1405"/>
      <c r="G48" s="1405"/>
      <c r="H48" s="1421">
        <f>E48+F48</f>
        <v>0</v>
      </c>
      <c r="I48" s="1405"/>
      <c r="J48" s="1399"/>
      <c r="K48" s="1422">
        <f t="shared" si="3"/>
        <v>0</v>
      </c>
      <c r="L48" s="1422">
        <f t="shared" si="2"/>
        <v>0</v>
      </c>
    </row>
    <row r="49" spans="3:13" x14ac:dyDescent="0.25">
      <c r="C49" s="1402"/>
      <c r="D49" s="1399"/>
      <c r="E49" s="1405"/>
      <c r="F49" s="1405"/>
      <c r="G49" s="1405"/>
      <c r="H49" s="1421">
        <f t="shared" si="1"/>
        <v>0</v>
      </c>
      <c r="I49" s="1405"/>
      <c r="J49" s="1399"/>
      <c r="K49" s="1422">
        <f t="shared" si="3"/>
        <v>0</v>
      </c>
      <c r="L49" s="1422">
        <f t="shared" si="2"/>
        <v>0</v>
      </c>
    </row>
    <row r="50" spans="3:13" x14ac:dyDescent="0.25">
      <c r="C50" s="1402"/>
      <c r="D50" s="1399"/>
      <c r="E50" s="1405"/>
      <c r="F50" s="1405"/>
      <c r="G50" s="1405"/>
      <c r="H50" s="1421">
        <f t="shared" si="1"/>
        <v>0</v>
      </c>
      <c r="I50" s="1405"/>
      <c r="J50" s="1399"/>
      <c r="K50" s="1422">
        <f t="shared" si="3"/>
        <v>0</v>
      </c>
      <c r="L50" s="1422">
        <f t="shared" si="2"/>
        <v>0</v>
      </c>
    </row>
    <row r="51" spans="3:13" x14ac:dyDescent="0.25">
      <c r="C51" s="1402"/>
      <c r="D51" s="1399"/>
      <c r="E51" s="1405"/>
      <c r="F51" s="1405"/>
      <c r="G51" s="1405"/>
      <c r="H51" s="1421">
        <f t="shared" si="1"/>
        <v>0</v>
      </c>
      <c r="I51" s="1405"/>
      <c r="J51" s="1399"/>
      <c r="K51" s="1422">
        <f>IFERROR((J51-E51)/J51,0)</f>
        <v>0</v>
      </c>
      <c r="L51" s="1422">
        <f t="shared" si="2"/>
        <v>0</v>
      </c>
    </row>
    <row r="52" spans="3:13" x14ac:dyDescent="0.25">
      <c r="C52" s="1402"/>
      <c r="D52" s="1399"/>
      <c r="E52" s="1405"/>
      <c r="F52" s="1405"/>
      <c r="G52" s="1405"/>
      <c r="H52" s="1421">
        <f t="shared" si="1"/>
        <v>0</v>
      </c>
      <c r="I52" s="1405"/>
      <c r="J52" s="1399"/>
      <c r="K52" s="1422">
        <f t="shared" si="3"/>
        <v>0</v>
      </c>
      <c r="L52" s="1422">
        <f t="shared" si="2"/>
        <v>0</v>
      </c>
    </row>
    <row r="53" spans="3:13" x14ac:dyDescent="0.25">
      <c r="C53" s="1402"/>
      <c r="D53" s="1399"/>
      <c r="E53" s="1405"/>
      <c r="F53" s="1405"/>
      <c r="G53" s="1405"/>
      <c r="H53" s="1421">
        <f t="shared" si="1"/>
        <v>0</v>
      </c>
      <c r="I53" s="1405"/>
      <c r="J53" s="1399"/>
      <c r="K53" s="1422">
        <f t="shared" si="3"/>
        <v>0</v>
      </c>
      <c r="L53" s="1422">
        <f t="shared" si="2"/>
        <v>0</v>
      </c>
    </row>
    <row r="54" spans="3:13" x14ac:dyDescent="0.25">
      <c r="C54" s="1402"/>
      <c r="D54" s="1399"/>
      <c r="E54" s="1405"/>
      <c r="F54" s="1405"/>
      <c r="G54" s="1405"/>
      <c r="H54" s="1421">
        <f t="shared" si="1"/>
        <v>0</v>
      </c>
      <c r="I54" s="1405"/>
      <c r="J54" s="1399"/>
      <c r="K54" s="1422">
        <f t="shared" si="3"/>
        <v>0</v>
      </c>
      <c r="L54" s="1422">
        <f t="shared" si="2"/>
        <v>0</v>
      </c>
    </row>
    <row r="55" spans="3:13" x14ac:dyDescent="0.25">
      <c r="C55" s="1402"/>
      <c r="D55" s="1399"/>
      <c r="E55" s="1405"/>
      <c r="F55" s="1405"/>
      <c r="G55" s="1405"/>
      <c r="H55" s="1421">
        <f t="shared" si="1"/>
        <v>0</v>
      </c>
      <c r="I55" s="1405"/>
      <c r="J55" s="1399"/>
      <c r="K55" s="1422">
        <f t="shared" si="3"/>
        <v>0</v>
      </c>
      <c r="L55" s="1422">
        <f t="shared" si="2"/>
        <v>0</v>
      </c>
    </row>
    <row r="56" spans="3:13" x14ac:dyDescent="0.25">
      <c r="C56" s="1402"/>
      <c r="D56" s="1399"/>
      <c r="E56" s="1405"/>
      <c r="F56" s="1405"/>
      <c r="G56" s="1405"/>
      <c r="H56" s="1421">
        <f t="shared" si="1"/>
        <v>0</v>
      </c>
      <c r="I56" s="1405"/>
      <c r="J56" s="1399"/>
      <c r="K56" s="1422">
        <f>IFERROR((J56-E56)/J56,0)</f>
        <v>0</v>
      </c>
      <c r="L56" s="1422">
        <f t="shared" si="2"/>
        <v>0</v>
      </c>
    </row>
    <row r="57" spans="3:13" s="873" customFormat="1" x14ac:dyDescent="0.25">
      <c r="C57" s="1409"/>
      <c r="D57" s="1410"/>
      <c r="E57" s="1411"/>
      <c r="F57" s="1411"/>
      <c r="G57" s="1411"/>
      <c r="H57" s="1411"/>
      <c r="I57" s="1411"/>
      <c r="J57" s="1410"/>
      <c r="K57" s="1409"/>
      <c r="L57" s="1409"/>
    </row>
    <row r="58" spans="3:13" x14ac:dyDescent="0.25">
      <c r="C58" s="1423" t="s">
        <v>564</v>
      </c>
      <c r="D58" s="1424"/>
      <c r="E58" s="1424"/>
      <c r="F58" s="1424"/>
      <c r="G58" s="1424"/>
      <c r="H58" s="1424"/>
      <c r="I58" s="1424"/>
      <c r="J58" s="1424"/>
      <c r="K58" s="1424"/>
      <c r="L58" s="1424"/>
    </row>
    <row r="59" spans="3:13" x14ac:dyDescent="0.25">
      <c r="C59"/>
      <c r="D59"/>
      <c r="E59"/>
      <c r="F59" s="1424"/>
      <c r="G59"/>
      <c r="H59"/>
      <c r="I59"/>
      <c r="J59"/>
      <c r="K59"/>
      <c r="L59"/>
    </row>
    <row r="60" spans="3:13" ht="41.4" x14ac:dyDescent="0.3">
      <c r="C60" s="1425" t="s">
        <v>942</v>
      </c>
      <c r="D60" s="1426"/>
      <c r="E60" s="1427"/>
      <c r="F60" s="4"/>
      <c r="G60" s="1428" t="s">
        <v>190</v>
      </c>
      <c r="H60" s="1428" t="s">
        <v>943</v>
      </c>
      <c r="I60" s="1428" t="s">
        <v>2547</v>
      </c>
      <c r="J60" s="1428" t="s">
        <v>944</v>
      </c>
      <c r="K60" s="1428" t="s">
        <v>945</v>
      </c>
      <c r="L60" s="1429"/>
      <c r="M60" s="45"/>
    </row>
    <row r="61" spans="3:13" x14ac:dyDescent="0.25">
      <c r="C61" s="1430" t="s">
        <v>919</v>
      </c>
      <c r="D61" s="1431"/>
      <c r="E61" s="1431"/>
      <c r="F61" s="1431"/>
      <c r="G61" s="618">
        <f>INCOME!F41</f>
        <v>0</v>
      </c>
      <c r="H61" s="1432">
        <f>INCOME!N41</f>
        <v>0</v>
      </c>
      <c r="I61" s="1433">
        <f ca="1">(GENERAL!$L$199-TODAY())/365</f>
        <v>-126.54246575342465</v>
      </c>
      <c r="J61" s="624">
        <f>'PRO FORMA'!$E$3</f>
        <v>0.02</v>
      </c>
      <c r="K61" s="1434">
        <f>(H61*J61)+H61</f>
        <v>0</v>
      </c>
      <c r="L61" s="1435"/>
      <c r="M61" s="46"/>
    </row>
    <row r="62" spans="3:13" x14ac:dyDescent="0.25">
      <c r="C62" s="1430" t="s">
        <v>595</v>
      </c>
      <c r="D62" s="1431"/>
      <c r="E62" s="1431"/>
      <c r="F62" s="1431"/>
      <c r="G62" s="618">
        <f>INCOME!F59</f>
        <v>0</v>
      </c>
      <c r="H62" s="619">
        <f>INCOME!N59</f>
        <v>0</v>
      </c>
      <c r="I62" s="1433">
        <f ca="1">(GENERAL!$L$199-TODAY())/365</f>
        <v>-126.54246575342465</v>
      </c>
      <c r="J62" s="624">
        <f>'PRO FORMA'!$E$3</f>
        <v>0.02</v>
      </c>
      <c r="K62" s="620">
        <f>(H62*J62)+H62</f>
        <v>0</v>
      </c>
      <c r="L62" s="1401"/>
      <c r="M62" s="49"/>
    </row>
    <row r="63" spans="3:13" x14ac:dyDescent="0.25">
      <c r="C63" s="1430" t="s">
        <v>946</v>
      </c>
      <c r="D63" s="1431"/>
      <c r="E63" s="1431"/>
      <c r="F63" s="1431"/>
      <c r="G63" s="621"/>
      <c r="H63" s="620">
        <f>SUM(INCOME!N72:N75)</f>
        <v>0</v>
      </c>
      <c r="I63" s="1433">
        <f ca="1">(GENERAL!$L$199-TODAY())/365</f>
        <v>-126.54246575342465</v>
      </c>
      <c r="J63" s="624">
        <f>'PRO FORMA'!$E$3</f>
        <v>0.02</v>
      </c>
      <c r="K63" s="620">
        <f>(H63*J63)+H63</f>
        <v>0</v>
      </c>
      <c r="L63" s="1401"/>
      <c r="M63" s="49"/>
    </row>
    <row r="64" spans="3:13" x14ac:dyDescent="0.25">
      <c r="C64" s="1436" t="str">
        <f>INCOME!C76</f>
        <v>Commercial Income</v>
      </c>
      <c r="D64" s="1437"/>
      <c r="E64" s="1437"/>
      <c r="F64" s="1437"/>
      <c r="G64" s="618">
        <f>INCOME!F44</f>
        <v>0</v>
      </c>
      <c r="H64" s="622">
        <f>INCOME!N76</f>
        <v>0</v>
      </c>
      <c r="I64" s="1433">
        <f ca="1">(GENERAL!$L$199-TODAY())/365</f>
        <v>-126.54246575342465</v>
      </c>
      <c r="J64" s="624">
        <f>'PRO FORMA'!$E$3</f>
        <v>0.02</v>
      </c>
      <c r="K64" s="620">
        <f>(H64*J64)+H64</f>
        <v>0</v>
      </c>
      <c r="L64" s="1401"/>
      <c r="M64" s="49"/>
    </row>
    <row r="65" spans="3:13" s="43" customFormat="1" x14ac:dyDescent="0.25">
      <c r="C65" s="11" t="s">
        <v>947</v>
      </c>
      <c r="D65" s="4"/>
      <c r="E65" s="1438"/>
      <c r="F65" s="1438"/>
      <c r="G65" s="1439"/>
      <c r="H65" s="1440">
        <f>SUM(H61:H64)</f>
        <v>0</v>
      </c>
      <c r="I65" s="1441"/>
      <c r="J65" s="1441"/>
      <c r="K65" s="1442">
        <f>SUM(K61:K64)</f>
        <v>0</v>
      </c>
      <c r="L65" s="1443"/>
      <c r="M65" s="48"/>
    </row>
    <row r="66" spans="3:13" x14ac:dyDescent="0.25">
      <c r="C66" s="11" t="s">
        <v>948</v>
      </c>
      <c r="D66" s="4"/>
      <c r="E66" s="4"/>
      <c r="F66" s="4"/>
      <c r="G66" s="1444"/>
      <c r="H66"/>
      <c r="I66"/>
      <c r="J66"/>
      <c r="K66" s="1445">
        <f>(K61*-INCOME!I42)+(K62*-INCOME!I61)+(K63*-INCOME!I79)+(K64*-INCOME!I81)</f>
        <v>0</v>
      </c>
      <c r="L66" s="1443"/>
      <c r="M66" s="48"/>
    </row>
    <row r="67" spans="3:13" s="43" customFormat="1" x14ac:dyDescent="0.25">
      <c r="C67" s="11" t="s">
        <v>949</v>
      </c>
      <c r="D67" s="4"/>
      <c r="E67" s="4"/>
      <c r="F67" s="4"/>
      <c r="G67" s="1439"/>
      <c r="H67" s="4"/>
      <c r="I67" s="4"/>
      <c r="J67" s="1441"/>
      <c r="K67" s="1442">
        <f>SUM(K65+K66)</f>
        <v>0</v>
      </c>
      <c r="L67" s="1443"/>
      <c r="M67" s="48"/>
    </row>
    <row r="68" spans="3:13" x14ac:dyDescent="0.25">
      <c r="C68" s="12"/>
      <c r="D68"/>
      <c r="E68"/>
      <c r="F68"/>
      <c r="G68"/>
      <c r="H68"/>
      <c r="I68"/>
      <c r="J68"/>
      <c r="K68"/>
      <c r="L68" s="1446"/>
    </row>
    <row r="69" spans="3:13" x14ac:dyDescent="0.25">
      <c r="C69" s="1447" t="s">
        <v>3</v>
      </c>
      <c r="D69" s="440"/>
      <c r="E69" s="440"/>
      <c r="F69" s="440"/>
      <c r="G69" s="440"/>
      <c r="H69" s="1413"/>
      <c r="I69" s="1413"/>
      <c r="J69" s="1413"/>
      <c r="K69" s="1413"/>
      <c r="L69" s="1413"/>
      <c r="M69" s="92"/>
    </row>
    <row r="70" spans="3:13" x14ac:dyDescent="0.25">
      <c r="C70" s="1448"/>
      <c r="D70"/>
      <c r="E70"/>
      <c r="F70"/>
      <c r="G70"/>
      <c r="H70" s="1449"/>
      <c r="I70" s="1449"/>
      <c r="J70" s="1449"/>
      <c r="K70" s="1449"/>
      <c r="L70" s="962"/>
      <c r="M70" s="92"/>
    </row>
    <row r="71" spans="3:13" ht="41.4" x14ac:dyDescent="0.3">
      <c r="C71" s="1425" t="s">
        <v>950</v>
      </c>
      <c r="D71" s="1426"/>
      <c r="E71" s="1426"/>
      <c r="F71" s="1426"/>
      <c r="G71" s="1450"/>
      <c r="H71" s="1428" t="s">
        <v>951</v>
      </c>
      <c r="I71" s="1428" t="s">
        <v>2547</v>
      </c>
      <c r="J71" s="1428" t="s">
        <v>944</v>
      </c>
      <c r="K71" s="1428" t="s">
        <v>952</v>
      </c>
      <c r="L71" s="1451"/>
      <c r="M71" s="45"/>
    </row>
    <row r="72" spans="3:13" x14ac:dyDescent="0.25">
      <c r="C72" s="1430" t="s">
        <v>953</v>
      </c>
      <c r="D72" s="1431"/>
      <c r="E72" s="1431"/>
      <c r="F72" s="1431"/>
      <c r="G72" s="1452"/>
      <c r="H72" s="1432">
        <f>EXPENSES!K23-EXPENSES!K12</f>
        <v>0</v>
      </c>
      <c r="I72" s="1433">
        <f ca="1">(GENERAL!$L$199-TODAY())/365</f>
        <v>-126.54246575342465</v>
      </c>
      <c r="J72" s="624">
        <f>'PRO FORMA'!$H$3</f>
        <v>0.03</v>
      </c>
      <c r="K72" s="1453">
        <f>(H72*J72)+H72</f>
        <v>0</v>
      </c>
      <c r="L72" s="1454"/>
      <c r="M72" s="46"/>
    </row>
    <row r="73" spans="3:13" x14ac:dyDescent="0.25">
      <c r="C73" s="1430" t="s">
        <v>954</v>
      </c>
      <c r="D73" s="1431"/>
      <c r="E73" s="1431"/>
      <c r="F73" s="1431"/>
      <c r="G73" s="1452"/>
      <c r="H73" s="619">
        <f>EXPENSES!K12</f>
        <v>0</v>
      </c>
      <c r="I73" s="1455"/>
      <c r="J73" s="1455"/>
      <c r="K73" s="619">
        <f>K67*EXPENSES!H12</f>
        <v>0</v>
      </c>
      <c r="L73" s="1401"/>
      <c r="M73" s="49"/>
    </row>
    <row r="74" spans="3:13" x14ac:dyDescent="0.25">
      <c r="C74" s="1430" t="s">
        <v>955</v>
      </c>
      <c r="D74" s="1431"/>
      <c r="E74" s="1431"/>
      <c r="F74" s="1431"/>
      <c r="G74" s="1452"/>
      <c r="H74" s="619">
        <f>EXPENSES!K32</f>
        <v>0</v>
      </c>
      <c r="I74" s="1433">
        <f ca="1">(GENERAL!$L$199-TODAY())/365</f>
        <v>-126.54246575342465</v>
      </c>
      <c r="J74" s="624">
        <f>'PRO FORMA'!$H$3</f>
        <v>0.03</v>
      </c>
      <c r="K74" s="620">
        <f t="shared" ref="K74:K79" si="4">H74+(H74*J74)</f>
        <v>0</v>
      </c>
      <c r="L74" s="1401"/>
      <c r="M74" s="49"/>
    </row>
    <row r="75" spans="3:13" x14ac:dyDescent="0.25">
      <c r="C75" s="1430" t="s">
        <v>956</v>
      </c>
      <c r="D75" s="1431"/>
      <c r="E75" s="1431"/>
      <c r="F75" s="1431"/>
      <c r="G75" s="1452"/>
      <c r="H75" s="619">
        <f>EXPENSES!K57</f>
        <v>0</v>
      </c>
      <c r="I75" s="1433">
        <f ca="1">(GENERAL!$L$199-TODAY())/365</f>
        <v>-126.54246575342465</v>
      </c>
      <c r="J75" s="624">
        <f>'PRO FORMA'!$H$3</f>
        <v>0.03</v>
      </c>
      <c r="K75" s="620">
        <f t="shared" si="4"/>
        <v>0</v>
      </c>
      <c r="L75" s="1401"/>
      <c r="M75" s="49"/>
    </row>
    <row r="76" spans="3:13" x14ac:dyDescent="0.25">
      <c r="C76" s="1430" t="s">
        <v>669</v>
      </c>
      <c r="D76" s="1431"/>
      <c r="E76" s="1431"/>
      <c r="F76" s="1431"/>
      <c r="G76" s="1452"/>
      <c r="H76" s="619">
        <f>EXPENSES!K61</f>
        <v>0</v>
      </c>
      <c r="I76" s="1433">
        <f ca="1">(GENERAL!$L$199-TODAY())/365</f>
        <v>-126.54246575342465</v>
      </c>
      <c r="J76" s="624">
        <f>'PRO FORMA'!$H$3</f>
        <v>0.03</v>
      </c>
      <c r="K76" s="620">
        <f t="shared" si="4"/>
        <v>0</v>
      </c>
      <c r="L76" s="1401"/>
      <c r="M76" s="49"/>
    </row>
    <row r="77" spans="3:13" x14ac:dyDescent="0.25">
      <c r="C77" s="1430" t="s">
        <v>670</v>
      </c>
      <c r="D77" s="1431"/>
      <c r="E77" s="1431"/>
      <c r="F77" s="1431"/>
      <c r="G77" s="1452"/>
      <c r="H77" s="619">
        <f>EXPENSES!K62</f>
        <v>0</v>
      </c>
      <c r="I77" s="1433">
        <f ca="1">(GENERAL!$L$199-TODAY())/365</f>
        <v>-126.54246575342465</v>
      </c>
      <c r="J77" s="624">
        <f>'PRO FORMA'!$H$3</f>
        <v>0.03</v>
      </c>
      <c r="K77" s="620">
        <f t="shared" si="4"/>
        <v>0</v>
      </c>
      <c r="L77" s="1401"/>
      <c r="M77" s="49"/>
    </row>
    <row r="78" spans="3:13" x14ac:dyDescent="0.25">
      <c r="C78" s="1430" t="s">
        <v>2546</v>
      </c>
      <c r="D78" s="1431"/>
      <c r="E78" s="1431"/>
      <c r="F78" s="1431"/>
      <c r="G78" s="1452"/>
      <c r="H78" s="619">
        <f>EXPENSES!K71-EXPENSES!K61-EXPENSES!K62</f>
        <v>0</v>
      </c>
      <c r="I78" s="1433">
        <f ca="1">(GENERAL!$L$199-TODAY())/365</f>
        <v>-126.54246575342465</v>
      </c>
      <c r="J78" s="624">
        <f>'PRO FORMA'!$H$3</f>
        <v>0.03</v>
      </c>
      <c r="K78" s="620">
        <f t="shared" si="4"/>
        <v>0</v>
      </c>
      <c r="L78" s="1401"/>
      <c r="M78" s="49"/>
    </row>
    <row r="79" spans="3:13" x14ac:dyDescent="0.25">
      <c r="C79" s="1430" t="s">
        <v>682</v>
      </c>
      <c r="D79" s="1431"/>
      <c r="E79" s="1431"/>
      <c r="F79" s="1431"/>
      <c r="G79" s="1452"/>
      <c r="H79" s="619">
        <f>EXPENSES!K73</f>
        <v>0</v>
      </c>
      <c r="I79" s="1433">
        <f ca="1">(GENERAL!$L$199-TODAY())/365</f>
        <v>-126.54246575342465</v>
      </c>
      <c r="J79" s="624">
        <f>'PRO FORMA'!$H$3</f>
        <v>0.03</v>
      </c>
      <c r="K79" s="620">
        <f t="shared" si="4"/>
        <v>0</v>
      </c>
      <c r="L79" s="1401"/>
      <c r="M79" s="49"/>
    </row>
    <row r="80" spans="3:13" s="43" customFormat="1" x14ac:dyDescent="0.25">
      <c r="C80" s="11" t="s">
        <v>958</v>
      </c>
      <c r="D80" s="4"/>
      <c r="E80" s="1438"/>
      <c r="F80" s="1438"/>
      <c r="G80" s="1438"/>
      <c r="H80" s="1456">
        <f>+SUM(H72:H79)</f>
        <v>0</v>
      </c>
      <c r="I80" s="1438"/>
      <c r="J80" s="1438"/>
      <c r="K80" s="1456">
        <f>+SUM(K72:K79)</f>
        <v>0</v>
      </c>
      <c r="L80" s="1443"/>
      <c r="M80" s="48"/>
    </row>
    <row r="81" spans="3:13" s="43" customFormat="1" x14ac:dyDescent="0.25">
      <c r="C81" s="11" t="s">
        <v>959</v>
      </c>
      <c r="D81" s="4"/>
      <c r="E81" s="4"/>
      <c r="F81" s="4"/>
      <c r="G81" s="4"/>
      <c r="H81" s="4"/>
      <c r="I81" s="4"/>
      <c r="J81" s="4"/>
      <c r="K81" s="1456">
        <f>K67-K80</f>
        <v>0</v>
      </c>
      <c r="L81" s="1443"/>
      <c r="M81" s="48"/>
    </row>
    <row r="82" spans="3:13" s="43" customFormat="1" x14ac:dyDescent="0.25">
      <c r="C82" s="11" t="s">
        <v>960</v>
      </c>
      <c r="D82" s="4"/>
      <c r="E82" s="4"/>
      <c r="F82" s="4"/>
      <c r="G82" s="4"/>
      <c r="H82" s="4"/>
      <c r="I82" s="4"/>
      <c r="J82" s="4"/>
      <c r="K82" s="1457">
        <f>(-J98)</f>
        <v>0</v>
      </c>
      <c r="L82" s="1458"/>
      <c r="M82" s="123"/>
    </row>
    <row r="83" spans="3:13" s="43" customFormat="1" x14ac:dyDescent="0.25">
      <c r="C83" s="11" t="s">
        <v>961</v>
      </c>
      <c r="D83" s="4"/>
      <c r="E83" s="4"/>
      <c r="F83" s="4"/>
      <c r="G83" s="4"/>
      <c r="H83" s="4"/>
      <c r="I83" s="4"/>
      <c r="J83" s="4"/>
      <c r="K83" s="1456">
        <f>K81+K82</f>
        <v>0</v>
      </c>
      <c r="L83" s="1443"/>
      <c r="M83" s="48"/>
    </row>
    <row r="84" spans="3:13" x14ac:dyDescent="0.25">
      <c r="C84" s="12"/>
      <c r="D84"/>
      <c r="E84"/>
      <c r="F84"/>
      <c r="G84"/>
      <c r="H84"/>
      <c r="I84"/>
      <c r="J84"/>
      <c r="K84"/>
      <c r="L84" s="1446"/>
    </row>
    <row r="85" spans="3:13" x14ac:dyDescent="0.25">
      <c r="C85" s="1447" t="s">
        <v>4</v>
      </c>
      <c r="D85" s="440"/>
      <c r="E85" s="440"/>
      <c r="F85" s="440"/>
      <c r="G85" s="440"/>
      <c r="H85" s="440"/>
      <c r="I85" s="440"/>
      <c r="J85" s="440"/>
      <c r="K85" s="440"/>
      <c r="L85" s="440"/>
    </row>
    <row r="86" spans="3:13" x14ac:dyDescent="0.25">
      <c r="C86"/>
      <c r="D86"/>
      <c r="E86"/>
      <c r="F86"/>
      <c r="G86"/>
      <c r="H86"/>
      <c r="I86"/>
      <c r="J86"/>
      <c r="K86"/>
      <c r="L86"/>
    </row>
    <row r="87" spans="3:13" x14ac:dyDescent="0.25">
      <c r="C87" s="4" t="s">
        <v>317</v>
      </c>
      <c r="D87"/>
      <c r="E87"/>
      <c r="F87"/>
      <c r="G87"/>
      <c r="H87"/>
      <c r="I87"/>
      <c r="J87"/>
      <c r="K87"/>
      <c r="L87"/>
    </row>
    <row r="88" spans="3:13" ht="13.8" x14ac:dyDescent="0.3">
      <c r="C88" s="1425" t="s">
        <v>692</v>
      </c>
      <c r="D88" s="1459"/>
      <c r="E88" s="1425" t="s">
        <v>452</v>
      </c>
      <c r="F88" s="1428" t="s">
        <v>962</v>
      </c>
      <c r="G88" s="1428" t="s">
        <v>694</v>
      </c>
      <c r="H88" s="1460" t="s">
        <v>695</v>
      </c>
      <c r="I88" s="1461" t="s">
        <v>696</v>
      </c>
      <c r="J88" s="1428" t="s">
        <v>693</v>
      </c>
      <c r="K88" s="1428" t="s">
        <v>706</v>
      </c>
      <c r="L88" s="1428" t="s">
        <v>2678</v>
      </c>
      <c r="M88" s="45"/>
    </row>
    <row r="89" spans="3:13" x14ac:dyDescent="0.25">
      <c r="C89" s="1462" t="str">
        <f>SOURCES!C12</f>
        <v>Taxable Bonds (Long Term Only)</v>
      </c>
      <c r="D89" s="1463"/>
      <c r="E89" s="1464" t="str">
        <f>SOURCES!F12</f>
        <v>Enter Entity Name</v>
      </c>
      <c r="F89" s="1433" t="str">
        <f>'PRO FORMA'!$E$49</f>
        <v/>
      </c>
      <c r="G89" s="1465">
        <f>+SOURCES!J12</f>
        <v>0</v>
      </c>
      <c r="H89" s="1466">
        <f>SOURCES!K12</f>
        <v>0</v>
      </c>
      <c r="I89" s="1466">
        <f>SOURCES!L12</f>
        <v>0</v>
      </c>
      <c r="J89" s="1432">
        <f>SOURCES!I12</f>
        <v>0</v>
      </c>
      <c r="K89" s="1432">
        <f>SOURCES!M12</f>
        <v>0</v>
      </c>
      <c r="L89" s="1432" t="e">
        <f t="shared" ref="L89:L98" si="5">K89/$K$36</f>
        <v>#DIV/0!</v>
      </c>
      <c r="M89" s="46"/>
    </row>
    <row r="90" spans="3:13" x14ac:dyDescent="0.25">
      <c r="C90" s="1462" t="str">
        <f>SOURCES!C13</f>
        <v xml:space="preserve">Tax-Exempt Bonds (Long Term Only) </v>
      </c>
      <c r="D90" s="1463"/>
      <c r="E90" s="1430">
        <f>SOURCES!F13</f>
        <v>0</v>
      </c>
      <c r="F90" s="1433" t="str">
        <f>'PRO FORMA'!$E$49</f>
        <v/>
      </c>
      <c r="G90" s="1465">
        <f>+SOURCES!J13</f>
        <v>0</v>
      </c>
      <c r="H90" s="1466">
        <f>SOURCES!K13</f>
        <v>0</v>
      </c>
      <c r="I90" s="1466">
        <f>SOURCES!L13</f>
        <v>0</v>
      </c>
      <c r="J90" s="1467">
        <f>SOURCES!I13</f>
        <v>0</v>
      </c>
      <c r="K90" s="619">
        <f>SOURCES!M13</f>
        <v>0</v>
      </c>
      <c r="L90" s="619" t="e">
        <f t="shared" si="5"/>
        <v>#DIV/0!</v>
      </c>
      <c r="M90" s="49"/>
    </row>
    <row r="91" spans="3:13" x14ac:dyDescent="0.25">
      <c r="C91" s="1462" t="str">
        <f>SOURCES!C14</f>
        <v>Private Loan</v>
      </c>
      <c r="D91" s="1463"/>
      <c r="E91" s="1430" t="str">
        <f>SOURCES!F14</f>
        <v>Enter Entity Name</v>
      </c>
      <c r="F91" s="1433" t="str">
        <f>'PRO FORMA'!$E$49</f>
        <v/>
      </c>
      <c r="G91" s="1465">
        <f>SOURCES!J14</f>
        <v>0</v>
      </c>
      <c r="H91" s="1466">
        <f>SOURCES!K14</f>
        <v>0</v>
      </c>
      <c r="I91" s="1466">
        <f>SOURCES!L14</f>
        <v>0</v>
      </c>
      <c r="J91" s="1467">
        <f>SOURCES!I14</f>
        <v>0</v>
      </c>
      <c r="K91" s="619">
        <f>SOURCES!M14</f>
        <v>0</v>
      </c>
      <c r="L91" s="619" t="e">
        <f t="shared" si="5"/>
        <v>#DIV/0!</v>
      </c>
      <c r="M91" s="49"/>
    </row>
    <row r="92" spans="3:13" x14ac:dyDescent="0.25">
      <c r="C92" s="1462" t="str">
        <f>SOURCES!C15</f>
        <v>MIP</v>
      </c>
      <c r="D92" s="1463"/>
      <c r="E92" s="1430" t="str">
        <f>SOURCES!F15</f>
        <v>Enter Entity Name</v>
      </c>
      <c r="F92" s="1468"/>
      <c r="G92" s="1465">
        <f>+SOURCES!J15</f>
        <v>0</v>
      </c>
      <c r="H92" s="1468"/>
      <c r="I92" s="1468"/>
      <c r="J92" s="1467">
        <f>SOURCES!I15</f>
        <v>0</v>
      </c>
      <c r="K92" s="623"/>
      <c r="L92" s="623" t="e">
        <f t="shared" si="5"/>
        <v>#DIV/0!</v>
      </c>
      <c r="M92" s="49"/>
    </row>
    <row r="93" spans="3:13" x14ac:dyDescent="0.25">
      <c r="C93" s="1462" t="str">
        <f>SOURCES!C16</f>
        <v xml:space="preserve">Rental Housing Program Funds </v>
      </c>
      <c r="D93" s="1463"/>
      <c r="E93" s="1462" t="str">
        <f>SOURCES!F16</f>
        <v>Maryland DHCD</v>
      </c>
      <c r="F93" s="1433" t="str">
        <f>'PRO FORMA'!$E$49</f>
        <v/>
      </c>
      <c r="G93" s="1465">
        <f>SOURCES!J16</f>
        <v>0</v>
      </c>
      <c r="H93" s="1466">
        <f>SOURCES!K16</f>
        <v>0</v>
      </c>
      <c r="I93" s="1466">
        <f>SOURCES!L16</f>
        <v>0</v>
      </c>
      <c r="J93" s="1467">
        <f>SOURCES!I16</f>
        <v>0</v>
      </c>
      <c r="K93" s="619">
        <f>SOURCES!M16</f>
        <v>0</v>
      </c>
      <c r="L93" s="619" t="e">
        <f t="shared" si="5"/>
        <v>#DIV/0!</v>
      </c>
      <c r="M93" s="49"/>
    </row>
    <row r="94" spans="3:13" x14ac:dyDescent="0.25">
      <c r="C94" s="1462" t="str">
        <f>SOURCES!C17</f>
        <v>HOME (DHCD)</v>
      </c>
      <c r="D94" s="1463"/>
      <c r="E94" s="1462" t="str">
        <f>SOURCES!F17</f>
        <v>Maryland DHCD</v>
      </c>
      <c r="F94" s="1433" t="str">
        <f>'PRO FORMA'!$E$49</f>
        <v/>
      </c>
      <c r="G94" s="1465">
        <f>SOURCES!J17</f>
        <v>0</v>
      </c>
      <c r="H94" s="1466">
        <f>SOURCES!K17</f>
        <v>0</v>
      </c>
      <c r="I94" s="1466">
        <f>SOURCES!L17</f>
        <v>0</v>
      </c>
      <c r="J94" s="1467">
        <f>SOURCES!I17</f>
        <v>0</v>
      </c>
      <c r="K94" s="619">
        <f>SOURCES!M17</f>
        <v>0</v>
      </c>
      <c r="L94" s="619" t="e">
        <f t="shared" si="5"/>
        <v>#DIV/0!</v>
      </c>
      <c r="M94" s="49"/>
    </row>
    <row r="95" spans="3:13" x14ac:dyDescent="0.25">
      <c r="C95" s="1469" t="str">
        <f>SOURCES!C18</f>
        <v>HOME (non-DHCD)</v>
      </c>
      <c r="D95" s="1463"/>
      <c r="E95" s="1430" t="str">
        <f>SOURCES!F18</f>
        <v>Enter Entity Name</v>
      </c>
      <c r="F95" s="1433" t="str">
        <f>'PRO FORMA'!$E$49</f>
        <v/>
      </c>
      <c r="G95" s="1465">
        <f>SOURCES!J18</f>
        <v>0</v>
      </c>
      <c r="H95" s="1466">
        <f>SOURCES!K18</f>
        <v>0</v>
      </c>
      <c r="I95" s="1466">
        <f>SOURCES!L18</f>
        <v>0</v>
      </c>
      <c r="J95" s="1467">
        <f>SOURCES!I18</f>
        <v>0</v>
      </c>
      <c r="K95" s="619">
        <f>SOURCES!M18</f>
        <v>0</v>
      </c>
      <c r="L95" s="619" t="e">
        <f t="shared" si="5"/>
        <v>#DIV/0!</v>
      </c>
      <c r="M95" s="49"/>
    </row>
    <row r="96" spans="3:13" x14ac:dyDescent="0.25">
      <c r="C96" s="1469" t="str">
        <f>SOURCES!C19</f>
        <v>Other: select from menu</v>
      </c>
      <c r="D96" s="1470"/>
      <c r="E96" s="1471" t="str">
        <f>SOURCES!F19</f>
        <v>Enter Entity Name</v>
      </c>
      <c r="F96" s="1433" t="str">
        <f>'PRO FORMA'!$E$49</f>
        <v/>
      </c>
      <c r="G96" s="1465">
        <f>SOURCES!J19</f>
        <v>0</v>
      </c>
      <c r="H96" s="1466">
        <f>SOURCES!K19</f>
        <v>0</v>
      </c>
      <c r="I96" s="1466">
        <f>SOURCES!L19</f>
        <v>0</v>
      </c>
      <c r="J96" s="1467">
        <f>SOURCES!I19</f>
        <v>0</v>
      </c>
      <c r="K96" s="619">
        <f>SOURCES!M19</f>
        <v>0</v>
      </c>
      <c r="L96" s="619" t="e">
        <f t="shared" si="5"/>
        <v>#DIV/0!</v>
      </c>
      <c r="M96" s="49"/>
    </row>
    <row r="97" spans="3:13" x14ac:dyDescent="0.25">
      <c r="C97" s="1472" t="str">
        <f>SOURCES!C20</f>
        <v>Other: select from menu</v>
      </c>
      <c r="D97" s="1470"/>
      <c r="E97" s="1471" t="str">
        <f>SOURCES!F20</f>
        <v>Enter Entity Name</v>
      </c>
      <c r="F97" s="1433" t="str">
        <f>'PRO FORMA'!$E$49</f>
        <v/>
      </c>
      <c r="G97" s="1465">
        <f>SOURCES!J20</f>
        <v>0</v>
      </c>
      <c r="H97" s="1466">
        <f>SOURCES!K20</f>
        <v>0</v>
      </c>
      <c r="I97" s="1466">
        <f>SOURCES!L20</f>
        <v>0</v>
      </c>
      <c r="J97" s="1467">
        <f>SOURCES!I20</f>
        <v>0</v>
      </c>
      <c r="K97" s="619">
        <f>SOURCES!M20</f>
        <v>0</v>
      </c>
      <c r="L97" s="619" t="e">
        <f t="shared" si="5"/>
        <v>#DIV/0!</v>
      </c>
      <c r="M97" s="49"/>
    </row>
    <row r="98" spans="3:13" x14ac:dyDescent="0.25">
      <c r="C98" s="11" t="s">
        <v>710</v>
      </c>
      <c r="D98"/>
      <c r="E98"/>
      <c r="F98"/>
      <c r="G98"/>
      <c r="H98"/>
      <c r="I98"/>
      <c r="J98" s="1456">
        <f>SUM(J89:J97)</f>
        <v>0</v>
      </c>
      <c r="K98" s="1456">
        <f>SUM(K89:K97)</f>
        <v>0</v>
      </c>
      <c r="L98" s="1456" t="e">
        <f t="shared" si="5"/>
        <v>#DIV/0!</v>
      </c>
      <c r="M98" s="48"/>
    </row>
    <row r="99" spans="3:13" x14ac:dyDescent="0.25">
      <c r="C99" s="12"/>
      <c r="D99"/>
      <c r="E99"/>
      <c r="F99"/>
      <c r="G99"/>
      <c r="H99"/>
      <c r="I99"/>
      <c r="J99"/>
      <c r="K99"/>
      <c r="L99"/>
    </row>
    <row r="100" spans="3:13" x14ac:dyDescent="0.25">
      <c r="C100" s="291" t="s">
        <v>302</v>
      </c>
      <c r="D100"/>
      <c r="E100"/>
      <c r="F100"/>
      <c r="G100"/>
      <c r="H100"/>
      <c r="I100"/>
      <c r="J100"/>
      <c r="K100"/>
      <c r="L100"/>
    </row>
    <row r="101" spans="3:13" ht="13.8" x14ac:dyDescent="0.3">
      <c r="C101" s="1425" t="s">
        <v>692</v>
      </c>
      <c r="D101" s="1459"/>
      <c r="E101" s="1425" t="s">
        <v>452</v>
      </c>
      <c r="F101" s="1459"/>
      <c r="G101" s="1428"/>
      <c r="H101" s="1428" t="s">
        <v>694</v>
      </c>
      <c r="I101" s="1428" t="s">
        <v>696</v>
      </c>
      <c r="J101" s="1428" t="s">
        <v>693</v>
      </c>
      <c r="K101" s="1428" t="s">
        <v>706</v>
      </c>
      <c r="L101" s="1428" t="s">
        <v>2678</v>
      </c>
      <c r="M101" s="45"/>
    </row>
    <row r="102" spans="3:13" x14ac:dyDescent="0.25">
      <c r="C102" s="1462" t="str">
        <f>SOURCES!C29</f>
        <v>Rental Housing Program Funds</v>
      </c>
      <c r="D102" s="1463"/>
      <c r="E102" s="1462" t="str">
        <f>SOURCES!F29</f>
        <v>Maryland DHCD</v>
      </c>
      <c r="F102" s="1452"/>
      <c r="G102" s="1473"/>
      <c r="H102" s="624">
        <f>SOURCES!J29</f>
        <v>0</v>
      </c>
      <c r="I102" s="1466">
        <f>SOURCES!L29</f>
        <v>0</v>
      </c>
      <c r="J102" s="1432">
        <f>SOURCES!I29</f>
        <v>0</v>
      </c>
      <c r="K102" s="1432">
        <f>SOURCES!M29</f>
        <v>0</v>
      </c>
      <c r="L102" s="1432" t="e">
        <f t="shared" ref="L102:L125" si="6">K102/$K$36</f>
        <v>#DIV/0!</v>
      </c>
      <c r="M102" s="46"/>
    </row>
    <row r="103" spans="3:13" x14ac:dyDescent="0.25">
      <c r="C103" s="1462" t="str">
        <f>SOURCES!C30</f>
        <v>Rental Housing Works</v>
      </c>
      <c r="D103" s="1463"/>
      <c r="E103" s="1462" t="str">
        <f>SOURCES!F30</f>
        <v>Maryland DHCD</v>
      </c>
      <c r="F103" s="1452"/>
      <c r="G103" s="1473"/>
      <c r="H103" s="624">
        <f>SOURCES!J30</f>
        <v>0</v>
      </c>
      <c r="I103" s="1466">
        <f>SOURCES!L30</f>
        <v>0</v>
      </c>
      <c r="J103" s="1432">
        <f>SOURCES!I30</f>
        <v>0</v>
      </c>
      <c r="K103" s="1432">
        <f>SOURCES!M30</f>
        <v>0</v>
      </c>
      <c r="L103" s="1432" t="e">
        <f t="shared" si="6"/>
        <v>#DIV/0!</v>
      </c>
      <c r="M103" s="49"/>
    </row>
    <row r="104" spans="3:13" x14ac:dyDescent="0.25">
      <c r="C104" s="1462" t="str">
        <f>SOURCES!C31</f>
        <v>Housing Trust Fund</v>
      </c>
      <c r="D104" s="1463"/>
      <c r="E104" s="1462" t="str">
        <f>SOURCES!F31</f>
        <v>Maryland DHCD</v>
      </c>
      <c r="F104" s="1452"/>
      <c r="G104" s="1473"/>
      <c r="H104" s="624">
        <f>SOURCES!J31</f>
        <v>0</v>
      </c>
      <c r="I104" s="1466">
        <f>SOURCES!L31</f>
        <v>0</v>
      </c>
      <c r="J104" s="1432">
        <f>SOURCES!I31</f>
        <v>0</v>
      </c>
      <c r="K104" s="1432">
        <f>SOURCES!M31</f>
        <v>0</v>
      </c>
      <c r="L104" s="1432" t="e">
        <f t="shared" si="6"/>
        <v>#DIV/0!</v>
      </c>
      <c r="M104" s="49"/>
    </row>
    <row r="105" spans="3:13" x14ac:dyDescent="0.25">
      <c r="C105" s="1462" t="str">
        <f>SOURCES!C32</f>
        <v>HOME Funds (DHCD)</v>
      </c>
      <c r="D105" s="1463"/>
      <c r="E105" s="1462" t="str">
        <f>SOURCES!F32</f>
        <v>Maryland DHCD</v>
      </c>
      <c r="F105" s="1452"/>
      <c r="G105" s="1473"/>
      <c r="H105" s="624">
        <f>SOURCES!J32</f>
        <v>0</v>
      </c>
      <c r="I105" s="1466">
        <f>SOURCES!L32</f>
        <v>0</v>
      </c>
      <c r="J105" s="1432">
        <f>SOURCES!I32</f>
        <v>0</v>
      </c>
      <c r="K105" s="1432">
        <f>SOURCES!M32</f>
        <v>0</v>
      </c>
      <c r="L105" s="1432" t="e">
        <f t="shared" si="6"/>
        <v>#DIV/0!</v>
      </c>
      <c r="M105" s="49"/>
    </row>
    <row r="106" spans="3:13" x14ac:dyDescent="0.25">
      <c r="C106" s="1462" t="str">
        <f>SOURCES!C33</f>
        <v>HOME ARP (DHCD)</v>
      </c>
      <c r="D106" s="1463"/>
      <c r="E106" s="1462" t="str">
        <f>SOURCES!F33</f>
        <v>Maryland DHCD</v>
      </c>
      <c r="F106" s="1452"/>
      <c r="G106" s="1473"/>
      <c r="H106" s="624">
        <f>SOURCES!J33</f>
        <v>0</v>
      </c>
      <c r="I106" s="1466">
        <f>SOURCES!L33</f>
        <v>0</v>
      </c>
      <c r="J106" s="1432">
        <f>SOURCES!I33</f>
        <v>0</v>
      </c>
      <c r="K106" s="1432">
        <f>SOURCES!M33</f>
        <v>0</v>
      </c>
      <c r="L106" s="1432" t="e">
        <f t="shared" si="6"/>
        <v>#DIV/0!</v>
      </c>
      <c r="M106" s="49"/>
    </row>
    <row r="107" spans="3:13" x14ac:dyDescent="0.25">
      <c r="C107" s="1462" t="str">
        <f>SOURCES!C34</f>
        <v>Partnership Rental Housing Program Funds</v>
      </c>
      <c r="D107" s="1463"/>
      <c r="E107" s="1462" t="str">
        <f>SOURCES!F34</f>
        <v>Maryland DHCD</v>
      </c>
      <c r="F107" s="1452"/>
      <c r="G107" s="1473"/>
      <c r="H107" s="624">
        <f>SOURCES!J34</f>
        <v>0</v>
      </c>
      <c r="I107" s="1466">
        <f>SOURCES!L34</f>
        <v>0</v>
      </c>
      <c r="J107" s="1432">
        <f>SOURCES!I34</f>
        <v>0</v>
      </c>
      <c r="K107" s="1432">
        <f>SOURCES!M34</f>
        <v>0</v>
      </c>
      <c r="L107" s="1432" t="e">
        <f t="shared" si="6"/>
        <v>#DIV/0!</v>
      </c>
      <c r="M107" s="49"/>
    </row>
    <row r="108" spans="3:13" x14ac:dyDescent="0.25">
      <c r="C108" s="1462" t="str">
        <f>SOURCES!C35</f>
        <v>Weinberg</v>
      </c>
      <c r="D108" s="1463"/>
      <c r="E108" s="1462" t="str">
        <f>SOURCES!F35</f>
        <v>Maryland DHCD</v>
      </c>
      <c r="F108" s="1452"/>
      <c r="G108" s="1473"/>
      <c r="H108" s="624">
        <f>SOURCES!J35</f>
        <v>0</v>
      </c>
      <c r="I108" s="1466">
        <f>SOURCES!L35</f>
        <v>0</v>
      </c>
      <c r="J108" s="1432">
        <f>SOURCES!I35</f>
        <v>0</v>
      </c>
      <c r="K108" s="1432">
        <f>SOURCES!M35</f>
        <v>0</v>
      </c>
      <c r="L108" s="1432" t="e">
        <f t="shared" si="6"/>
        <v>#DIV/0!</v>
      </c>
      <c r="M108" s="49"/>
    </row>
    <row r="109" spans="3:13" x14ac:dyDescent="0.25">
      <c r="C109" s="1462" t="str">
        <f>SOURCES!C36</f>
        <v>MEEHA</v>
      </c>
      <c r="D109" s="1474"/>
      <c r="E109" s="1462" t="str">
        <f>SOURCES!F36</f>
        <v>Maryland DHCD</v>
      </c>
      <c r="F109" s="1452"/>
      <c r="G109" s="1473"/>
      <c r="H109" s="624">
        <f>SOURCES!J36</f>
        <v>0</v>
      </c>
      <c r="I109" s="1466">
        <f>SOURCES!L36</f>
        <v>0</v>
      </c>
      <c r="J109" s="1432">
        <f>SOURCES!I36</f>
        <v>0</v>
      </c>
      <c r="K109" s="1432">
        <f>SOURCES!M36</f>
        <v>0</v>
      </c>
      <c r="L109" s="1432" t="e">
        <f t="shared" si="6"/>
        <v>#DIV/0!</v>
      </c>
      <c r="M109" s="49"/>
    </row>
    <row r="110" spans="3:13" x14ac:dyDescent="0.25">
      <c r="C110" s="1462" t="str">
        <f>SOURCES!C37</f>
        <v>Other:  select from menu</v>
      </c>
      <c r="D110" s="1475" t="s">
        <v>80</v>
      </c>
      <c r="E110" s="1462" t="str">
        <f>SOURCES!F37</f>
        <v>Maryland DHCD</v>
      </c>
      <c r="F110" s="1452"/>
      <c r="G110" s="1473"/>
      <c r="H110" s="624">
        <f>SOURCES!J37</f>
        <v>0</v>
      </c>
      <c r="I110" s="1466">
        <f>SOURCES!L37</f>
        <v>0</v>
      </c>
      <c r="J110" s="1432">
        <f>SOURCES!I37</f>
        <v>0</v>
      </c>
      <c r="K110" s="1432">
        <f>SOURCES!M37</f>
        <v>0</v>
      </c>
      <c r="L110" s="1432" t="e">
        <f t="shared" si="6"/>
        <v>#DIV/0!</v>
      </c>
      <c r="M110" s="49"/>
    </row>
    <row r="111" spans="3:13" x14ac:dyDescent="0.25">
      <c r="C111" s="1462" t="str">
        <f>SOURCES!C38</f>
        <v>Other:  select from menu</v>
      </c>
      <c r="D111" s="1475">
        <f>SOURCES!D38</f>
        <v>0</v>
      </c>
      <c r="E111" s="1462" t="str">
        <f>SOURCES!F38</f>
        <v>Maryland DHCD</v>
      </c>
      <c r="F111" s="1452"/>
      <c r="G111" s="1473"/>
      <c r="H111" s="624">
        <f>SOURCES!J38</f>
        <v>0</v>
      </c>
      <c r="I111" s="1466">
        <f>SOURCES!L38</f>
        <v>0</v>
      </c>
      <c r="J111" s="1432">
        <f>SOURCES!I38</f>
        <v>0</v>
      </c>
      <c r="K111" s="1432">
        <f>SOURCES!M38</f>
        <v>0</v>
      </c>
      <c r="L111" s="1432" t="e">
        <f t="shared" si="6"/>
        <v>#DIV/0!</v>
      </c>
      <c r="M111" s="49"/>
    </row>
    <row r="112" spans="3:13" x14ac:dyDescent="0.25">
      <c r="C112" s="1462" t="str">
        <f>SOURCES!C39</f>
        <v>HOME (non-DHCD)</v>
      </c>
      <c r="D112" s="1476"/>
      <c r="E112" s="1462" t="str">
        <f>SOURCES!F39</f>
        <v>Enter Entity Name</v>
      </c>
      <c r="F112" s="1452"/>
      <c r="G112" s="1473"/>
      <c r="H112" s="624">
        <f>SOURCES!J39</f>
        <v>0</v>
      </c>
      <c r="I112" s="1466">
        <f>SOURCES!L39</f>
        <v>0</v>
      </c>
      <c r="J112" s="1432">
        <f>SOURCES!I39</f>
        <v>0</v>
      </c>
      <c r="K112" s="1432">
        <f>SOURCES!M39</f>
        <v>0</v>
      </c>
      <c r="L112" s="1432" t="e">
        <f t="shared" si="6"/>
        <v>#DIV/0!</v>
      </c>
      <c r="M112" s="49"/>
    </row>
    <row r="113" spans="3:13" x14ac:dyDescent="0.25">
      <c r="C113" s="1462" t="str">
        <f>SOURCES!C40</f>
        <v>Seller Note</v>
      </c>
      <c r="D113" s="1463"/>
      <c r="E113" s="1462" t="str">
        <f>SOURCES!F40</f>
        <v>Enter Entity Name</v>
      </c>
      <c r="F113" s="1452"/>
      <c r="G113" s="1473"/>
      <c r="H113" s="624">
        <f>SOURCES!J40</f>
        <v>0</v>
      </c>
      <c r="I113" s="1466">
        <f>SOURCES!L40</f>
        <v>0</v>
      </c>
      <c r="J113" s="1432">
        <f>SOURCES!I40</f>
        <v>0</v>
      </c>
      <c r="K113" s="1432">
        <f>SOURCES!M40</f>
        <v>0</v>
      </c>
      <c r="L113" s="1432" t="e">
        <f t="shared" si="6"/>
        <v>#DIV/0!</v>
      </c>
      <c r="M113" s="49"/>
    </row>
    <row r="114" spans="3:13" x14ac:dyDescent="0.25">
      <c r="C114" s="1462" t="str">
        <f>SOURCES!C41</f>
        <v>Other:  select from menu</v>
      </c>
      <c r="D114" s="1477"/>
      <c r="E114" s="1462" t="str">
        <f>SOURCES!F41</f>
        <v>Enter Entity Name</v>
      </c>
      <c r="F114" s="1478"/>
      <c r="G114" s="1479"/>
      <c r="H114" s="624">
        <f>SOURCES!J41</f>
        <v>0</v>
      </c>
      <c r="I114" s="1466">
        <f>SOURCES!L41</f>
        <v>0</v>
      </c>
      <c r="J114" s="1432">
        <f>SOURCES!I41</f>
        <v>0</v>
      </c>
      <c r="K114" s="1432">
        <f>SOURCES!M41</f>
        <v>0</v>
      </c>
      <c r="L114" s="1432" t="e">
        <f t="shared" si="6"/>
        <v>#DIV/0!</v>
      </c>
      <c r="M114" s="49"/>
    </row>
    <row r="115" spans="3:13" x14ac:dyDescent="0.25">
      <c r="C115" s="1462" t="str">
        <f>SOURCES!C42</f>
        <v>Other:  select from menu</v>
      </c>
      <c r="D115" s="1477"/>
      <c r="E115" s="1462" t="str">
        <f>SOURCES!F42</f>
        <v>Enter Entity Name</v>
      </c>
      <c r="F115" s="1478"/>
      <c r="G115" s="1479"/>
      <c r="H115" s="624">
        <f>SOURCES!J42</f>
        <v>0</v>
      </c>
      <c r="I115" s="1466">
        <f>SOURCES!L42</f>
        <v>0</v>
      </c>
      <c r="J115" s="1432">
        <f>SOURCES!I42</f>
        <v>0</v>
      </c>
      <c r="K115" s="1432">
        <f>SOURCES!M42</f>
        <v>0</v>
      </c>
      <c r="L115" s="1432" t="e">
        <f t="shared" si="6"/>
        <v>#DIV/0!</v>
      </c>
      <c r="M115" s="49"/>
    </row>
    <row r="116" spans="3:13" x14ac:dyDescent="0.25">
      <c r="C116" s="1462" t="str">
        <f>SOURCES!C43</f>
        <v>Other:  select from menu</v>
      </c>
      <c r="D116" s="1477"/>
      <c r="E116" s="1462" t="str">
        <f>SOURCES!F43</f>
        <v>Enter Entity Name</v>
      </c>
      <c r="F116" s="1478"/>
      <c r="G116" s="1479"/>
      <c r="H116" s="624">
        <f>SOURCES!J43</f>
        <v>0</v>
      </c>
      <c r="I116" s="1466">
        <f>SOURCES!L43</f>
        <v>0</v>
      </c>
      <c r="J116" s="1432">
        <f>SOURCES!I43</f>
        <v>0</v>
      </c>
      <c r="K116" s="1432">
        <f>SOURCES!M43</f>
        <v>0</v>
      </c>
      <c r="L116" s="1432" t="e">
        <f t="shared" si="6"/>
        <v>#DIV/0!</v>
      </c>
      <c r="M116" s="49"/>
    </row>
    <row r="117" spans="3:13" x14ac:dyDescent="0.25">
      <c r="C117" s="1462" t="str">
        <f>SOURCES!C44</f>
        <v>Other:  select from menu</v>
      </c>
      <c r="D117" s="1477"/>
      <c r="E117" s="1462" t="str">
        <f>SOURCES!F44</f>
        <v>Enter Entity Name</v>
      </c>
      <c r="F117" s="1478"/>
      <c r="G117" s="1479"/>
      <c r="H117" s="624">
        <f>SOURCES!J44</f>
        <v>0</v>
      </c>
      <c r="I117" s="1466">
        <f>SOURCES!L44</f>
        <v>0</v>
      </c>
      <c r="J117" s="1432">
        <f>SOURCES!I44</f>
        <v>0</v>
      </c>
      <c r="K117" s="1432">
        <f>SOURCES!M44</f>
        <v>0</v>
      </c>
      <c r="L117" s="1432" t="e">
        <f t="shared" si="6"/>
        <v>#DIV/0!</v>
      </c>
      <c r="M117" s="49"/>
    </row>
    <row r="118" spans="3:13" x14ac:dyDescent="0.25">
      <c r="C118" s="1462" t="str">
        <f>SOURCES!C45</f>
        <v>Other:  select from menu</v>
      </c>
      <c r="D118" s="1477"/>
      <c r="E118" s="1462" t="str">
        <f>SOURCES!F45</f>
        <v>Enter Entity Name</v>
      </c>
      <c r="F118" s="1478"/>
      <c r="G118" s="1479"/>
      <c r="H118" s="624">
        <f>SOURCES!J45</f>
        <v>0</v>
      </c>
      <c r="I118" s="1466">
        <f>SOURCES!L45</f>
        <v>0</v>
      </c>
      <c r="J118" s="1432">
        <f>SOURCES!I45</f>
        <v>0</v>
      </c>
      <c r="K118" s="1432">
        <f>SOURCES!M45</f>
        <v>0</v>
      </c>
      <c r="L118" s="1432" t="e">
        <f t="shared" si="6"/>
        <v>#DIV/0!</v>
      </c>
      <c r="M118" s="49"/>
    </row>
    <row r="119" spans="3:13" x14ac:dyDescent="0.25">
      <c r="C119" s="1462" t="str">
        <f>SOURCES!C46</f>
        <v>Other:  select from menu</v>
      </c>
      <c r="D119" s="1463">
        <f>SOURCES!D41</f>
        <v>0</v>
      </c>
      <c r="E119" s="1462" t="str">
        <f>SOURCES!F46</f>
        <v>Enter Entity Name</v>
      </c>
      <c r="F119" s="1431"/>
      <c r="G119" s="1473"/>
      <c r="H119" s="624">
        <f>SOURCES!J46</f>
        <v>0</v>
      </c>
      <c r="I119" s="1466">
        <f>SOURCES!L46</f>
        <v>0</v>
      </c>
      <c r="J119" s="1432">
        <f>SOURCES!I46</f>
        <v>0</v>
      </c>
      <c r="K119" s="1432">
        <f>SOURCES!M46</f>
        <v>0</v>
      </c>
      <c r="L119" s="1432" t="e">
        <f t="shared" si="6"/>
        <v>#DIV/0!</v>
      </c>
      <c r="M119" s="49"/>
    </row>
    <row r="120" spans="3:13" x14ac:dyDescent="0.25">
      <c r="C120" s="1462" t="str">
        <f>SOURCES!C47</f>
        <v>Other:  select from menu</v>
      </c>
      <c r="D120" s="1463">
        <f>SOURCES!D42</f>
        <v>0</v>
      </c>
      <c r="E120" s="1462" t="str">
        <f>SOURCES!F47</f>
        <v>Enter Entity Name</v>
      </c>
      <c r="F120" s="1431"/>
      <c r="G120" s="1473"/>
      <c r="H120" s="624">
        <f>SOURCES!J47</f>
        <v>0</v>
      </c>
      <c r="I120" s="1466">
        <f>SOURCES!L47</f>
        <v>0</v>
      </c>
      <c r="J120" s="1432">
        <f>SOURCES!I47</f>
        <v>0</v>
      </c>
      <c r="K120" s="1432">
        <f>SOURCES!M47</f>
        <v>0</v>
      </c>
      <c r="L120" s="1432" t="e">
        <f t="shared" si="6"/>
        <v>#DIV/0!</v>
      </c>
      <c r="M120" s="49"/>
    </row>
    <row r="121" spans="3:13" x14ac:dyDescent="0.25">
      <c r="C121" s="1462" t="str">
        <f>SOURCES!C48</f>
        <v>Other:  select from menu</v>
      </c>
      <c r="D121" s="1463">
        <f>SOURCES!D43</f>
        <v>0</v>
      </c>
      <c r="E121" s="1462" t="str">
        <f>SOURCES!F48</f>
        <v>Enter Entity Name</v>
      </c>
      <c r="F121" s="1431"/>
      <c r="G121" s="1473"/>
      <c r="H121" s="624">
        <f>SOURCES!J48</f>
        <v>0</v>
      </c>
      <c r="I121" s="1466">
        <f>SOURCES!L48</f>
        <v>0</v>
      </c>
      <c r="J121" s="1432">
        <f>SOURCES!I48</f>
        <v>0</v>
      </c>
      <c r="K121" s="1432">
        <f>SOURCES!M48</f>
        <v>0</v>
      </c>
      <c r="L121" s="1432" t="e">
        <f t="shared" si="6"/>
        <v>#DIV/0!</v>
      </c>
      <c r="M121" s="49"/>
    </row>
    <row r="122" spans="3:13" x14ac:dyDescent="0.25">
      <c r="C122" s="1462" t="str">
        <f>SOURCES!C49</f>
        <v>Other:  select from menu</v>
      </c>
      <c r="D122" s="1463">
        <f>SOURCES!D44</f>
        <v>0</v>
      </c>
      <c r="E122" s="1462" t="str">
        <f>SOURCES!F49</f>
        <v>Enter Entity Name</v>
      </c>
      <c r="F122" s="1431"/>
      <c r="G122" s="1473"/>
      <c r="H122" s="624">
        <f>SOURCES!J49</f>
        <v>0</v>
      </c>
      <c r="I122" s="1466">
        <f>SOURCES!L49</f>
        <v>0</v>
      </c>
      <c r="J122" s="1432">
        <f>SOURCES!I49</f>
        <v>0</v>
      </c>
      <c r="K122" s="1432">
        <f>SOURCES!M49</f>
        <v>0</v>
      </c>
      <c r="L122" s="1432" t="e">
        <f t="shared" si="6"/>
        <v>#DIV/0!</v>
      </c>
      <c r="M122" s="49"/>
    </row>
    <row r="123" spans="3:13" x14ac:dyDescent="0.25">
      <c r="C123" s="1462" t="str">
        <f>SOURCES!C50</f>
        <v>Other:  select from menu</v>
      </c>
      <c r="D123" s="1463">
        <f>SOURCES!D45</f>
        <v>0</v>
      </c>
      <c r="E123" s="1462" t="str">
        <f>SOURCES!F50</f>
        <v>Enter Entity Name</v>
      </c>
      <c r="F123" s="1431"/>
      <c r="G123" s="1480"/>
      <c r="H123" s="624">
        <f>SOURCES!J50</f>
        <v>0</v>
      </c>
      <c r="I123" s="1466">
        <f>SOURCES!L50</f>
        <v>0</v>
      </c>
      <c r="J123" s="1432">
        <f>SOURCES!I50</f>
        <v>0</v>
      </c>
      <c r="K123" s="1432">
        <f>SOURCES!M50</f>
        <v>0</v>
      </c>
      <c r="L123" s="1432" t="e">
        <f t="shared" si="6"/>
        <v>#DIV/0!</v>
      </c>
      <c r="M123" s="49"/>
    </row>
    <row r="124" spans="3:13" x14ac:dyDescent="0.25">
      <c r="C124" s="1462" t="str">
        <f>SOURCES!C51</f>
        <v>Other:  select from menu</v>
      </c>
      <c r="D124" s="1463">
        <f>SOURCES!D46</f>
        <v>0</v>
      </c>
      <c r="E124" s="1462" t="str">
        <f>SOURCES!F51</f>
        <v>Enter Entity Name</v>
      </c>
      <c r="F124" s="1431"/>
      <c r="G124" s="1480"/>
      <c r="H124" s="624">
        <f>SOURCES!J51</f>
        <v>0</v>
      </c>
      <c r="I124" s="1466">
        <f>SOURCES!L51</f>
        <v>0</v>
      </c>
      <c r="J124" s="1432">
        <f>SOURCES!I51</f>
        <v>0</v>
      </c>
      <c r="K124" s="1432">
        <f>SOURCES!M51</f>
        <v>0</v>
      </c>
      <c r="L124" s="1432" t="e">
        <f t="shared" si="6"/>
        <v>#DIV/0!</v>
      </c>
      <c r="M124" s="48"/>
    </row>
    <row r="125" spans="3:13" x14ac:dyDescent="0.25">
      <c r="C125" s="11" t="s">
        <v>716</v>
      </c>
      <c r="D125"/>
      <c r="E125"/>
      <c r="F125"/>
      <c r="G125"/>
      <c r="H125"/>
      <c r="I125"/>
      <c r="J125" s="1456">
        <f>+SUM(J102:J106)+SUM(J112:J124)</f>
        <v>0</v>
      </c>
      <c r="K125" s="1456">
        <f>+SUM(K102:K124)</f>
        <v>0</v>
      </c>
      <c r="L125" s="1456" t="e">
        <f t="shared" si="6"/>
        <v>#DIV/0!</v>
      </c>
    </row>
    <row r="126" spans="3:13" x14ac:dyDescent="0.25">
      <c r="C126"/>
      <c r="D126"/>
      <c r="E126"/>
      <c r="F126"/>
      <c r="G126"/>
      <c r="H126"/>
      <c r="I126"/>
      <c r="J126"/>
      <c r="K126"/>
      <c r="L126"/>
    </row>
    <row r="127" spans="3:13" ht="13.8" x14ac:dyDescent="0.3">
      <c r="C127" s="291" t="s">
        <v>333</v>
      </c>
      <c r="D127"/>
      <c r="E127"/>
      <c r="F127"/>
      <c r="G127"/>
      <c r="H127"/>
      <c r="I127"/>
      <c r="J127" s="5"/>
      <c r="K127"/>
      <c r="L127"/>
      <c r="M127" s="45"/>
    </row>
    <row r="128" spans="3:13" ht="13.8" x14ac:dyDescent="0.3">
      <c r="C128" s="1481" t="s">
        <v>719</v>
      </c>
      <c r="D128" s="1482"/>
      <c r="E128" s="1482"/>
      <c r="F128" s="1482"/>
      <c r="G128" s="1483"/>
      <c r="H128" s="485" t="s">
        <v>720</v>
      </c>
      <c r="I128" s="1482"/>
      <c r="J128" s="1484"/>
      <c r="K128" s="1485" t="s">
        <v>706</v>
      </c>
      <c r="L128" s="1485" t="s">
        <v>2678</v>
      </c>
      <c r="M128" s="46"/>
    </row>
    <row r="129" spans="3:13" x14ac:dyDescent="0.25">
      <c r="C129" s="1486" t="str">
        <f>SOURCES!C58</f>
        <v>Federal Historic Tax Credit Proceeds (from Tax Credit section)</v>
      </c>
      <c r="D129" s="1431"/>
      <c r="E129" s="1431"/>
      <c r="F129" s="1431"/>
      <c r="G129" s="1487"/>
      <c r="H129" s="1488">
        <f>SOURCES!H58</f>
        <v>0</v>
      </c>
      <c r="I129" s="1489"/>
      <c r="J129" s="1487"/>
      <c r="K129" s="1490">
        <f>SOURCES!M58</f>
        <v>0</v>
      </c>
      <c r="L129" s="1490" t="e">
        <f t="shared" ref="L129:L147" si="7">K129/$K$36</f>
        <v>#DIV/0!</v>
      </c>
      <c r="M129" s="49"/>
    </row>
    <row r="130" spans="3:13" x14ac:dyDescent="0.25">
      <c r="C130" s="1486" t="str">
        <f>SOURCES!C59</f>
        <v>State Historic Tax Credit Proceeds (from Tax Credit section)</v>
      </c>
      <c r="D130" s="1491"/>
      <c r="E130" s="1491"/>
      <c r="F130" s="1491"/>
      <c r="G130" s="1492"/>
      <c r="H130" s="1488">
        <f>SOURCES!H59</f>
        <v>0</v>
      </c>
      <c r="I130" s="1493"/>
      <c r="J130" s="1487"/>
      <c r="K130" s="625">
        <f>SOURCES!M59</f>
        <v>0</v>
      </c>
      <c r="L130" s="625" t="e">
        <f t="shared" si="7"/>
        <v>#DIV/0!</v>
      </c>
      <c r="M130" s="49"/>
    </row>
    <row r="131" spans="3:13" x14ac:dyDescent="0.25">
      <c r="C131" s="1486" t="str">
        <f>SOURCES!C60</f>
        <v>Low Income Housing Tax Credit Proceeds (from Tax Credit section)</v>
      </c>
      <c r="D131" s="1431"/>
      <c r="E131" s="1431"/>
      <c r="F131" s="1431"/>
      <c r="G131" s="1487"/>
      <c r="H131" s="1488">
        <f>SOURCES!H60</f>
        <v>0</v>
      </c>
      <c r="I131" s="1489"/>
      <c r="J131" s="1487"/>
      <c r="K131" s="625" t="str">
        <f>SOURCES!M60</f>
        <v/>
      </c>
      <c r="L131" s="625" t="e">
        <f t="shared" si="7"/>
        <v>#DIV/0!</v>
      </c>
      <c r="M131" s="49"/>
    </row>
    <row r="132" spans="3:13" x14ac:dyDescent="0.25">
      <c r="C132" s="1486" t="str">
        <f>SOURCES!C61</f>
        <v>Deferred Developer Fee</v>
      </c>
      <c r="D132" s="1431"/>
      <c r="E132" s="1431"/>
      <c r="F132" s="1431"/>
      <c r="G132" s="1487"/>
      <c r="H132" s="1488">
        <f>SOURCES!H61</f>
        <v>0</v>
      </c>
      <c r="I132" s="1489"/>
      <c r="J132" s="1487"/>
      <c r="K132" s="625">
        <f>SOURCES!M61</f>
        <v>0</v>
      </c>
      <c r="L132" s="625" t="e">
        <f t="shared" si="7"/>
        <v>#DIV/0!</v>
      </c>
      <c r="M132" s="49"/>
    </row>
    <row r="133" spans="3:13" x14ac:dyDescent="0.25">
      <c r="C133" s="1486" t="str">
        <f>SOURCES!C62</f>
        <v xml:space="preserve">Developer Equity </v>
      </c>
      <c r="D133" s="1431"/>
      <c r="E133" s="1431"/>
      <c r="F133" s="1431"/>
      <c r="G133" s="1487"/>
      <c r="H133" s="1488">
        <f>SOURCES!H62</f>
        <v>0</v>
      </c>
      <c r="I133" s="1493"/>
      <c r="J133" s="1487"/>
      <c r="K133" s="625">
        <f>SOURCES!M62</f>
        <v>0</v>
      </c>
      <c r="L133" s="625" t="e">
        <f t="shared" si="7"/>
        <v>#DIV/0!</v>
      </c>
      <c r="M133" s="49"/>
    </row>
    <row r="134" spans="3:13" x14ac:dyDescent="0.25">
      <c r="C134" s="1486" t="str">
        <f>SOURCES!C63</f>
        <v xml:space="preserve">Interim Income </v>
      </c>
      <c r="D134" s="1494"/>
      <c r="E134" s="1431"/>
      <c r="F134" s="1431"/>
      <c r="G134" s="1487"/>
      <c r="H134" s="1488">
        <f>SOURCES!H63</f>
        <v>0</v>
      </c>
      <c r="I134" s="1493"/>
      <c r="J134" s="1487"/>
      <c r="K134" s="625">
        <f>SOURCES!M63</f>
        <v>0</v>
      </c>
      <c r="L134" s="625" t="e">
        <f t="shared" si="7"/>
        <v>#DIV/0!</v>
      </c>
      <c r="M134" s="49"/>
    </row>
    <row r="135" spans="3:13" x14ac:dyDescent="0.25">
      <c r="C135" s="1486" t="str">
        <f>SOURCES!C64</f>
        <v>Other:</v>
      </c>
      <c r="D135" s="1494" t="str">
        <f>SOURCES!D64</f>
        <v>Energy Credits</v>
      </c>
      <c r="E135" s="1431"/>
      <c r="F135" s="1431"/>
      <c r="G135" s="1487"/>
      <c r="H135" s="1488">
        <f>SOURCES!H64</f>
        <v>0</v>
      </c>
      <c r="I135" s="1493"/>
      <c r="J135" s="1487"/>
      <c r="K135" s="625">
        <f>SOURCES!M64</f>
        <v>0</v>
      </c>
      <c r="L135" s="625" t="e">
        <f t="shared" si="7"/>
        <v>#DIV/0!</v>
      </c>
      <c r="M135" s="49"/>
    </row>
    <row r="136" spans="3:13" x14ac:dyDescent="0.25">
      <c r="C136" s="1486" t="str">
        <f>SOURCES!C65</f>
        <v>Other:</v>
      </c>
      <c r="D136" s="1494" t="str">
        <f>SOURCES!D65</f>
        <v>Bond Investment Income</v>
      </c>
      <c r="E136" s="1494"/>
      <c r="F136" s="1494"/>
      <c r="G136" s="1487"/>
      <c r="H136" s="1488">
        <f>SOURCES!H65</f>
        <v>0</v>
      </c>
      <c r="I136" s="1493"/>
      <c r="J136" s="1487"/>
      <c r="K136" s="625">
        <f>SOURCES!M65</f>
        <v>0</v>
      </c>
      <c r="L136" s="625" t="e">
        <f t="shared" si="7"/>
        <v>#DIV/0!</v>
      </c>
      <c r="M136" s="49"/>
    </row>
    <row r="137" spans="3:13" x14ac:dyDescent="0.25">
      <c r="C137" s="1486" t="str">
        <f>SOURCES!C66</f>
        <v>Other:</v>
      </c>
      <c r="D137" s="1494" t="str">
        <f>SOURCES!D66</f>
        <v>Existing Reserves</v>
      </c>
      <c r="E137" s="1478"/>
      <c r="F137" s="1478"/>
      <c r="G137" s="1495"/>
      <c r="H137" s="1488">
        <f>SOURCES!H66</f>
        <v>0</v>
      </c>
      <c r="I137" s="1496"/>
      <c r="J137" s="1495"/>
      <c r="K137" s="625">
        <f>SOURCES!M66</f>
        <v>0</v>
      </c>
      <c r="L137" s="625" t="e">
        <f t="shared" ref="L137:L145" si="8">K137/$K$36</f>
        <v>#DIV/0!</v>
      </c>
      <c r="M137" s="49"/>
    </row>
    <row r="138" spans="3:13" x14ac:dyDescent="0.25">
      <c r="C138" s="1486" t="str">
        <f>SOURCES!C67</f>
        <v>Other:  select from menu</v>
      </c>
      <c r="D138" s="1494">
        <f>SOURCES!D67</f>
        <v>0</v>
      </c>
      <c r="E138" s="1478"/>
      <c r="F138" s="1478"/>
      <c r="G138" s="1495"/>
      <c r="H138" s="1488">
        <f>SOURCES!H67</f>
        <v>0</v>
      </c>
      <c r="I138" s="1496"/>
      <c r="J138" s="1495"/>
      <c r="K138" s="625">
        <f>SOURCES!M67</f>
        <v>0</v>
      </c>
      <c r="L138" s="625" t="e">
        <f t="shared" si="8"/>
        <v>#DIV/0!</v>
      </c>
      <c r="M138" s="49"/>
    </row>
    <row r="139" spans="3:13" x14ac:dyDescent="0.25">
      <c r="C139" s="1486" t="str">
        <f>SOURCES!C68</f>
        <v>Other:  select from menu</v>
      </c>
      <c r="D139" s="1494">
        <f>SOURCES!D68</f>
        <v>0</v>
      </c>
      <c r="E139" s="1478"/>
      <c r="F139" s="1478"/>
      <c r="G139" s="1495"/>
      <c r="H139" s="1488">
        <f>SOURCES!H68</f>
        <v>0</v>
      </c>
      <c r="I139" s="1496"/>
      <c r="J139" s="1495"/>
      <c r="K139" s="625">
        <f>SOURCES!M68</f>
        <v>0</v>
      </c>
      <c r="L139" s="625" t="e">
        <f t="shared" si="8"/>
        <v>#DIV/0!</v>
      </c>
      <c r="M139" s="49"/>
    </row>
    <row r="140" spans="3:13" x14ac:dyDescent="0.25">
      <c r="C140" s="1486" t="str">
        <f>SOURCES!C69</f>
        <v>Other:  select from menu</v>
      </c>
      <c r="D140" s="1494">
        <f>SOURCES!D69</f>
        <v>0</v>
      </c>
      <c r="E140" s="1478"/>
      <c r="F140" s="1478"/>
      <c r="G140" s="1495"/>
      <c r="H140" s="1488">
        <f>SOURCES!H69</f>
        <v>0</v>
      </c>
      <c r="I140" s="1496"/>
      <c r="J140" s="1495"/>
      <c r="K140" s="625">
        <f>SOURCES!M69</f>
        <v>0</v>
      </c>
      <c r="L140" s="625" t="e">
        <f t="shared" si="8"/>
        <v>#DIV/0!</v>
      </c>
      <c r="M140" s="49"/>
    </row>
    <row r="141" spans="3:13" x14ac:dyDescent="0.25">
      <c r="C141" s="1486" t="str">
        <f>SOURCES!C70</f>
        <v>Other:  select from menu</v>
      </c>
      <c r="D141" s="1494">
        <f>SOURCES!D70</f>
        <v>0</v>
      </c>
      <c r="E141" s="1478"/>
      <c r="F141" s="1478"/>
      <c r="G141" s="1495"/>
      <c r="H141" s="1488">
        <f>SOURCES!H70</f>
        <v>0</v>
      </c>
      <c r="I141" s="1496"/>
      <c r="J141" s="1495"/>
      <c r="K141" s="625">
        <f>SOURCES!M70</f>
        <v>0</v>
      </c>
      <c r="L141" s="625" t="e">
        <f t="shared" si="8"/>
        <v>#DIV/0!</v>
      </c>
      <c r="M141" s="49"/>
    </row>
    <row r="142" spans="3:13" x14ac:dyDescent="0.25">
      <c r="C142" s="1486" t="str">
        <f>SOURCES!C71</f>
        <v>Other:  select from menu</v>
      </c>
      <c r="D142" s="1494">
        <f>SOURCES!D71</f>
        <v>0</v>
      </c>
      <c r="E142" s="1478"/>
      <c r="F142" s="1478"/>
      <c r="G142" s="1495"/>
      <c r="H142" s="1488">
        <f>SOURCES!H71</f>
        <v>0</v>
      </c>
      <c r="I142" s="1496"/>
      <c r="J142" s="1495"/>
      <c r="K142" s="625">
        <f>SOURCES!M71</f>
        <v>0</v>
      </c>
      <c r="L142" s="625" t="e">
        <f t="shared" si="8"/>
        <v>#DIV/0!</v>
      </c>
      <c r="M142" s="49"/>
    </row>
    <row r="143" spans="3:13" x14ac:dyDescent="0.25">
      <c r="C143" s="1486" t="str">
        <f>SOURCES!C72</f>
        <v>Other:  select from menu</v>
      </c>
      <c r="D143" s="1494">
        <f>SOURCES!D72</f>
        <v>0</v>
      </c>
      <c r="E143" s="1478"/>
      <c r="F143" s="1478"/>
      <c r="G143" s="1495"/>
      <c r="H143" s="1488">
        <f>SOURCES!H72</f>
        <v>0</v>
      </c>
      <c r="I143" s="1496"/>
      <c r="J143" s="1495"/>
      <c r="K143" s="625">
        <f>SOURCES!M72</f>
        <v>0</v>
      </c>
      <c r="L143" s="625" t="e">
        <f t="shared" si="8"/>
        <v>#DIV/0!</v>
      </c>
      <c r="M143" s="49"/>
    </row>
    <row r="144" spans="3:13" x14ac:dyDescent="0.25">
      <c r="C144" s="1486" t="str">
        <f>SOURCES!C73</f>
        <v>Other:  select from menu</v>
      </c>
      <c r="D144" s="1494">
        <f>SOURCES!D73</f>
        <v>0</v>
      </c>
      <c r="E144" s="1494"/>
      <c r="F144" s="1494"/>
      <c r="G144" s="1487"/>
      <c r="H144" s="1488">
        <f>SOURCES!H73</f>
        <v>0</v>
      </c>
      <c r="I144" s="1493"/>
      <c r="J144" s="1487"/>
      <c r="K144" s="625">
        <f>SOURCES!M73</f>
        <v>0</v>
      </c>
      <c r="L144" s="625" t="e">
        <f t="shared" si="8"/>
        <v>#DIV/0!</v>
      </c>
      <c r="M144" s="49"/>
    </row>
    <row r="145" spans="3:13" x14ac:dyDescent="0.25">
      <c r="C145" s="1486" t="str">
        <f>SOURCES!C74</f>
        <v>Other:  select from menu</v>
      </c>
      <c r="D145" s="1494">
        <f>SOURCES!D74</f>
        <v>0</v>
      </c>
      <c r="E145" s="1431"/>
      <c r="F145" s="1431"/>
      <c r="G145" s="1487"/>
      <c r="H145" s="1488">
        <f>SOURCES!H74</f>
        <v>0</v>
      </c>
      <c r="I145" s="1493"/>
      <c r="J145" s="1487"/>
      <c r="K145" s="625">
        <f>SOURCES!M74</f>
        <v>0</v>
      </c>
      <c r="L145" s="625" t="e">
        <f t="shared" si="8"/>
        <v>#DIV/0!</v>
      </c>
      <c r="M145" s="49"/>
    </row>
    <row r="146" spans="3:13" x14ac:dyDescent="0.25">
      <c r="C146" s="11" t="s">
        <v>725</v>
      </c>
      <c r="D146"/>
      <c r="E146"/>
      <c r="F146"/>
      <c r="G146"/>
      <c r="H146"/>
      <c r="I146"/>
      <c r="J146"/>
      <c r="K146" s="1497">
        <f>+SUM(K129:K145)</f>
        <v>0</v>
      </c>
      <c r="L146" s="1497" t="e">
        <f t="shared" si="7"/>
        <v>#DIV/0!</v>
      </c>
      <c r="M146" s="48"/>
    </row>
    <row r="147" spans="3:13" x14ac:dyDescent="0.25">
      <c r="C147" s="11" t="s">
        <v>963</v>
      </c>
      <c r="D147"/>
      <c r="E147"/>
      <c r="F147"/>
      <c r="G147"/>
      <c r="H147" s="1"/>
      <c r="I147" s="1"/>
      <c r="J147" s="3"/>
      <c r="K147" s="1497">
        <f>K98+K125+K146</f>
        <v>0</v>
      </c>
      <c r="L147" s="1497" t="e">
        <f t="shared" si="7"/>
        <v>#DIV/0!</v>
      </c>
    </row>
    <row r="148" spans="3:13" x14ac:dyDescent="0.25">
      <c r="C148"/>
      <c r="D148"/>
      <c r="E148"/>
      <c r="F148"/>
      <c r="G148"/>
      <c r="H148"/>
      <c r="I148"/>
      <c r="J148"/>
      <c r="K148"/>
      <c r="L148"/>
    </row>
    <row r="149" spans="3:13" x14ac:dyDescent="0.25">
      <c r="C149" s="12"/>
      <c r="D149"/>
      <c r="E149"/>
      <c r="F149"/>
      <c r="G149"/>
      <c r="H149"/>
      <c r="I149"/>
      <c r="J149"/>
      <c r="K149"/>
      <c r="L149"/>
    </row>
    <row r="150" spans="3:13" x14ac:dyDescent="0.25">
      <c r="C150" s="1447" t="s">
        <v>730</v>
      </c>
      <c r="D150" s="440"/>
      <c r="E150" s="440"/>
      <c r="F150" s="440"/>
      <c r="G150" s="440"/>
      <c r="H150" s="440"/>
      <c r="I150" s="440"/>
      <c r="J150" s="1413"/>
      <c r="K150" s="440"/>
      <c r="L150" s="440"/>
    </row>
    <row r="151" spans="3:13" x14ac:dyDescent="0.25">
      <c r="C151" s="1498"/>
      <c r="D151"/>
      <c r="E151"/>
      <c r="F151"/>
      <c r="G151"/>
      <c r="H151"/>
      <c r="I151"/>
      <c r="J151" s="962"/>
      <c r="K151"/>
      <c r="L151"/>
      <c r="M151" s="125"/>
    </row>
    <row r="152" spans="3:13" ht="13.8" x14ac:dyDescent="0.3">
      <c r="C152" s="1499" t="s">
        <v>733</v>
      </c>
      <c r="D152" s="1500"/>
      <c r="E152" s="1500"/>
      <c r="F152" s="1500"/>
      <c r="G152" s="1500"/>
      <c r="H152" s="1500"/>
      <c r="I152" s="1500"/>
      <c r="J152" s="1483"/>
      <c r="K152" s="1501" t="s">
        <v>706</v>
      </c>
      <c r="L152" s="1501" t="s">
        <v>2678</v>
      </c>
      <c r="M152" s="46"/>
    </row>
    <row r="153" spans="3:13" x14ac:dyDescent="0.25">
      <c r="C153" s="783" t="s">
        <v>964</v>
      </c>
      <c r="D153" s="1489"/>
      <c r="E153" s="1489"/>
      <c r="F153" s="1489"/>
      <c r="G153" s="1489"/>
      <c r="H153" s="1489"/>
      <c r="I153" s="1489"/>
      <c r="J153" s="1487"/>
      <c r="K153" s="1490">
        <f>USES!J24</f>
        <v>0</v>
      </c>
      <c r="L153" s="1490" t="e">
        <f>K153/$K$36</f>
        <v>#DIV/0!</v>
      </c>
      <c r="M153" s="49"/>
    </row>
    <row r="154" spans="3:13" x14ac:dyDescent="0.25">
      <c r="C154" s="783" t="s">
        <v>746</v>
      </c>
      <c r="D154" s="1489"/>
      <c r="E154" s="1489"/>
      <c r="F154" s="1489"/>
      <c r="G154" s="1489"/>
      <c r="H154" s="1489"/>
      <c r="I154" s="1489"/>
      <c r="J154" s="1487"/>
      <c r="K154" s="625">
        <f>USES!J61</f>
        <v>0</v>
      </c>
      <c r="L154" s="625" t="e">
        <f t="shared" ref="L154:L161" si="9">K154/$K$36</f>
        <v>#DIV/0!</v>
      </c>
      <c r="M154" s="49"/>
    </row>
    <row r="155" spans="3:13" x14ac:dyDescent="0.25">
      <c r="C155" s="783" t="s">
        <v>763</v>
      </c>
      <c r="D155" s="1489"/>
      <c r="E155" s="1489"/>
      <c r="F155" s="1489"/>
      <c r="G155" s="1489"/>
      <c r="H155" s="1489"/>
      <c r="I155" s="1489"/>
      <c r="J155" s="1487"/>
      <c r="K155" s="625">
        <f>USES!J113</f>
        <v>0</v>
      </c>
      <c r="L155" s="625" t="e">
        <f t="shared" si="9"/>
        <v>#DIV/0!</v>
      </c>
      <c r="M155" s="49"/>
    </row>
    <row r="156" spans="3:13" ht="13.8" thickBot="1" x14ac:dyDescent="0.3">
      <c r="C156" s="783" t="s">
        <v>780</v>
      </c>
      <c r="D156" s="1489"/>
      <c r="E156" s="1489"/>
      <c r="F156" s="1489"/>
      <c r="G156" s="1489"/>
      <c r="H156" s="1489"/>
      <c r="I156" s="1489"/>
      <c r="J156" s="1487"/>
      <c r="K156" s="626">
        <f>USES!J126</f>
        <v>0</v>
      </c>
      <c r="L156" s="626" t="e">
        <f t="shared" si="9"/>
        <v>#DIV/0!</v>
      </c>
      <c r="M156" s="102"/>
    </row>
    <row r="157" spans="3:13" x14ac:dyDescent="0.25">
      <c r="C157" s="1502" t="s">
        <v>965</v>
      </c>
      <c r="D157" s="1489"/>
      <c r="E157" s="1489"/>
      <c r="F157" s="1489"/>
      <c r="G157" s="1489"/>
      <c r="H157" s="1489"/>
      <c r="I157" s="1489"/>
      <c r="J157" s="1487"/>
      <c r="K157" s="627">
        <f>+SUM(K153:K156)</f>
        <v>0</v>
      </c>
      <c r="L157" s="627" t="e">
        <f t="shared" si="9"/>
        <v>#DIV/0!</v>
      </c>
      <c r="M157" s="49"/>
    </row>
    <row r="158" spans="3:13" x14ac:dyDescent="0.25">
      <c r="C158" s="783" t="s">
        <v>791</v>
      </c>
      <c r="D158" s="1489"/>
      <c r="E158" s="1489"/>
      <c r="F158" s="1489"/>
      <c r="G158" s="1489"/>
      <c r="H158" s="1489"/>
      <c r="I158" s="1489"/>
      <c r="J158" s="1487"/>
      <c r="K158" s="625">
        <f>USES!J135</f>
        <v>0</v>
      </c>
      <c r="L158" s="625" t="e">
        <f t="shared" si="9"/>
        <v>#DIV/0!</v>
      </c>
      <c r="M158" s="49"/>
    </row>
    <row r="159" spans="3:13" x14ac:dyDescent="0.25">
      <c r="C159" s="783" t="s">
        <v>795</v>
      </c>
      <c r="D159" s="1489"/>
      <c r="E159" s="1489"/>
      <c r="F159" s="1489"/>
      <c r="G159" s="1489"/>
      <c r="H159" s="1489"/>
      <c r="I159" s="1489"/>
      <c r="J159" s="1487"/>
      <c r="K159" s="625">
        <f>USES!J150</f>
        <v>0</v>
      </c>
      <c r="L159" s="625" t="e">
        <f t="shared" si="9"/>
        <v>#DIV/0!</v>
      </c>
      <c r="M159" s="49"/>
    </row>
    <row r="160" spans="3:13" ht="13.8" thickBot="1" x14ac:dyDescent="0.3">
      <c r="C160" s="783" t="s">
        <v>966</v>
      </c>
      <c r="D160" s="1489"/>
      <c r="E160" s="1489"/>
      <c r="F160" s="1489"/>
      <c r="G160" s="1489"/>
      <c r="H160" s="1489"/>
      <c r="I160" s="1489"/>
      <c r="J160" s="1487"/>
      <c r="K160" s="626">
        <f>USES!J163</f>
        <v>0</v>
      </c>
      <c r="L160" s="626" t="e">
        <f t="shared" si="9"/>
        <v>#DIV/0!</v>
      </c>
      <c r="M160" s="48"/>
    </row>
    <row r="161" spans="3:12" x14ac:dyDescent="0.25">
      <c r="C161" s="11" t="s">
        <v>817</v>
      </c>
      <c r="D161"/>
      <c r="E161"/>
      <c r="F161"/>
      <c r="G161"/>
      <c r="H161"/>
      <c r="I161"/>
      <c r="J161"/>
      <c r="K161" s="1503">
        <f>+SUM(K157:K160)</f>
        <v>0</v>
      </c>
      <c r="L161" s="1503" t="e">
        <f t="shared" si="9"/>
        <v>#DIV/0!</v>
      </c>
    </row>
    <row r="162" spans="3:12" x14ac:dyDescent="0.25">
      <c r="C162" s="305"/>
      <c r="D162" s="305"/>
      <c r="E162" s="305"/>
      <c r="F162" s="305"/>
      <c r="G162" s="305"/>
      <c r="H162" s="305"/>
      <c r="I162" s="305"/>
      <c r="J162" s="305"/>
      <c r="K162" s="305" t="s">
        <v>967</v>
      </c>
    </row>
  </sheetData>
  <sheetProtection algorithmName="SHA-512" hashValue="p6Lt/zuwch3NBr7ugny9JXoQn1ZDTZXTKz4lmO0iy5S3pP7gNoxQpzeM6pGTdp/q0Y8RzhHQlNXg4LEcBE1e0g==" saltValue="gca/p3tKTMIV7IO9tOoeeg==" spinCount="100000" sheet="1" objects="1" scenarios="1"/>
  <customSheetViews>
    <customSheetView guid="{76F395A0-B7E9-4489-8589-E8786779257B}" showPageBreaks="1" zeroValues="0" view="pageLayout">
      <selection activeCell="A2" sqref="A2"/>
      <rowBreaks count="1" manualBreakCount="1">
        <brk id="46" max="16383" man="1"/>
      </rowBreaks>
      <pageMargins left="0" right="0" top="0" bottom="0" header="0" footer="0"/>
      <pageSetup scale="95" firstPageNumber="18" fitToHeight="2" orientation="portrait"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zeroValues="0">
      <selection activeCell="A67" sqref="A67"/>
      <rowBreaks count="1" manualBreakCount="1">
        <brk id="45" max="16383" man="1"/>
      </rowBreaks>
      <pageMargins left="0" right="0" top="0" bottom="0" header="0" footer="0"/>
      <pageSetup scale="95" firstPageNumber="21" fitToHeight="2" orientation="portrait"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howPageBreaks="1" zeroValues="0" view="pageBreakPreview" topLeftCell="A59">
      <selection activeCell="H8" sqref="H8"/>
      <rowBreaks count="1" manualBreakCount="1">
        <brk id="45" max="16383" man="1"/>
      </rowBreaks>
      <pageMargins left="0" right="0" top="0" bottom="0" header="0" footer="0"/>
      <pageSetup scale="95" firstPageNumber="21" fitToHeight="2" orientation="portrait"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howPageBreaks="1" zeroValues="0" view="pageBreakPreview" topLeftCell="A59">
      <selection activeCell="H8" sqref="H8"/>
      <rowBreaks count="1" manualBreakCount="1">
        <brk id="45" max="16383" man="1"/>
      </rowBreaks>
      <pageMargins left="0" right="0" top="0" bottom="0" header="0" footer="0"/>
      <pageSetup scale="95" firstPageNumber="21" fitToHeight="2" orientation="portrait"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zeroValues="0" view="pageBreakPreview" showRuler="0" topLeftCell="A86">
      <selection activeCell="H8" sqref="H8"/>
      <rowBreaks count="1" manualBreakCount="1">
        <brk id="45" max="16383" man="1"/>
      </rowBreaks>
      <pageMargins left="0" right="0" top="0" bottom="0" header="0" footer="0"/>
      <pageSetup scale="95" firstPageNumber="21" fitToHeight="2" orientation="portrait"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zeroValues="0" view="pageBreakPreview" showRuler="0">
      <selection activeCell="I18" sqref="I18"/>
      <rowBreaks count="1" manualBreakCount="1">
        <brk id="45" max="16383" man="1"/>
      </rowBreaks>
      <pageMargins left="0" right="0" top="0" bottom="0" header="0" footer="0"/>
      <pageSetup scale="95" firstPageNumber="21" fitToHeight="2" orientation="portrait"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zeroValues="0" showRuler="0" topLeftCell="A64">
      <selection activeCell="I44" sqref="I44"/>
      <rowBreaks count="1" manualBreakCount="1">
        <brk id="45" max="16383" man="1"/>
      </rowBreaks>
      <pageMargins left="0" right="0" top="0" bottom="0" header="0" footer="0"/>
      <pageSetup firstPageNumber="19" orientation="portrait" useFirstPageNumber="1" horizontalDpi="4294967292" r:id="rId7"/>
      <headerFooter alignWithMargins="0"/>
    </customSheetView>
    <customSheetView guid="{714B32FB-A92F-4F7C-8495-8C3BCEB888AE}" showPageBreaks="1" zeroValues="0" view="pageBreakPreview" showRuler="0">
      <selection activeCell="G12" sqref="G12"/>
      <rowBreaks count="1" manualBreakCount="1">
        <brk id="45" max="16383" man="1"/>
      </rowBreaks>
      <pageMargins left="0" right="0" top="0" bottom="0" header="0" footer="0"/>
      <pageSetup scale="95" firstPageNumber="21" fitToHeight="2" orientation="portrait"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zeroValues="0" view="pageBreakPreview" showRuler="0" topLeftCell="A86">
      <selection activeCell="H8" sqref="H8"/>
      <rowBreaks count="1" manualBreakCount="1">
        <brk id="45" max="16383" man="1"/>
      </rowBreaks>
      <pageMargins left="0" right="0" top="0" bottom="0" header="0" footer="0"/>
      <pageSetup scale="95" firstPageNumber="21" fitToHeight="2" orientation="portrait"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zeroValues="0" view="pageBreakPreview" topLeftCell="A59">
      <selection activeCell="H8" sqref="H8"/>
      <rowBreaks count="1" manualBreakCount="1">
        <brk id="45" max="16383" man="1"/>
      </rowBreaks>
      <pageMargins left="0" right="0" top="0" bottom="0" header="0" footer="0"/>
      <pageSetup scale="95" firstPageNumber="21" fitToHeight="2" orientation="portrait"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zeroValues="0" view="pageBreakPreview" topLeftCell="A59">
      <selection activeCell="H8" sqref="H8"/>
      <rowBreaks count="1" manualBreakCount="1">
        <brk id="45" max="16383" man="1"/>
      </rowBreaks>
      <pageMargins left="0" right="0" top="0" bottom="0" header="0" footer="0"/>
      <pageSetup scale="95" firstPageNumber="21" fitToHeight="2" orientation="portrait"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zeroValues="0" view="pageBreakPreview" topLeftCell="A59">
      <selection activeCell="H8" sqref="H8"/>
      <rowBreaks count="1" manualBreakCount="1">
        <brk id="45" max="16383" man="1"/>
      </rowBreaks>
      <pageMargins left="0" right="0" top="0" bottom="0" header="0" footer="0"/>
      <pageSetup scale="95" firstPageNumber="21" fitToHeight="2" orientation="portrait"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zeroValues="0" view="pageBreakPreview" topLeftCell="A59">
      <selection activeCell="H8" sqref="H8"/>
      <rowBreaks count="1" manualBreakCount="1">
        <brk id="45" max="16383" man="1"/>
      </rowBreaks>
      <pageMargins left="0" right="0" top="0" bottom="0" header="0" footer="0"/>
      <pageSetup scale="95" firstPageNumber="21" fitToHeight="2" orientation="portrait"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howPageBreaks="1" zeroValues="0" view="pageBreakPreview" topLeftCell="A59">
      <selection activeCell="H8" sqref="H8"/>
      <rowBreaks count="1" manualBreakCount="1">
        <brk id="45" max="16383" man="1"/>
      </rowBreaks>
      <pageMargins left="0" right="0" top="0" bottom="0" header="0" footer="0"/>
      <pageSetup scale="95" firstPageNumber="21" fitToHeight="2" orientation="portrait" useFirstPageNumber="1" horizontalDpi="4294967292" r:id="rId14"/>
      <headerFooter alignWithMargins="0">
        <oddFooter>&amp;L&amp;"Times New Roman,Italic"&amp;8CDA Form 202 (09/23/2008)&amp;C&amp;"Times New Roman,Italic"&amp;9&amp;P&amp;R&amp;"Times New Roman,Italic"&amp;8&amp;A:&amp;D</oddFooter>
      </headerFooter>
    </customSheetView>
  </customSheetViews>
  <phoneticPr fontId="19" type="noConversion"/>
  <conditionalFormatting sqref="B2">
    <cfRule type="expression" dxfId="4" priority="1">
      <formula>CELL("protect",A1)</formula>
    </cfRule>
  </conditionalFormatting>
  <conditionalFormatting sqref="K3">
    <cfRule type="expression" dxfId="3" priority="2">
      <formula>CELL("protect",A1)</formula>
    </cfRule>
    <cfRule type="expression" dxfId="2" priority="3">
      <formula>CELL("protect",A1)</formula>
    </cfRule>
  </conditionalFormatting>
  <dataValidations count="1">
    <dataValidation type="list" allowBlank="1" showInputMessage="1" showErrorMessage="1" sqref="E13:F13" xr:uid="{84C5470C-D790-4428-BC10-936C83CAECB6}">
      <formula1>$O$8:$O$13</formula1>
    </dataValidation>
  </dataValidations>
  <pageMargins left="0.25" right="0.25" top="0.25" bottom="0.25" header="0.25" footer="0.25"/>
  <pageSetup scale="65" fitToHeight="0" orientation="portrait" useFirstPageNumber="1" r:id="rId15"/>
  <headerFooter scaleWithDoc="0" alignWithMargins="0"/>
  <rowBreaks count="1" manualBreakCount="1">
    <brk id="83" max="16383" man="1"/>
  </rowBreaks>
  <ignoredErrors>
    <ignoredError sqref="K147 K153:K161 K129:K135 C102:D102 D112:D113 G89:K90 K97 G93:K95 D107:D108 D103:D105 C129:C135 H129:H145 C64 I61:J61 I72:J72 I74:J79 E8:E11 E14 E17:E18 J11:J14 J8 K3:K4 I63:J64 J62 E19:E20 J17:J19 C138:C145"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codeName="Sheet2">
    <tabColor rgb="FF0000FF"/>
    <pageSetUpPr fitToPage="1"/>
  </sheetPr>
  <dimension ref="C2:U311"/>
  <sheetViews>
    <sheetView showGridLines="0" view="pageBreakPreview" zoomScale="130" zoomScaleNormal="100" zoomScaleSheetLayoutView="130" workbookViewId="0">
      <selection activeCell="E29" sqref="E29"/>
    </sheetView>
  </sheetViews>
  <sheetFormatPr defaultColWidth="11.77734375" defaultRowHeight="13.2" x14ac:dyDescent="0.25"/>
  <cols>
    <col min="1" max="2" width="2.77734375" style="7" customWidth="1"/>
    <col min="3" max="3" width="15.109375" style="7" customWidth="1"/>
    <col min="4" max="4" width="18.77734375" style="7" customWidth="1"/>
    <col min="5" max="5" width="33.109375" style="7" customWidth="1"/>
    <col min="6" max="8" width="11.77734375" style="7"/>
    <col min="9" max="9" width="21.109375" style="7" customWidth="1"/>
    <col min="10" max="10" width="12.44140625" style="7" customWidth="1"/>
    <col min="11" max="11" width="2.77734375" style="7" customWidth="1"/>
    <col min="12" max="18" width="11.77734375" hidden="1" customWidth="1"/>
    <col min="19" max="21" width="11.77734375" style="7" hidden="1" customWidth="1"/>
    <col min="22" max="16384" width="11.77734375" style="7"/>
  </cols>
  <sheetData>
    <row r="2" spans="3:18" ht="18" x14ac:dyDescent="0.35">
      <c r="C2" s="90" t="s">
        <v>241</v>
      </c>
      <c r="D2" s="41"/>
      <c r="E2" s="41"/>
      <c r="F2" s="41"/>
      <c r="G2" s="41"/>
      <c r="H2" s="41"/>
      <c r="I2" s="9"/>
      <c r="J2" s="99"/>
      <c r="K2" s="41"/>
    </row>
    <row r="3" spans="3:18" ht="12.75" customHeight="1" x14ac:dyDescent="0.35">
      <c r="C3" s="90"/>
      <c r="D3" s="41"/>
      <c r="E3" s="41"/>
      <c r="F3" s="41"/>
      <c r="G3" s="41"/>
      <c r="H3" s="41"/>
      <c r="I3" s="41"/>
      <c r="J3" s="42">
        <f>projname</f>
        <v>0</v>
      </c>
      <c r="K3" s="41"/>
    </row>
    <row r="4" spans="3:18" ht="12.75" customHeight="1" x14ac:dyDescent="0.3">
      <c r="C4" s="317" t="str">
        <f>IF(OR(DEV_CompanyName1="",DEV_CompanyName2=""),"Developer and Guarantor Company names are required","")</f>
        <v/>
      </c>
      <c r="I4" s="9" t="s">
        <v>227</v>
      </c>
      <c r="J4" s="401">
        <f>GENERAL!D7</f>
        <v>0</v>
      </c>
      <c r="K4" s="42"/>
    </row>
    <row r="5" spans="3:18" ht="4.95" customHeight="1" x14ac:dyDescent="0.25">
      <c r="C5" s="43"/>
      <c r="D5" s="1726"/>
      <c r="J5" s="42"/>
      <c r="K5" s="42"/>
    </row>
    <row r="6" spans="3:18" ht="13.8" thickBot="1" x14ac:dyDescent="0.3">
      <c r="C6" s="336" t="s">
        <v>242</v>
      </c>
      <c r="D6" s="234"/>
    </row>
    <row r="7" spans="3:18" ht="12.75" customHeight="1" thickBot="1" x14ac:dyDescent="0.3">
      <c r="C7" s="4" t="s">
        <v>243</v>
      </c>
      <c r="E7" s="1505" t="s">
        <v>244</v>
      </c>
      <c r="H7" s="9" t="s">
        <v>2134</v>
      </c>
      <c r="I7" s="1727">
        <v>0</v>
      </c>
      <c r="J7" s="746"/>
    </row>
    <row r="8" spans="3:18" ht="12.75" customHeight="1" x14ac:dyDescent="0.25">
      <c r="C8" t="s">
        <v>245</v>
      </c>
      <c r="E8" s="1728" t="s">
        <v>2752</v>
      </c>
    </row>
    <row r="9" spans="3:18" x14ac:dyDescent="0.25">
      <c r="C9" s="7" t="s">
        <v>33</v>
      </c>
      <c r="E9" s="1728"/>
    </row>
    <row r="10" spans="3:18" x14ac:dyDescent="0.25">
      <c r="C10" s="7" t="s">
        <v>38</v>
      </c>
      <c r="E10" s="1728"/>
      <c r="F10" s="29" t="s">
        <v>55</v>
      </c>
      <c r="G10" s="1729"/>
      <c r="H10" s="29" t="s">
        <v>41</v>
      </c>
      <c r="I10" s="1730"/>
    </row>
    <row r="11" spans="3:18" x14ac:dyDescent="0.25">
      <c r="C11" s="7" t="s">
        <v>246</v>
      </c>
      <c r="E11" s="1728"/>
      <c r="H11" s="29" t="s">
        <v>59</v>
      </c>
      <c r="I11" s="1731"/>
    </row>
    <row r="12" spans="3:18" x14ac:dyDescent="0.25">
      <c r="C12" s="7" t="s">
        <v>61</v>
      </c>
      <c r="E12" s="1728"/>
      <c r="H12" s="29" t="s">
        <v>62</v>
      </c>
      <c r="I12" s="1732"/>
      <c r="P12" t="s">
        <v>37</v>
      </c>
      <c r="R12" t="s">
        <v>2715</v>
      </c>
    </row>
    <row r="13" spans="3:18" x14ac:dyDescent="0.25">
      <c r="C13" s="7" t="s">
        <v>247</v>
      </c>
      <c r="E13" s="1733"/>
      <c r="H13" s="29" t="s">
        <v>2780</v>
      </c>
      <c r="I13" s="1732"/>
      <c r="P13" t="s">
        <v>40</v>
      </c>
      <c r="R13" t="s">
        <v>2136</v>
      </c>
    </row>
    <row r="14" spans="3:18" x14ac:dyDescent="0.25">
      <c r="C14" s="7" t="s">
        <v>2550</v>
      </c>
      <c r="E14" s="1734"/>
      <c r="M14" t="s">
        <v>249</v>
      </c>
      <c r="P14" t="s">
        <v>43</v>
      </c>
      <c r="R14" t="s">
        <v>255</v>
      </c>
    </row>
    <row r="15" spans="3:18" x14ac:dyDescent="0.25">
      <c r="C15" s="7" t="s">
        <v>39</v>
      </c>
      <c r="E15" s="1735"/>
      <c r="M15" t="s">
        <v>251</v>
      </c>
      <c r="P15" t="s">
        <v>46</v>
      </c>
      <c r="R15" t="s">
        <v>2135</v>
      </c>
    </row>
    <row r="16" spans="3:18" x14ac:dyDescent="0.25">
      <c r="C16" s="7" t="s">
        <v>253</v>
      </c>
      <c r="E16" s="1735"/>
      <c r="M16" t="s">
        <v>254</v>
      </c>
      <c r="P16" t="s">
        <v>48</v>
      </c>
      <c r="R16" t="s">
        <v>2143</v>
      </c>
    </row>
    <row r="17" spans="3:18" ht="13.8" thickBot="1" x14ac:dyDescent="0.3">
      <c r="M17" t="s">
        <v>256</v>
      </c>
      <c r="P17" t="s">
        <v>50</v>
      </c>
      <c r="R17" t="s">
        <v>244</v>
      </c>
    </row>
    <row r="18" spans="3:18" ht="13.8" thickBot="1" x14ac:dyDescent="0.3">
      <c r="C18" s="4" t="s">
        <v>243</v>
      </c>
      <c r="E18" s="1505" t="s">
        <v>248</v>
      </c>
      <c r="H18" s="9" t="s">
        <v>2134</v>
      </c>
      <c r="I18" s="1727">
        <v>0</v>
      </c>
      <c r="J18" s="746"/>
      <c r="M18" t="s">
        <v>258</v>
      </c>
      <c r="P18" t="s">
        <v>51</v>
      </c>
      <c r="R18" t="s">
        <v>2145</v>
      </c>
    </row>
    <row r="19" spans="3:18" x14ac:dyDescent="0.25">
      <c r="C19" t="s">
        <v>245</v>
      </c>
      <c r="E19" s="1728" t="s">
        <v>2752</v>
      </c>
      <c r="M19" t="s">
        <v>259</v>
      </c>
      <c r="P19" t="s">
        <v>53</v>
      </c>
      <c r="R19" t="s">
        <v>757</v>
      </c>
    </row>
    <row r="20" spans="3:18" x14ac:dyDescent="0.25">
      <c r="C20" s="7" t="s">
        <v>33</v>
      </c>
      <c r="E20" s="1728"/>
      <c r="M20" t="s">
        <v>260</v>
      </c>
      <c r="P20" t="s">
        <v>54</v>
      </c>
      <c r="R20" t="s">
        <v>2140</v>
      </c>
    </row>
    <row r="21" spans="3:18" x14ac:dyDescent="0.25">
      <c r="C21" s="7" t="s">
        <v>38</v>
      </c>
      <c r="E21" s="1728"/>
      <c r="F21" s="29" t="s">
        <v>55</v>
      </c>
      <c r="G21" s="1729"/>
      <c r="H21" s="29" t="s">
        <v>41</v>
      </c>
      <c r="I21" s="1730"/>
      <c r="M21" t="s">
        <v>261</v>
      </c>
      <c r="P21" t="s">
        <v>57</v>
      </c>
      <c r="R21" t="s">
        <v>250</v>
      </c>
    </row>
    <row r="22" spans="3:18" x14ac:dyDescent="0.25">
      <c r="C22" s="7" t="s">
        <v>246</v>
      </c>
      <c r="E22" s="1728"/>
      <c r="H22" s="29" t="s">
        <v>59</v>
      </c>
      <c r="I22" s="1731"/>
      <c r="M22" t="s">
        <v>262</v>
      </c>
      <c r="P22" t="s">
        <v>60</v>
      </c>
      <c r="R22" t="s">
        <v>248</v>
      </c>
    </row>
    <row r="23" spans="3:18" x14ac:dyDescent="0.25">
      <c r="C23" s="7" t="s">
        <v>61</v>
      </c>
      <c r="E23" s="1728"/>
      <c r="H23" s="29" t="s">
        <v>62</v>
      </c>
      <c r="I23" s="1732"/>
      <c r="M23" t="s">
        <v>263</v>
      </c>
      <c r="P23" t="s">
        <v>63</v>
      </c>
      <c r="R23" s="4" t="s">
        <v>2142</v>
      </c>
    </row>
    <row r="24" spans="3:18" x14ac:dyDescent="0.25">
      <c r="C24" s="7" t="s">
        <v>247</v>
      </c>
      <c r="E24" s="1733"/>
      <c r="H24" s="29" t="s">
        <v>2780</v>
      </c>
      <c r="I24" s="1732"/>
      <c r="M24" t="s">
        <v>264</v>
      </c>
      <c r="P24" t="s">
        <v>64</v>
      </c>
      <c r="R24" t="s">
        <v>2137</v>
      </c>
    </row>
    <row r="25" spans="3:18" x14ac:dyDescent="0.25">
      <c r="C25" s="7" t="s">
        <v>2550</v>
      </c>
      <c r="E25" s="1734"/>
      <c r="M25" t="s">
        <v>265</v>
      </c>
      <c r="P25" t="s">
        <v>65</v>
      </c>
      <c r="R25" s="1699" t="s">
        <v>280</v>
      </c>
    </row>
    <row r="26" spans="3:18" x14ac:dyDescent="0.25">
      <c r="C26" s="7" t="s">
        <v>39</v>
      </c>
      <c r="E26" s="1735"/>
      <c r="M26" t="s">
        <v>266</v>
      </c>
      <c r="P26" t="s">
        <v>67</v>
      </c>
      <c r="R26" t="s">
        <v>2144</v>
      </c>
    </row>
    <row r="27" spans="3:18" x14ac:dyDescent="0.25">
      <c r="C27" s="7" t="s">
        <v>253</v>
      </c>
      <c r="E27" s="1735"/>
      <c r="M27" t="s">
        <v>267</v>
      </c>
      <c r="P27" t="s">
        <v>68</v>
      </c>
      <c r="R27" t="s">
        <v>2141</v>
      </c>
    </row>
    <row r="28" spans="3:18" ht="13.8" thickBot="1" x14ac:dyDescent="0.3">
      <c r="E28" s="162"/>
      <c r="M28" t="s">
        <v>268</v>
      </c>
      <c r="P28" t="s">
        <v>69</v>
      </c>
      <c r="R28" s="1699" t="s">
        <v>2076</v>
      </c>
    </row>
    <row r="29" spans="3:18" ht="13.8" thickBot="1" x14ac:dyDescent="0.3">
      <c r="C29" s="4" t="s">
        <v>243</v>
      </c>
      <c r="E29" s="1505" t="s">
        <v>2714</v>
      </c>
      <c r="H29" s="9" t="s">
        <v>2134</v>
      </c>
      <c r="I29" s="1727">
        <v>0</v>
      </c>
      <c r="J29" s="746"/>
      <c r="M29" t="s">
        <v>269</v>
      </c>
      <c r="P29" t="s">
        <v>70</v>
      </c>
      <c r="R29" t="s">
        <v>2139</v>
      </c>
    </row>
    <row r="30" spans="3:18" x14ac:dyDescent="0.25">
      <c r="C30" t="s">
        <v>245</v>
      </c>
      <c r="E30" s="1728" t="s">
        <v>2789</v>
      </c>
      <c r="M30" t="s">
        <v>270</v>
      </c>
      <c r="P30" t="s">
        <v>71</v>
      </c>
      <c r="R30" t="s">
        <v>2714</v>
      </c>
    </row>
    <row r="31" spans="3:18" x14ac:dyDescent="0.25">
      <c r="C31" s="7" t="s">
        <v>33</v>
      </c>
      <c r="E31" s="1728"/>
      <c r="M31" t="s">
        <v>271</v>
      </c>
      <c r="P31" t="s">
        <v>72</v>
      </c>
      <c r="R31" t="s">
        <v>2138</v>
      </c>
    </row>
    <row r="32" spans="3:18" x14ac:dyDescent="0.25">
      <c r="C32" s="7" t="s">
        <v>38</v>
      </c>
      <c r="E32" s="1728"/>
      <c r="F32" s="29" t="s">
        <v>55</v>
      </c>
      <c r="G32" s="1729"/>
      <c r="H32" s="29" t="s">
        <v>41</v>
      </c>
      <c r="I32" s="1730"/>
      <c r="M32" t="s">
        <v>272</v>
      </c>
      <c r="P32" t="s">
        <v>76</v>
      </c>
    </row>
    <row r="33" spans="3:16" x14ac:dyDescent="0.25">
      <c r="C33" s="7" t="s">
        <v>246</v>
      </c>
      <c r="E33" s="1728"/>
      <c r="H33" s="29" t="s">
        <v>59</v>
      </c>
      <c r="I33" s="1731"/>
      <c r="M33" t="s">
        <v>273</v>
      </c>
      <c r="P33" t="s">
        <v>81</v>
      </c>
    </row>
    <row r="34" spans="3:16" x14ac:dyDescent="0.25">
      <c r="C34" s="7" t="s">
        <v>61</v>
      </c>
      <c r="E34" s="1736"/>
      <c r="H34" s="29" t="s">
        <v>62</v>
      </c>
      <c r="I34" s="1728"/>
      <c r="M34" t="s">
        <v>274</v>
      </c>
      <c r="P34" t="s">
        <v>83</v>
      </c>
    </row>
    <row r="35" spans="3:16" x14ac:dyDescent="0.25">
      <c r="C35" s="7" t="s">
        <v>247</v>
      </c>
      <c r="E35" s="1733"/>
      <c r="H35" s="29" t="s">
        <v>2780</v>
      </c>
      <c r="I35" s="1732"/>
      <c r="M35" t="s">
        <v>275</v>
      </c>
      <c r="P35" t="s">
        <v>84</v>
      </c>
    </row>
    <row r="36" spans="3:16" x14ac:dyDescent="0.25">
      <c r="C36" s="7" t="s">
        <v>2550</v>
      </c>
      <c r="E36" s="1734"/>
      <c r="J36" s="77"/>
      <c r="M36" t="s">
        <v>276</v>
      </c>
      <c r="P36" t="s">
        <v>86</v>
      </c>
    </row>
    <row r="37" spans="3:16" x14ac:dyDescent="0.25">
      <c r="C37" s="7" t="s">
        <v>39</v>
      </c>
      <c r="E37" s="1735"/>
      <c r="M37" t="s">
        <v>277</v>
      </c>
      <c r="P37" t="s">
        <v>87</v>
      </c>
    </row>
    <row r="38" spans="3:16" x14ac:dyDescent="0.25">
      <c r="C38" s="7" t="s">
        <v>253</v>
      </c>
      <c r="E38" s="1735"/>
      <c r="M38" t="s">
        <v>278</v>
      </c>
      <c r="P38" t="s">
        <v>90</v>
      </c>
    </row>
    <row r="39" spans="3:16" ht="13.8" thickBot="1" x14ac:dyDescent="0.3">
      <c r="H39" s="29"/>
      <c r="M39" t="s">
        <v>279</v>
      </c>
      <c r="P39" t="s">
        <v>92</v>
      </c>
    </row>
    <row r="40" spans="3:16" ht="13.8" thickBot="1" x14ac:dyDescent="0.3">
      <c r="C40" s="4" t="s">
        <v>243</v>
      </c>
      <c r="E40" s="1505" t="s">
        <v>250</v>
      </c>
      <c r="H40" s="9" t="s">
        <v>2134</v>
      </c>
      <c r="I40" s="1727">
        <v>0</v>
      </c>
      <c r="J40" s="746"/>
      <c r="M40" t="s">
        <v>280</v>
      </c>
      <c r="P40" t="s">
        <v>94</v>
      </c>
    </row>
    <row r="41" spans="3:16" x14ac:dyDescent="0.25">
      <c r="C41" t="s">
        <v>245</v>
      </c>
      <c r="E41" s="1728" t="s">
        <v>2752</v>
      </c>
      <c r="P41" t="s">
        <v>96</v>
      </c>
    </row>
    <row r="42" spans="3:16" x14ac:dyDescent="0.25">
      <c r="C42" s="7" t="s">
        <v>33</v>
      </c>
      <c r="E42" s="1728"/>
      <c r="J42" s="77"/>
      <c r="P42" t="s">
        <v>97</v>
      </c>
    </row>
    <row r="43" spans="3:16" x14ac:dyDescent="0.25">
      <c r="C43" s="7" t="s">
        <v>38</v>
      </c>
      <c r="E43" s="1728"/>
      <c r="F43" s="29" t="s">
        <v>55</v>
      </c>
      <c r="G43" s="1729"/>
      <c r="H43" s="29" t="s">
        <v>41</v>
      </c>
      <c r="I43" s="1730"/>
      <c r="P43" t="s">
        <v>98</v>
      </c>
    </row>
    <row r="44" spans="3:16" x14ac:dyDescent="0.25">
      <c r="C44" s="7" t="s">
        <v>246</v>
      </c>
      <c r="E44" s="1728"/>
      <c r="H44" s="29" t="s">
        <v>59</v>
      </c>
      <c r="I44" s="1731"/>
      <c r="P44" t="s">
        <v>99</v>
      </c>
    </row>
    <row r="45" spans="3:16" x14ac:dyDescent="0.25">
      <c r="C45" s="7" t="s">
        <v>61</v>
      </c>
      <c r="E45" s="1736"/>
      <c r="H45" s="29" t="s">
        <v>62</v>
      </c>
      <c r="I45" s="1728"/>
      <c r="P45" t="s">
        <v>100</v>
      </c>
    </row>
    <row r="46" spans="3:16" x14ac:dyDescent="0.25">
      <c r="C46" s="7" t="s">
        <v>247</v>
      </c>
      <c r="E46" s="1733"/>
      <c r="H46" s="29" t="s">
        <v>2780</v>
      </c>
      <c r="I46" s="1732"/>
      <c r="P46" t="s">
        <v>101</v>
      </c>
    </row>
    <row r="47" spans="3:16" x14ac:dyDescent="0.25">
      <c r="C47" s="7" t="s">
        <v>2550</v>
      </c>
      <c r="E47" s="1734"/>
      <c r="P47" t="s">
        <v>102</v>
      </c>
    </row>
    <row r="48" spans="3:16" x14ac:dyDescent="0.25">
      <c r="C48" s="7" t="s">
        <v>39</v>
      </c>
      <c r="E48" s="1735"/>
      <c r="J48" s="77"/>
      <c r="P48" t="s">
        <v>103</v>
      </c>
    </row>
    <row r="49" spans="3:16" x14ac:dyDescent="0.25">
      <c r="C49" s="7" t="s">
        <v>253</v>
      </c>
      <c r="E49" s="1735"/>
      <c r="P49" t="s">
        <v>104</v>
      </c>
    </row>
    <row r="50" spans="3:16" ht="13.8" thickBot="1" x14ac:dyDescent="0.3">
      <c r="H50" s="29"/>
      <c r="I50" s="1737"/>
      <c r="P50" t="s">
        <v>105</v>
      </c>
    </row>
    <row r="51" spans="3:16" ht="13.8" thickBot="1" x14ac:dyDescent="0.3">
      <c r="C51" s="4" t="s">
        <v>243</v>
      </c>
      <c r="E51" s="1505" t="s">
        <v>255</v>
      </c>
      <c r="H51" s="9" t="s">
        <v>2134</v>
      </c>
      <c r="I51" s="1727">
        <v>0</v>
      </c>
      <c r="J51" s="746"/>
      <c r="P51" t="s">
        <v>106</v>
      </c>
    </row>
    <row r="52" spans="3:16" x14ac:dyDescent="0.25">
      <c r="C52" t="s">
        <v>245</v>
      </c>
      <c r="E52" s="1728" t="s">
        <v>2752</v>
      </c>
      <c r="P52" t="s">
        <v>107</v>
      </c>
    </row>
    <row r="53" spans="3:16" x14ac:dyDescent="0.25">
      <c r="C53" s="7" t="s">
        <v>33</v>
      </c>
      <c r="E53" s="1728"/>
      <c r="P53" t="s">
        <v>108</v>
      </c>
    </row>
    <row r="54" spans="3:16" x14ac:dyDescent="0.25">
      <c r="C54" s="7" t="s">
        <v>38</v>
      </c>
      <c r="E54" s="1728"/>
      <c r="F54" s="29" t="s">
        <v>55</v>
      </c>
      <c r="G54" s="1729"/>
      <c r="H54" s="29" t="s">
        <v>41</v>
      </c>
      <c r="I54" s="1730"/>
      <c r="J54" s="77"/>
      <c r="P54" t="s">
        <v>109</v>
      </c>
    </row>
    <row r="55" spans="3:16" x14ac:dyDescent="0.25">
      <c r="C55" s="7" t="s">
        <v>246</v>
      </c>
      <c r="E55" s="1728"/>
      <c r="H55" s="29" t="s">
        <v>59</v>
      </c>
      <c r="I55" s="1731"/>
      <c r="P55" t="s">
        <v>111</v>
      </c>
    </row>
    <row r="56" spans="3:16" x14ac:dyDescent="0.25">
      <c r="C56" s="7" t="s">
        <v>61</v>
      </c>
      <c r="E56" s="1736"/>
      <c r="H56" s="29" t="s">
        <v>62</v>
      </c>
      <c r="I56" s="1732"/>
      <c r="P56" t="s">
        <v>112</v>
      </c>
    </row>
    <row r="57" spans="3:16" x14ac:dyDescent="0.25">
      <c r="C57" s="7" t="s">
        <v>247</v>
      </c>
      <c r="E57" s="1733"/>
      <c r="H57" s="29" t="s">
        <v>2780</v>
      </c>
      <c r="I57" s="1732"/>
      <c r="P57" t="s">
        <v>113</v>
      </c>
    </row>
    <row r="58" spans="3:16" x14ac:dyDescent="0.25">
      <c r="C58" s="7" t="s">
        <v>2550</v>
      </c>
      <c r="E58" s="1734"/>
      <c r="P58" t="s">
        <v>116</v>
      </c>
    </row>
    <row r="59" spans="3:16" x14ac:dyDescent="0.25">
      <c r="C59" s="7" t="s">
        <v>39</v>
      </c>
      <c r="E59" s="1735"/>
      <c r="P59" t="s">
        <v>119</v>
      </c>
    </row>
    <row r="60" spans="3:16" x14ac:dyDescent="0.25">
      <c r="C60" s="7" t="s">
        <v>253</v>
      </c>
      <c r="E60" s="1735"/>
      <c r="J60" s="77"/>
      <c r="P60" t="s">
        <v>122</v>
      </c>
    </row>
    <row r="61" spans="3:16" ht="13.8" thickBot="1" x14ac:dyDescent="0.3">
      <c r="P61" t="s">
        <v>124</v>
      </c>
    </row>
    <row r="62" spans="3:16" ht="13.8" thickBot="1" x14ac:dyDescent="0.3">
      <c r="C62" s="4" t="s">
        <v>243</v>
      </c>
      <c r="E62" s="1505" t="s">
        <v>2076</v>
      </c>
      <c r="H62" s="9" t="s">
        <v>2134</v>
      </c>
      <c r="I62" s="1727">
        <v>0</v>
      </c>
      <c r="J62" s="746"/>
      <c r="P62" t="s">
        <v>126</v>
      </c>
    </row>
    <row r="63" spans="3:16" x14ac:dyDescent="0.25">
      <c r="C63" t="s">
        <v>245</v>
      </c>
      <c r="E63" s="1728" t="s">
        <v>2752</v>
      </c>
    </row>
    <row r="64" spans="3:16" x14ac:dyDescent="0.25">
      <c r="C64" s="7" t="s">
        <v>33</v>
      </c>
      <c r="E64" s="1728"/>
    </row>
    <row r="65" spans="3:10" x14ac:dyDescent="0.25">
      <c r="C65" s="7" t="s">
        <v>38</v>
      </c>
      <c r="E65" s="1728"/>
      <c r="F65" s="29" t="s">
        <v>55</v>
      </c>
      <c r="G65" s="1729"/>
      <c r="H65" s="29" t="s">
        <v>41</v>
      </c>
      <c r="I65" s="1730"/>
    </row>
    <row r="66" spans="3:10" ht="12.75" customHeight="1" x14ac:dyDescent="0.25">
      <c r="C66" s="7" t="s">
        <v>246</v>
      </c>
      <c r="E66" s="1728"/>
      <c r="H66" s="29" t="s">
        <v>59</v>
      </c>
      <c r="I66" s="1731"/>
      <c r="J66" s="77"/>
    </row>
    <row r="67" spans="3:10" x14ac:dyDescent="0.25">
      <c r="C67" s="7" t="s">
        <v>61</v>
      </c>
      <c r="E67" s="1736"/>
      <c r="H67" s="29" t="s">
        <v>62</v>
      </c>
      <c r="I67" s="1732"/>
    </row>
    <row r="68" spans="3:10" x14ac:dyDescent="0.25">
      <c r="C68" s="7" t="s">
        <v>247</v>
      </c>
      <c r="E68" s="1733"/>
      <c r="H68" s="29" t="s">
        <v>2780</v>
      </c>
      <c r="I68" s="1732"/>
    </row>
    <row r="69" spans="3:10" x14ac:dyDescent="0.25">
      <c r="C69" s="7" t="s">
        <v>2550</v>
      </c>
      <c r="E69" s="1734"/>
    </row>
    <row r="70" spans="3:10" x14ac:dyDescent="0.25">
      <c r="C70" s="7" t="s">
        <v>39</v>
      </c>
      <c r="E70" s="1735"/>
    </row>
    <row r="71" spans="3:10" x14ac:dyDescent="0.25">
      <c r="C71" s="7" t="s">
        <v>253</v>
      </c>
      <c r="E71" s="1735"/>
    </row>
    <row r="72" spans="3:10" ht="13.8" thickBot="1" x14ac:dyDescent="0.3">
      <c r="C72" s="17"/>
      <c r="I72" s="3"/>
      <c r="J72" s="77"/>
    </row>
    <row r="73" spans="3:10" ht="13.8" thickBot="1" x14ac:dyDescent="0.3">
      <c r="C73" s="4" t="s">
        <v>243</v>
      </c>
      <c r="E73" s="1505" t="s">
        <v>2715</v>
      </c>
      <c r="H73" s="9" t="s">
        <v>2134</v>
      </c>
      <c r="I73" s="1727">
        <v>0</v>
      </c>
      <c r="J73" s="746"/>
    </row>
    <row r="74" spans="3:10" x14ac:dyDescent="0.25">
      <c r="C74" t="s">
        <v>245</v>
      </c>
      <c r="E74" s="1728" t="s">
        <v>2752</v>
      </c>
    </row>
    <row r="75" spans="3:10" x14ac:dyDescent="0.25">
      <c r="C75" s="7" t="s">
        <v>33</v>
      </c>
      <c r="E75" s="1728"/>
    </row>
    <row r="76" spans="3:10" x14ac:dyDescent="0.25">
      <c r="C76" s="7" t="s">
        <v>38</v>
      </c>
      <c r="E76" s="1728"/>
      <c r="F76" s="29" t="s">
        <v>55</v>
      </c>
      <c r="G76" s="1729"/>
      <c r="H76" s="29" t="s">
        <v>41</v>
      </c>
      <c r="I76" s="1730"/>
      <c r="J76" s="746"/>
    </row>
    <row r="77" spans="3:10" x14ac:dyDescent="0.25">
      <c r="C77" s="7" t="s">
        <v>246</v>
      </c>
      <c r="E77" s="1728"/>
      <c r="H77" s="29" t="s">
        <v>59</v>
      </c>
      <c r="I77" s="1731"/>
    </row>
    <row r="78" spans="3:10" x14ac:dyDescent="0.25">
      <c r="C78" s="7" t="s">
        <v>61</v>
      </c>
      <c r="E78" s="1736"/>
      <c r="H78" s="29" t="s">
        <v>62</v>
      </c>
      <c r="I78" s="1728"/>
      <c r="J78" s="77"/>
    </row>
    <row r="79" spans="3:10" x14ac:dyDescent="0.25">
      <c r="C79" s="7" t="s">
        <v>247</v>
      </c>
      <c r="E79" s="1733"/>
      <c r="H79" s="29" t="s">
        <v>2780</v>
      </c>
      <c r="I79" s="1732"/>
    </row>
    <row r="80" spans="3:10" x14ac:dyDescent="0.25">
      <c r="C80" s="7" t="s">
        <v>2550</v>
      </c>
      <c r="E80" s="1734"/>
    </row>
    <row r="81" spans="3:10" x14ac:dyDescent="0.25">
      <c r="C81" s="7" t="s">
        <v>39</v>
      </c>
      <c r="E81" s="1735"/>
    </row>
    <row r="82" spans="3:10" x14ac:dyDescent="0.25">
      <c r="C82" s="7" t="s">
        <v>253</v>
      </c>
      <c r="E82" s="1735"/>
    </row>
    <row r="83" spans="3:10" ht="13.8" thickBot="1" x14ac:dyDescent="0.3">
      <c r="E83" s="304"/>
    </row>
    <row r="84" spans="3:10" ht="13.8" thickBot="1" x14ac:dyDescent="0.3">
      <c r="C84" s="4" t="s">
        <v>243</v>
      </c>
      <c r="E84" s="1505" t="s">
        <v>2145</v>
      </c>
      <c r="H84" s="9" t="s">
        <v>2134</v>
      </c>
      <c r="I84" s="1727">
        <v>0</v>
      </c>
      <c r="J84" s="746"/>
    </row>
    <row r="85" spans="3:10" x14ac:dyDescent="0.25">
      <c r="C85" t="s">
        <v>245</v>
      </c>
      <c r="E85" s="1728" t="s">
        <v>2752</v>
      </c>
    </row>
    <row r="86" spans="3:10" x14ac:dyDescent="0.25">
      <c r="C86" s="7" t="s">
        <v>33</v>
      </c>
      <c r="E86" s="1728"/>
    </row>
    <row r="87" spans="3:10" x14ac:dyDescent="0.25">
      <c r="C87" s="7" t="s">
        <v>38</v>
      </c>
      <c r="E87" s="1728"/>
      <c r="F87" s="29" t="s">
        <v>55</v>
      </c>
      <c r="G87" s="1729"/>
      <c r="H87" s="29" t="s">
        <v>41</v>
      </c>
      <c r="I87" s="1730"/>
    </row>
    <row r="88" spans="3:10" x14ac:dyDescent="0.25">
      <c r="C88" s="7" t="s">
        <v>246</v>
      </c>
      <c r="E88" s="1728"/>
      <c r="H88" s="29" t="s">
        <v>59</v>
      </c>
      <c r="I88" s="1731"/>
    </row>
    <row r="89" spans="3:10" x14ac:dyDescent="0.25">
      <c r="C89" s="7" t="s">
        <v>61</v>
      </c>
      <c r="E89" s="1736"/>
      <c r="H89" s="29" t="s">
        <v>62</v>
      </c>
      <c r="I89" s="1728"/>
    </row>
    <row r="90" spans="3:10" x14ac:dyDescent="0.25">
      <c r="C90" s="7" t="s">
        <v>247</v>
      </c>
      <c r="E90" s="1733"/>
      <c r="H90" s="29" t="s">
        <v>2780</v>
      </c>
      <c r="I90" s="1732"/>
    </row>
    <row r="91" spans="3:10" x14ac:dyDescent="0.25">
      <c r="C91" s="7" t="s">
        <v>2550</v>
      </c>
      <c r="E91" s="1734"/>
    </row>
    <row r="92" spans="3:10" x14ac:dyDescent="0.25">
      <c r="C92" s="7" t="s">
        <v>39</v>
      </c>
      <c r="E92" s="1735"/>
    </row>
    <row r="93" spans="3:10" x14ac:dyDescent="0.25">
      <c r="C93" s="7" t="s">
        <v>253</v>
      </c>
      <c r="E93" s="1735"/>
    </row>
    <row r="94" spans="3:10" ht="13.8" thickBot="1" x14ac:dyDescent="0.3">
      <c r="E94" s="304"/>
    </row>
    <row r="95" spans="3:10" ht="13.8" thickBot="1" x14ac:dyDescent="0.3">
      <c r="C95" s="4" t="s">
        <v>243</v>
      </c>
      <c r="E95" s="787"/>
      <c r="H95" s="9" t="s">
        <v>2134</v>
      </c>
      <c r="I95" s="1727">
        <v>0</v>
      </c>
      <c r="J95" s="746"/>
    </row>
    <row r="96" spans="3:10" x14ac:dyDescent="0.25">
      <c r="C96" t="s">
        <v>245</v>
      </c>
      <c r="E96" s="1728"/>
    </row>
    <row r="97" spans="3:10" x14ac:dyDescent="0.25">
      <c r="C97" s="7" t="s">
        <v>33</v>
      </c>
      <c r="E97" s="1728"/>
    </row>
    <row r="98" spans="3:10" x14ac:dyDescent="0.25">
      <c r="C98" s="7" t="s">
        <v>38</v>
      </c>
      <c r="E98" s="1728"/>
      <c r="F98" s="29" t="s">
        <v>55</v>
      </c>
      <c r="G98" s="1729"/>
      <c r="H98" s="29" t="s">
        <v>41</v>
      </c>
      <c r="I98" s="1730"/>
    </row>
    <row r="99" spans="3:10" x14ac:dyDescent="0.25">
      <c r="C99" s="7" t="s">
        <v>246</v>
      </c>
      <c r="E99" s="1728"/>
      <c r="H99" s="29" t="s">
        <v>59</v>
      </c>
      <c r="I99" s="1731"/>
    </row>
    <row r="100" spans="3:10" x14ac:dyDescent="0.25">
      <c r="C100" s="7" t="s">
        <v>61</v>
      </c>
      <c r="E100" s="1736"/>
      <c r="H100" s="29" t="s">
        <v>62</v>
      </c>
      <c r="I100" s="1728"/>
    </row>
    <row r="101" spans="3:10" x14ac:dyDescent="0.25">
      <c r="C101" s="7" t="s">
        <v>247</v>
      </c>
      <c r="E101" s="1733"/>
      <c r="H101" s="29" t="s">
        <v>2780</v>
      </c>
      <c r="I101" s="1732"/>
    </row>
    <row r="102" spans="3:10" x14ac:dyDescent="0.25">
      <c r="C102" s="7" t="s">
        <v>2550</v>
      </c>
      <c r="E102" s="1734"/>
    </row>
    <row r="103" spans="3:10" x14ac:dyDescent="0.25">
      <c r="C103" s="7" t="s">
        <v>39</v>
      </c>
      <c r="E103" s="1735"/>
    </row>
    <row r="104" spans="3:10" x14ac:dyDescent="0.25">
      <c r="C104" s="7" t="s">
        <v>253</v>
      </c>
      <c r="E104" s="1735"/>
    </row>
    <row r="105" spans="3:10" ht="13.8" thickBot="1" x14ac:dyDescent="0.3">
      <c r="E105" s="304"/>
    </row>
    <row r="106" spans="3:10" ht="13.8" thickBot="1" x14ac:dyDescent="0.3">
      <c r="C106" s="4" t="s">
        <v>243</v>
      </c>
      <c r="E106" s="787"/>
      <c r="H106" s="9" t="s">
        <v>2134</v>
      </c>
      <c r="I106" s="1727">
        <v>0</v>
      </c>
      <c r="J106" s="746"/>
    </row>
    <row r="107" spans="3:10" x14ac:dyDescent="0.25">
      <c r="C107" t="s">
        <v>245</v>
      </c>
      <c r="E107" s="1728"/>
    </row>
    <row r="108" spans="3:10" x14ac:dyDescent="0.25">
      <c r="C108" s="7" t="s">
        <v>33</v>
      </c>
      <c r="E108" s="1728"/>
    </row>
    <row r="109" spans="3:10" x14ac:dyDescent="0.25">
      <c r="C109" s="7" t="s">
        <v>38</v>
      </c>
      <c r="E109" s="1728"/>
      <c r="F109" s="29" t="s">
        <v>55</v>
      </c>
      <c r="G109" s="1729"/>
      <c r="H109" s="29" t="s">
        <v>41</v>
      </c>
      <c r="I109" s="1730"/>
    </row>
    <row r="110" spans="3:10" x14ac:dyDescent="0.25">
      <c r="C110" s="7" t="s">
        <v>246</v>
      </c>
      <c r="E110" s="1728"/>
      <c r="H110" s="29" t="s">
        <v>59</v>
      </c>
      <c r="I110" s="1731"/>
    </row>
    <row r="111" spans="3:10" x14ac:dyDescent="0.25">
      <c r="C111" s="7" t="s">
        <v>61</v>
      </c>
      <c r="E111" s="1736"/>
      <c r="H111" s="29" t="s">
        <v>62</v>
      </c>
      <c r="I111" s="1728"/>
    </row>
    <row r="112" spans="3:10" x14ac:dyDescent="0.25">
      <c r="C112" s="7" t="s">
        <v>247</v>
      </c>
      <c r="E112" s="1733"/>
      <c r="H112" s="29" t="s">
        <v>2780</v>
      </c>
      <c r="I112" s="1732"/>
    </row>
    <row r="113" spans="3:10" x14ac:dyDescent="0.25">
      <c r="C113" s="7" t="s">
        <v>2550</v>
      </c>
      <c r="E113" s="1734"/>
    </row>
    <row r="114" spans="3:10" x14ac:dyDescent="0.25">
      <c r="C114" s="7" t="s">
        <v>39</v>
      </c>
      <c r="E114" s="1735"/>
    </row>
    <row r="115" spans="3:10" x14ac:dyDescent="0.25">
      <c r="C115" s="7" t="s">
        <v>253</v>
      </c>
      <c r="E115" s="1735"/>
    </row>
    <row r="116" spans="3:10" ht="13.8" thickBot="1" x14ac:dyDescent="0.3">
      <c r="E116" s="304"/>
    </row>
    <row r="117" spans="3:10" ht="13.8" thickBot="1" x14ac:dyDescent="0.3">
      <c r="C117" s="4" t="s">
        <v>243</v>
      </c>
      <c r="E117" s="787"/>
      <c r="H117" s="9" t="s">
        <v>2134</v>
      </c>
      <c r="I117" s="1727">
        <v>0</v>
      </c>
      <c r="J117" s="746"/>
    </row>
    <row r="118" spans="3:10" x14ac:dyDescent="0.25">
      <c r="C118" t="s">
        <v>245</v>
      </c>
      <c r="E118" s="1728"/>
    </row>
    <row r="119" spans="3:10" x14ac:dyDescent="0.25">
      <c r="C119" s="7" t="s">
        <v>33</v>
      </c>
      <c r="E119" s="1728"/>
    </row>
    <row r="120" spans="3:10" x14ac:dyDescent="0.25">
      <c r="C120" s="7" t="s">
        <v>38</v>
      </c>
      <c r="E120" s="1728"/>
      <c r="F120" s="29" t="s">
        <v>55</v>
      </c>
      <c r="G120" s="1729"/>
      <c r="H120" s="29" t="s">
        <v>41</v>
      </c>
      <c r="I120" s="1730"/>
    </row>
    <row r="121" spans="3:10" x14ac:dyDescent="0.25">
      <c r="C121" s="7" t="s">
        <v>246</v>
      </c>
      <c r="E121" s="1728"/>
      <c r="H121" s="29" t="s">
        <v>59</v>
      </c>
      <c r="I121" s="1731"/>
    </row>
    <row r="122" spans="3:10" x14ac:dyDescent="0.25">
      <c r="C122" s="7" t="s">
        <v>61</v>
      </c>
      <c r="E122" s="1736"/>
      <c r="H122" s="29" t="s">
        <v>62</v>
      </c>
      <c r="I122" s="1728"/>
    </row>
    <row r="123" spans="3:10" x14ac:dyDescent="0.25">
      <c r="C123" s="7" t="s">
        <v>247</v>
      </c>
      <c r="E123" s="1733"/>
      <c r="H123" s="29" t="s">
        <v>2780</v>
      </c>
      <c r="I123" s="1732"/>
    </row>
    <row r="124" spans="3:10" x14ac:dyDescent="0.25">
      <c r="C124" s="7" t="s">
        <v>2550</v>
      </c>
      <c r="E124" s="1734"/>
    </row>
    <row r="125" spans="3:10" x14ac:dyDescent="0.25">
      <c r="C125" s="7" t="s">
        <v>39</v>
      </c>
      <c r="E125" s="1735"/>
    </row>
    <row r="126" spans="3:10" x14ac:dyDescent="0.25">
      <c r="C126" s="7" t="s">
        <v>253</v>
      </c>
      <c r="E126" s="1735"/>
    </row>
    <row r="127" spans="3:10" ht="13.8" thickBot="1" x14ac:dyDescent="0.3">
      <c r="E127" s="304"/>
    </row>
    <row r="128" spans="3:10" ht="13.8" thickBot="1" x14ac:dyDescent="0.3">
      <c r="C128" s="4" t="s">
        <v>243</v>
      </c>
      <c r="E128" s="787"/>
      <c r="H128" s="9" t="s">
        <v>2134</v>
      </c>
      <c r="I128" s="1727">
        <v>0</v>
      </c>
      <c r="J128" s="746"/>
    </row>
    <row r="129" spans="3:10" x14ac:dyDescent="0.25">
      <c r="C129" t="s">
        <v>245</v>
      </c>
      <c r="E129" s="1728"/>
    </row>
    <row r="130" spans="3:10" x14ac:dyDescent="0.25">
      <c r="C130" s="7" t="s">
        <v>33</v>
      </c>
      <c r="E130" s="1728"/>
    </row>
    <row r="131" spans="3:10" x14ac:dyDescent="0.25">
      <c r="C131" s="7" t="s">
        <v>38</v>
      </c>
      <c r="E131" s="1728"/>
      <c r="F131" s="29" t="s">
        <v>55</v>
      </c>
      <c r="G131" s="1729"/>
      <c r="H131" s="29" t="s">
        <v>41</v>
      </c>
      <c r="I131" s="1730"/>
    </row>
    <row r="132" spans="3:10" x14ac:dyDescent="0.25">
      <c r="C132" s="7" t="s">
        <v>246</v>
      </c>
      <c r="E132" s="1728"/>
      <c r="H132" s="29" t="s">
        <v>59</v>
      </c>
      <c r="I132" s="1731"/>
    </row>
    <row r="133" spans="3:10" x14ac:dyDescent="0.25">
      <c r="C133" s="7" t="s">
        <v>61</v>
      </c>
      <c r="E133" s="1736"/>
      <c r="H133" s="29" t="s">
        <v>62</v>
      </c>
      <c r="I133" s="1728"/>
    </row>
    <row r="134" spans="3:10" x14ac:dyDescent="0.25">
      <c r="C134" s="7" t="s">
        <v>247</v>
      </c>
      <c r="E134" s="1733"/>
      <c r="H134" s="29" t="s">
        <v>2780</v>
      </c>
      <c r="I134" s="1732"/>
    </row>
    <row r="135" spans="3:10" x14ac:dyDescent="0.25">
      <c r="C135" s="7" t="s">
        <v>2550</v>
      </c>
      <c r="E135" s="1734"/>
    </row>
    <row r="136" spans="3:10" x14ac:dyDescent="0.25">
      <c r="C136" s="7" t="s">
        <v>39</v>
      </c>
      <c r="E136" s="1735"/>
    </row>
    <row r="137" spans="3:10" x14ac:dyDescent="0.25">
      <c r="C137" s="7" t="s">
        <v>253</v>
      </c>
      <c r="E137" s="1735"/>
    </row>
    <row r="138" spans="3:10" ht="13.8" thickBot="1" x14ac:dyDescent="0.3">
      <c r="E138" s="304"/>
    </row>
    <row r="139" spans="3:10" ht="13.8" thickBot="1" x14ac:dyDescent="0.3">
      <c r="C139" s="4" t="s">
        <v>243</v>
      </c>
      <c r="E139" s="787"/>
      <c r="H139" s="9" t="s">
        <v>2134</v>
      </c>
      <c r="I139" s="1727">
        <v>0</v>
      </c>
      <c r="J139" s="746"/>
    </row>
    <row r="140" spans="3:10" x14ac:dyDescent="0.25">
      <c r="C140" t="s">
        <v>245</v>
      </c>
      <c r="E140" s="1728"/>
    </row>
    <row r="141" spans="3:10" x14ac:dyDescent="0.25">
      <c r="C141" s="7" t="s">
        <v>33</v>
      </c>
      <c r="E141" s="1728"/>
    </row>
    <row r="142" spans="3:10" x14ac:dyDescent="0.25">
      <c r="C142" s="7" t="s">
        <v>38</v>
      </c>
      <c r="E142" s="1728"/>
      <c r="F142" s="29" t="s">
        <v>55</v>
      </c>
      <c r="G142" s="1729"/>
      <c r="H142" s="29" t="s">
        <v>41</v>
      </c>
      <c r="I142" s="1730"/>
    </row>
    <row r="143" spans="3:10" x14ac:dyDescent="0.25">
      <c r="C143" s="7" t="s">
        <v>246</v>
      </c>
      <c r="E143" s="1728"/>
      <c r="H143" s="29" t="s">
        <v>59</v>
      </c>
      <c r="I143" s="1731"/>
    </row>
    <row r="144" spans="3:10" x14ac:dyDescent="0.25">
      <c r="C144" s="7" t="s">
        <v>61</v>
      </c>
      <c r="E144" s="1736"/>
      <c r="H144" s="29" t="s">
        <v>62</v>
      </c>
      <c r="I144" s="1728"/>
    </row>
    <row r="145" spans="3:10" x14ac:dyDescent="0.25">
      <c r="C145" s="7" t="s">
        <v>247</v>
      </c>
      <c r="E145" s="1733"/>
      <c r="H145" s="29" t="s">
        <v>2780</v>
      </c>
      <c r="I145" s="1732"/>
    </row>
    <row r="146" spans="3:10" x14ac:dyDescent="0.25">
      <c r="C146" s="7" t="s">
        <v>2550</v>
      </c>
      <c r="E146" s="1734"/>
    </row>
    <row r="147" spans="3:10" x14ac:dyDescent="0.25">
      <c r="C147" s="7" t="s">
        <v>39</v>
      </c>
      <c r="E147" s="1735"/>
    </row>
    <row r="148" spans="3:10" x14ac:dyDescent="0.25">
      <c r="C148" s="7" t="s">
        <v>253</v>
      </c>
      <c r="E148" s="1735"/>
    </row>
    <row r="149" spans="3:10" ht="13.8" thickBot="1" x14ac:dyDescent="0.3">
      <c r="E149" s="304"/>
    </row>
    <row r="150" spans="3:10" ht="13.8" thickBot="1" x14ac:dyDescent="0.3">
      <c r="C150" s="4" t="s">
        <v>243</v>
      </c>
      <c r="E150" s="787"/>
      <c r="H150" s="9" t="s">
        <v>2134</v>
      </c>
      <c r="I150" s="1727">
        <v>0</v>
      </c>
      <c r="J150" s="746"/>
    </row>
    <row r="151" spans="3:10" x14ac:dyDescent="0.25">
      <c r="C151" t="s">
        <v>245</v>
      </c>
      <c r="E151" s="1728"/>
    </row>
    <row r="152" spans="3:10" x14ac:dyDescent="0.25">
      <c r="C152" s="7" t="s">
        <v>33</v>
      </c>
      <c r="E152" s="1728"/>
    </row>
    <row r="153" spans="3:10" x14ac:dyDescent="0.25">
      <c r="C153" s="7" t="s">
        <v>38</v>
      </c>
      <c r="E153" s="1728"/>
      <c r="F153" s="29" t="s">
        <v>55</v>
      </c>
      <c r="G153" s="1729"/>
      <c r="H153" s="29" t="s">
        <v>41</v>
      </c>
      <c r="I153" s="1730"/>
    </row>
    <row r="154" spans="3:10" x14ac:dyDescent="0.25">
      <c r="C154" s="7" t="s">
        <v>246</v>
      </c>
      <c r="E154" s="1728"/>
      <c r="H154" s="29" t="s">
        <v>59</v>
      </c>
      <c r="I154" s="1731"/>
    </row>
    <row r="155" spans="3:10" x14ac:dyDescent="0.25">
      <c r="C155" s="7" t="s">
        <v>61</v>
      </c>
      <c r="E155" s="1736"/>
      <c r="H155" s="29" t="s">
        <v>62</v>
      </c>
      <c r="I155" s="1728"/>
    </row>
    <row r="156" spans="3:10" x14ac:dyDescent="0.25">
      <c r="C156" s="7" t="s">
        <v>247</v>
      </c>
      <c r="E156" s="1733"/>
      <c r="H156" s="29" t="s">
        <v>2780</v>
      </c>
      <c r="I156" s="1732"/>
    </row>
    <row r="157" spans="3:10" x14ac:dyDescent="0.25">
      <c r="C157" s="7" t="s">
        <v>2550</v>
      </c>
      <c r="E157" s="1734"/>
    </row>
    <row r="158" spans="3:10" x14ac:dyDescent="0.25">
      <c r="C158" s="7" t="s">
        <v>39</v>
      </c>
      <c r="E158" s="1735"/>
    </row>
    <row r="159" spans="3:10" x14ac:dyDescent="0.25">
      <c r="C159" s="7" t="s">
        <v>253</v>
      </c>
      <c r="E159" s="1735"/>
    </row>
    <row r="160" spans="3:10" ht="13.8" thickBot="1" x14ac:dyDescent="0.3">
      <c r="E160" s="304"/>
    </row>
    <row r="161" spans="3:10" ht="13.8" thickBot="1" x14ac:dyDescent="0.3">
      <c r="C161" s="4" t="s">
        <v>243</v>
      </c>
      <c r="E161" s="787"/>
      <c r="H161" s="9" t="s">
        <v>2134</v>
      </c>
      <c r="I161" s="1727">
        <v>0</v>
      </c>
      <c r="J161" s="746"/>
    </row>
    <row r="162" spans="3:10" x14ac:dyDescent="0.25">
      <c r="C162" t="s">
        <v>245</v>
      </c>
      <c r="E162" s="1728"/>
    </row>
    <row r="163" spans="3:10" x14ac:dyDescent="0.25">
      <c r="C163" s="7" t="s">
        <v>33</v>
      </c>
      <c r="E163" s="1728"/>
    </row>
    <row r="164" spans="3:10" x14ac:dyDescent="0.25">
      <c r="C164" s="7" t="s">
        <v>38</v>
      </c>
      <c r="E164" s="1728"/>
      <c r="F164" s="29" t="s">
        <v>55</v>
      </c>
      <c r="G164" s="1729"/>
      <c r="H164" s="29" t="s">
        <v>41</v>
      </c>
      <c r="I164" s="1730"/>
    </row>
    <row r="165" spans="3:10" x14ac:dyDescent="0.25">
      <c r="C165" s="7" t="s">
        <v>246</v>
      </c>
      <c r="E165" s="1728"/>
      <c r="H165" s="29" t="s">
        <v>59</v>
      </c>
      <c r="I165" s="1731"/>
    </row>
    <row r="166" spans="3:10" x14ac:dyDescent="0.25">
      <c r="C166" s="7" t="s">
        <v>61</v>
      </c>
      <c r="E166" s="1736"/>
      <c r="H166" s="29" t="s">
        <v>62</v>
      </c>
      <c r="I166" s="1728"/>
    </row>
    <row r="167" spans="3:10" x14ac:dyDescent="0.25">
      <c r="C167" s="7" t="s">
        <v>247</v>
      </c>
      <c r="E167" s="1733"/>
      <c r="H167" s="29" t="s">
        <v>2780</v>
      </c>
      <c r="I167" s="1732"/>
    </row>
    <row r="168" spans="3:10" x14ac:dyDescent="0.25">
      <c r="C168" s="7" t="s">
        <v>2550</v>
      </c>
      <c r="E168" s="1734"/>
    </row>
    <row r="169" spans="3:10" x14ac:dyDescent="0.25">
      <c r="C169" s="7" t="s">
        <v>39</v>
      </c>
      <c r="E169" s="1735"/>
    </row>
    <row r="170" spans="3:10" x14ac:dyDescent="0.25">
      <c r="C170" s="7" t="s">
        <v>253</v>
      </c>
      <c r="E170" s="1735"/>
    </row>
    <row r="171" spans="3:10" ht="13.8" thickBot="1" x14ac:dyDescent="0.3">
      <c r="E171" s="304"/>
    </row>
    <row r="172" spans="3:10" ht="13.8" thickBot="1" x14ac:dyDescent="0.3">
      <c r="C172" s="4" t="s">
        <v>243</v>
      </c>
      <c r="E172" s="787"/>
      <c r="H172" s="9" t="s">
        <v>2134</v>
      </c>
      <c r="I172" s="1727">
        <v>0</v>
      </c>
      <c r="J172" s="746"/>
    </row>
    <row r="173" spans="3:10" x14ac:dyDescent="0.25">
      <c r="C173" t="s">
        <v>245</v>
      </c>
      <c r="E173" s="1728"/>
    </row>
    <row r="174" spans="3:10" x14ac:dyDescent="0.25">
      <c r="C174" s="7" t="s">
        <v>33</v>
      </c>
      <c r="E174" s="1728"/>
    </row>
    <row r="175" spans="3:10" x14ac:dyDescent="0.25">
      <c r="C175" s="7" t="s">
        <v>38</v>
      </c>
      <c r="E175" s="1728"/>
      <c r="F175" s="29" t="s">
        <v>55</v>
      </c>
      <c r="G175" s="1729"/>
      <c r="H175" s="29" t="s">
        <v>41</v>
      </c>
      <c r="I175" s="1730"/>
    </row>
    <row r="176" spans="3:10" x14ac:dyDescent="0.25">
      <c r="C176" s="7" t="s">
        <v>246</v>
      </c>
      <c r="E176" s="1728"/>
      <c r="H176" s="29" t="s">
        <v>59</v>
      </c>
      <c r="I176" s="1731"/>
    </row>
    <row r="177" spans="3:10" x14ac:dyDescent="0.25">
      <c r="C177" s="7" t="s">
        <v>61</v>
      </c>
      <c r="E177" s="1736"/>
      <c r="H177" s="29" t="s">
        <v>62</v>
      </c>
      <c r="I177" s="1728"/>
    </row>
    <row r="178" spans="3:10" x14ac:dyDescent="0.25">
      <c r="C178" s="7" t="s">
        <v>247</v>
      </c>
      <c r="E178" s="1733"/>
      <c r="H178" s="29" t="s">
        <v>2780</v>
      </c>
      <c r="I178" s="1732"/>
    </row>
    <row r="179" spans="3:10" x14ac:dyDescent="0.25">
      <c r="C179" s="7" t="s">
        <v>2550</v>
      </c>
      <c r="E179" s="1734"/>
    </row>
    <row r="180" spans="3:10" x14ac:dyDescent="0.25">
      <c r="C180" s="7" t="s">
        <v>39</v>
      </c>
      <c r="E180" s="1735"/>
    </row>
    <row r="181" spans="3:10" x14ac:dyDescent="0.25">
      <c r="C181" s="7" t="s">
        <v>253</v>
      </c>
      <c r="E181" s="1735"/>
    </row>
    <row r="182" spans="3:10" ht="13.8" thickBot="1" x14ac:dyDescent="0.3">
      <c r="E182" s="304"/>
    </row>
    <row r="183" spans="3:10" ht="13.8" thickBot="1" x14ac:dyDescent="0.3">
      <c r="C183" s="4" t="s">
        <v>243</v>
      </c>
      <c r="E183" s="787"/>
      <c r="H183" s="9" t="s">
        <v>2134</v>
      </c>
      <c r="I183" s="1727">
        <v>0</v>
      </c>
      <c r="J183" s="746"/>
    </row>
    <row r="184" spans="3:10" x14ac:dyDescent="0.25">
      <c r="C184" t="s">
        <v>245</v>
      </c>
      <c r="E184" s="1728"/>
    </row>
    <row r="185" spans="3:10" x14ac:dyDescent="0.25">
      <c r="C185" s="7" t="s">
        <v>33</v>
      </c>
      <c r="E185" s="1728"/>
    </row>
    <row r="186" spans="3:10" x14ac:dyDescent="0.25">
      <c r="C186" s="7" t="s">
        <v>38</v>
      </c>
      <c r="E186" s="1728"/>
      <c r="F186" s="29" t="s">
        <v>55</v>
      </c>
      <c r="G186" s="1729"/>
      <c r="H186" s="29" t="s">
        <v>41</v>
      </c>
      <c r="I186" s="1730"/>
    </row>
    <row r="187" spans="3:10" x14ac:dyDescent="0.25">
      <c r="C187" s="7" t="s">
        <v>246</v>
      </c>
      <c r="E187" s="1728"/>
      <c r="H187" s="29" t="s">
        <v>59</v>
      </c>
      <c r="I187" s="1731"/>
    </row>
    <row r="188" spans="3:10" x14ac:dyDescent="0.25">
      <c r="C188" s="7" t="s">
        <v>61</v>
      </c>
      <c r="E188" s="1736"/>
      <c r="H188" s="29" t="s">
        <v>62</v>
      </c>
      <c r="I188" s="1728"/>
    </row>
    <row r="189" spans="3:10" x14ac:dyDescent="0.25">
      <c r="C189" s="7" t="s">
        <v>247</v>
      </c>
      <c r="E189" s="1733"/>
      <c r="H189" s="29" t="s">
        <v>2780</v>
      </c>
      <c r="I189" s="1732"/>
    </row>
    <row r="190" spans="3:10" x14ac:dyDescent="0.25">
      <c r="C190" s="7" t="s">
        <v>2550</v>
      </c>
      <c r="E190" s="1734"/>
    </row>
    <row r="191" spans="3:10" x14ac:dyDescent="0.25">
      <c r="C191" s="7" t="s">
        <v>39</v>
      </c>
      <c r="E191" s="1735"/>
    </row>
    <row r="192" spans="3:10" x14ac:dyDescent="0.25">
      <c r="C192" s="7" t="s">
        <v>253</v>
      </c>
      <c r="E192" s="1735"/>
    </row>
    <row r="193" spans="3:10" ht="13.8" thickBot="1" x14ac:dyDescent="0.3">
      <c r="E193" s="304"/>
    </row>
    <row r="194" spans="3:10" ht="13.8" thickBot="1" x14ac:dyDescent="0.3">
      <c r="C194" s="4" t="s">
        <v>243</v>
      </c>
      <c r="E194" s="787"/>
      <c r="H194" s="9" t="s">
        <v>2134</v>
      </c>
      <c r="I194" s="1727">
        <v>0</v>
      </c>
      <c r="J194" s="746"/>
    </row>
    <row r="195" spans="3:10" x14ac:dyDescent="0.25">
      <c r="C195" t="s">
        <v>245</v>
      </c>
      <c r="E195" s="1728"/>
    </row>
    <row r="196" spans="3:10" x14ac:dyDescent="0.25">
      <c r="C196" s="7" t="s">
        <v>33</v>
      </c>
      <c r="E196" s="1728"/>
    </row>
    <row r="197" spans="3:10" x14ac:dyDescent="0.25">
      <c r="C197" s="7" t="s">
        <v>38</v>
      </c>
      <c r="E197" s="1728"/>
      <c r="F197" s="29" t="s">
        <v>55</v>
      </c>
      <c r="G197" s="1729"/>
      <c r="H197" s="29" t="s">
        <v>41</v>
      </c>
      <c r="I197" s="1730"/>
    </row>
    <row r="198" spans="3:10" x14ac:dyDescent="0.25">
      <c r="C198" s="7" t="s">
        <v>246</v>
      </c>
      <c r="E198" s="1728"/>
      <c r="H198" s="29" t="s">
        <v>59</v>
      </c>
      <c r="I198" s="1731"/>
    </row>
    <row r="199" spans="3:10" x14ac:dyDescent="0.25">
      <c r="C199" s="7" t="s">
        <v>61</v>
      </c>
      <c r="E199" s="1736"/>
      <c r="H199" s="29" t="s">
        <v>62</v>
      </c>
      <c r="I199" s="1728"/>
    </row>
    <row r="200" spans="3:10" x14ac:dyDescent="0.25">
      <c r="C200" s="7" t="s">
        <v>247</v>
      </c>
      <c r="E200" s="1733"/>
      <c r="H200" s="29" t="s">
        <v>2780</v>
      </c>
      <c r="I200" s="1732"/>
    </row>
    <row r="201" spans="3:10" x14ac:dyDescent="0.25">
      <c r="C201" s="7" t="s">
        <v>2550</v>
      </c>
      <c r="E201" s="1734"/>
    </row>
    <row r="202" spans="3:10" x14ac:dyDescent="0.25">
      <c r="C202" s="7" t="s">
        <v>39</v>
      </c>
      <c r="E202" s="1735"/>
    </row>
    <row r="203" spans="3:10" x14ac:dyDescent="0.25">
      <c r="C203" s="7" t="s">
        <v>253</v>
      </c>
      <c r="E203" s="1735"/>
    </row>
    <row r="204" spans="3:10" ht="13.8" thickBot="1" x14ac:dyDescent="0.3">
      <c r="E204" s="304"/>
    </row>
    <row r="205" spans="3:10" ht="13.8" thickBot="1" x14ac:dyDescent="0.3">
      <c r="C205" s="4" t="s">
        <v>243</v>
      </c>
      <c r="E205" s="787"/>
      <c r="H205" s="9" t="s">
        <v>2134</v>
      </c>
      <c r="I205" s="1727">
        <v>0</v>
      </c>
      <c r="J205" s="746"/>
    </row>
    <row r="206" spans="3:10" x14ac:dyDescent="0.25">
      <c r="C206" t="s">
        <v>245</v>
      </c>
      <c r="E206" s="1728"/>
    </row>
    <row r="207" spans="3:10" x14ac:dyDescent="0.25">
      <c r="C207" s="7" t="s">
        <v>33</v>
      </c>
      <c r="E207" s="1728"/>
    </row>
    <row r="208" spans="3:10" x14ac:dyDescent="0.25">
      <c r="C208" s="7" t="s">
        <v>38</v>
      </c>
      <c r="E208" s="1728"/>
      <c r="F208" s="29" t="s">
        <v>55</v>
      </c>
      <c r="G208" s="1729"/>
      <c r="H208" s="29" t="s">
        <v>41</v>
      </c>
      <c r="I208" s="1730"/>
    </row>
    <row r="209" spans="3:10" x14ac:dyDescent="0.25">
      <c r="C209" s="7" t="s">
        <v>246</v>
      </c>
      <c r="E209" s="1728"/>
      <c r="H209" s="29" t="s">
        <v>59</v>
      </c>
      <c r="I209" s="1731"/>
    </row>
    <row r="210" spans="3:10" x14ac:dyDescent="0.25">
      <c r="C210" s="7" t="s">
        <v>61</v>
      </c>
      <c r="E210" s="1736"/>
      <c r="H210" s="29" t="s">
        <v>62</v>
      </c>
      <c r="I210" s="1728"/>
    </row>
    <row r="211" spans="3:10" x14ac:dyDescent="0.25">
      <c r="C211" s="7" t="s">
        <v>247</v>
      </c>
      <c r="E211" s="1733"/>
      <c r="H211" s="29" t="s">
        <v>2780</v>
      </c>
      <c r="I211" s="1732"/>
    </row>
    <row r="212" spans="3:10" x14ac:dyDescent="0.25">
      <c r="C212" s="7" t="s">
        <v>2550</v>
      </c>
      <c r="E212" s="1734"/>
    </row>
    <row r="213" spans="3:10" x14ac:dyDescent="0.25">
      <c r="C213" s="7" t="s">
        <v>39</v>
      </c>
      <c r="E213" s="1735"/>
    </row>
    <row r="214" spans="3:10" x14ac:dyDescent="0.25">
      <c r="C214" s="7" t="s">
        <v>253</v>
      </c>
      <c r="E214" s="1735"/>
    </row>
    <row r="215" spans="3:10" ht="13.8" thickBot="1" x14ac:dyDescent="0.3">
      <c r="E215" s="304"/>
    </row>
    <row r="216" spans="3:10" ht="13.8" thickBot="1" x14ac:dyDescent="0.3">
      <c r="C216" s="4" t="s">
        <v>243</v>
      </c>
      <c r="E216" s="787"/>
      <c r="H216" s="9" t="s">
        <v>2134</v>
      </c>
      <c r="I216" s="1727">
        <v>0</v>
      </c>
      <c r="J216" s="746"/>
    </row>
    <row r="217" spans="3:10" x14ac:dyDescent="0.25">
      <c r="C217" t="s">
        <v>245</v>
      </c>
      <c r="E217" s="1728"/>
    </row>
    <row r="218" spans="3:10" x14ac:dyDescent="0.25">
      <c r="C218" s="7" t="s">
        <v>33</v>
      </c>
      <c r="E218" s="1728"/>
    </row>
    <row r="219" spans="3:10" x14ac:dyDescent="0.25">
      <c r="C219" s="7" t="s">
        <v>38</v>
      </c>
      <c r="E219" s="1728"/>
      <c r="F219" s="29" t="s">
        <v>55</v>
      </c>
      <c r="G219" s="1729"/>
      <c r="H219" s="29" t="s">
        <v>41</v>
      </c>
      <c r="I219" s="1730"/>
    </row>
    <row r="220" spans="3:10" x14ac:dyDescent="0.25">
      <c r="C220" s="7" t="s">
        <v>246</v>
      </c>
      <c r="E220" s="1728"/>
      <c r="H220" s="29" t="s">
        <v>59</v>
      </c>
      <c r="I220" s="1731"/>
    </row>
    <row r="221" spans="3:10" x14ac:dyDescent="0.25">
      <c r="C221" s="7" t="s">
        <v>61</v>
      </c>
      <c r="E221" s="1736"/>
      <c r="H221" s="29" t="s">
        <v>62</v>
      </c>
      <c r="I221" s="1728"/>
    </row>
    <row r="222" spans="3:10" x14ac:dyDescent="0.25">
      <c r="C222" s="7" t="s">
        <v>247</v>
      </c>
      <c r="E222" s="1733"/>
      <c r="H222" s="29" t="s">
        <v>2780</v>
      </c>
      <c r="I222" s="1732"/>
    </row>
    <row r="223" spans="3:10" x14ac:dyDescent="0.25">
      <c r="C223" s="7" t="s">
        <v>2550</v>
      </c>
      <c r="E223" s="1734"/>
    </row>
    <row r="224" spans="3:10" x14ac:dyDescent="0.25">
      <c r="C224" s="7" t="s">
        <v>39</v>
      </c>
      <c r="E224" s="1735"/>
    </row>
    <row r="225" spans="3:9" x14ac:dyDescent="0.25">
      <c r="C225" s="7" t="s">
        <v>253</v>
      </c>
      <c r="E225" s="1735"/>
    </row>
    <row r="227" spans="3:9" ht="13.8" thickBot="1" x14ac:dyDescent="0.3">
      <c r="C227" s="336" t="s">
        <v>281</v>
      </c>
      <c r="D227" s="234"/>
    </row>
    <row r="228" spans="3:9" ht="13.8" thickBot="1" x14ac:dyDescent="0.3">
      <c r="C228" s="4" t="s">
        <v>282</v>
      </c>
      <c r="E228" s="787"/>
    </row>
    <row r="229" spans="3:9" x14ac:dyDescent="0.25">
      <c r="C229" s="7" t="s">
        <v>33</v>
      </c>
      <c r="E229" s="1728"/>
    </row>
    <row r="230" spans="3:9" x14ac:dyDescent="0.25">
      <c r="C230" s="7" t="s">
        <v>38</v>
      </c>
      <c r="E230" s="1728"/>
      <c r="F230" s="29" t="s">
        <v>55</v>
      </c>
      <c r="G230" s="1738"/>
      <c r="H230" s="29" t="s">
        <v>41</v>
      </c>
      <c r="I230" s="1730"/>
    </row>
    <row r="231" spans="3:9" x14ac:dyDescent="0.25">
      <c r="C231" s="7" t="s">
        <v>58</v>
      </c>
      <c r="E231" s="1728"/>
      <c r="H231" s="29" t="s">
        <v>59</v>
      </c>
      <c r="I231" s="1739"/>
    </row>
    <row r="232" spans="3:9" x14ac:dyDescent="0.25">
      <c r="C232" s="7" t="s">
        <v>61</v>
      </c>
      <c r="E232" s="1728"/>
      <c r="H232" s="29" t="s">
        <v>62</v>
      </c>
      <c r="I232" s="1728"/>
    </row>
    <row r="233" spans="3:9" x14ac:dyDescent="0.25">
      <c r="C233" s="7" t="s">
        <v>247</v>
      </c>
      <c r="E233" s="1733"/>
    </row>
    <row r="234" spans="3:9" ht="13.8" thickBot="1" x14ac:dyDescent="0.3"/>
    <row r="235" spans="3:9" ht="13.8" thickBot="1" x14ac:dyDescent="0.3">
      <c r="C235" s="4" t="s">
        <v>282</v>
      </c>
      <c r="E235" s="787"/>
    </row>
    <row r="236" spans="3:9" x14ac:dyDescent="0.25">
      <c r="C236" s="7" t="s">
        <v>33</v>
      </c>
      <c r="E236" s="1728"/>
    </row>
    <row r="237" spans="3:9" x14ac:dyDescent="0.25">
      <c r="C237" s="7" t="s">
        <v>38</v>
      </c>
      <c r="E237" s="1728"/>
      <c r="F237" s="29" t="s">
        <v>55</v>
      </c>
      <c r="G237" s="1738"/>
      <c r="H237" s="29" t="s">
        <v>41</v>
      </c>
      <c r="I237" s="1730"/>
    </row>
    <row r="238" spans="3:9" x14ac:dyDescent="0.25">
      <c r="C238" s="7" t="s">
        <v>58</v>
      </c>
      <c r="E238" s="1728"/>
      <c r="H238" s="29" t="s">
        <v>59</v>
      </c>
      <c r="I238" s="1739"/>
    </row>
    <row r="239" spans="3:9" x14ac:dyDescent="0.25">
      <c r="C239" s="7" t="s">
        <v>61</v>
      </c>
      <c r="E239" s="1728"/>
      <c r="H239" s="29" t="s">
        <v>62</v>
      </c>
      <c r="I239" s="1728"/>
    </row>
    <row r="240" spans="3:9" x14ac:dyDescent="0.25">
      <c r="C240" s="7" t="s">
        <v>247</v>
      </c>
      <c r="E240" s="1733"/>
    </row>
    <row r="241" spans="3:9" ht="13.8" thickBot="1" x14ac:dyDescent="0.3"/>
    <row r="242" spans="3:9" ht="13.8" thickBot="1" x14ac:dyDescent="0.3">
      <c r="C242" s="4" t="s">
        <v>282</v>
      </c>
      <c r="E242" s="787"/>
    </row>
    <row r="243" spans="3:9" x14ac:dyDescent="0.25">
      <c r="C243" s="7" t="s">
        <v>33</v>
      </c>
      <c r="E243" s="1728"/>
    </row>
    <row r="244" spans="3:9" x14ac:dyDescent="0.25">
      <c r="C244" s="7" t="s">
        <v>38</v>
      </c>
      <c r="E244" s="1728"/>
      <c r="F244" s="29" t="s">
        <v>55</v>
      </c>
      <c r="G244" s="1738"/>
      <c r="H244" s="29" t="s">
        <v>41</v>
      </c>
      <c r="I244" s="1730"/>
    </row>
    <row r="245" spans="3:9" x14ac:dyDescent="0.25">
      <c r="C245" s="7" t="s">
        <v>58</v>
      </c>
      <c r="E245" s="1728"/>
      <c r="H245" s="29" t="s">
        <v>59</v>
      </c>
      <c r="I245" s="1739"/>
    </row>
    <row r="246" spans="3:9" x14ac:dyDescent="0.25">
      <c r="C246" s="7" t="s">
        <v>61</v>
      </c>
      <c r="E246" s="1728"/>
      <c r="H246" s="29" t="s">
        <v>62</v>
      </c>
      <c r="I246" s="1728"/>
    </row>
    <row r="247" spans="3:9" x14ac:dyDescent="0.25">
      <c r="C247" s="7" t="s">
        <v>247</v>
      </c>
      <c r="E247" s="1733"/>
    </row>
    <row r="248" spans="3:9" ht="13.8" thickBot="1" x14ac:dyDescent="0.3"/>
    <row r="249" spans="3:9" ht="13.8" thickBot="1" x14ac:dyDescent="0.3">
      <c r="C249" s="4" t="s">
        <v>283</v>
      </c>
      <c r="E249" s="787"/>
    </row>
    <row r="250" spans="3:9" x14ac:dyDescent="0.25">
      <c r="C250" s="7" t="s">
        <v>33</v>
      </c>
      <c r="E250" s="1728"/>
    </row>
    <row r="251" spans="3:9" x14ac:dyDescent="0.25">
      <c r="C251" s="7" t="s">
        <v>38</v>
      </c>
      <c r="E251" s="1728"/>
      <c r="F251" s="29" t="s">
        <v>55</v>
      </c>
      <c r="G251" s="1738"/>
      <c r="H251" s="29" t="s">
        <v>41</v>
      </c>
      <c r="I251" s="1730"/>
    </row>
    <row r="252" spans="3:9" x14ac:dyDescent="0.25">
      <c r="C252" s="7" t="s">
        <v>58</v>
      </c>
      <c r="E252" s="1728"/>
      <c r="H252" s="29" t="s">
        <v>59</v>
      </c>
      <c r="I252" s="1739"/>
    </row>
    <row r="253" spans="3:9" x14ac:dyDescent="0.25">
      <c r="C253" s="7" t="s">
        <v>61</v>
      </c>
      <c r="E253" s="1728"/>
      <c r="H253" s="29" t="s">
        <v>62</v>
      </c>
      <c r="I253" s="1732"/>
    </row>
    <row r="254" spans="3:9" x14ac:dyDescent="0.25">
      <c r="C254" s="7" t="s">
        <v>247</v>
      </c>
      <c r="E254" s="1733"/>
    </row>
    <row r="255" spans="3:9" ht="13.8" thickBot="1" x14ac:dyDescent="0.3">
      <c r="H255" s="29"/>
    </row>
    <row r="256" spans="3:9" ht="13.8" thickBot="1" x14ac:dyDescent="0.3">
      <c r="C256" s="4" t="s">
        <v>284</v>
      </c>
      <c r="E256" s="787"/>
    </row>
    <row r="257" spans="3:11" x14ac:dyDescent="0.25">
      <c r="C257" s="7" t="s">
        <v>33</v>
      </c>
      <c r="E257" s="1728"/>
    </row>
    <row r="258" spans="3:11" x14ac:dyDescent="0.25">
      <c r="C258" s="7" t="s">
        <v>38</v>
      </c>
      <c r="E258" s="1728"/>
      <c r="F258" s="29" t="s">
        <v>55</v>
      </c>
      <c r="G258" s="1738"/>
      <c r="H258" s="29" t="s">
        <v>41</v>
      </c>
      <c r="I258" s="1730"/>
    </row>
    <row r="259" spans="3:11" x14ac:dyDescent="0.25">
      <c r="C259" s="7" t="s">
        <v>58</v>
      </c>
      <c r="E259" s="1728"/>
      <c r="H259" s="29" t="s">
        <v>59</v>
      </c>
      <c r="I259" s="1739"/>
    </row>
    <row r="260" spans="3:11" x14ac:dyDescent="0.25">
      <c r="C260" s="7" t="s">
        <v>61</v>
      </c>
      <c r="E260" s="1728"/>
      <c r="H260" s="29" t="s">
        <v>62</v>
      </c>
      <c r="I260" s="1728"/>
    </row>
    <row r="261" spans="3:11" x14ac:dyDescent="0.25">
      <c r="C261" s="7" t="s">
        <v>247</v>
      </c>
      <c r="E261" s="1733"/>
    </row>
    <row r="262" spans="3:11" ht="13.8" thickBot="1" x14ac:dyDescent="0.3">
      <c r="H262" s="29"/>
    </row>
    <row r="263" spans="3:11" ht="13.8" thickBot="1" x14ac:dyDescent="0.3">
      <c r="C263" s="4" t="s">
        <v>285</v>
      </c>
      <c r="E263" s="787"/>
    </row>
    <row r="264" spans="3:11" x14ac:dyDescent="0.25">
      <c r="C264" s="7" t="s">
        <v>33</v>
      </c>
      <c r="E264" s="1728"/>
    </row>
    <row r="265" spans="3:11" x14ac:dyDescent="0.25">
      <c r="C265" s="7" t="s">
        <v>38</v>
      </c>
      <c r="E265" s="1728"/>
      <c r="F265" s="29" t="s">
        <v>55</v>
      </c>
      <c r="G265" s="1738"/>
      <c r="H265" s="29" t="s">
        <v>41</v>
      </c>
      <c r="I265" s="1730"/>
    </row>
    <row r="266" spans="3:11" x14ac:dyDescent="0.25">
      <c r="C266" s="7" t="s">
        <v>58</v>
      </c>
      <c r="E266" s="1728"/>
      <c r="H266" s="29" t="s">
        <v>59</v>
      </c>
      <c r="I266" s="1739"/>
    </row>
    <row r="267" spans="3:11" x14ac:dyDescent="0.25">
      <c r="C267" s="7" t="s">
        <v>61</v>
      </c>
      <c r="E267" s="1728"/>
      <c r="H267" s="29" t="s">
        <v>62</v>
      </c>
      <c r="I267" s="1728"/>
    </row>
    <row r="268" spans="3:11" x14ac:dyDescent="0.25">
      <c r="C268" s="7" t="s">
        <v>247</v>
      </c>
      <c r="E268" s="1733"/>
    </row>
    <row r="270" spans="3:11" x14ac:dyDescent="0.25">
      <c r="C270" s="336" t="s">
        <v>286</v>
      </c>
      <c r="D270" s="234"/>
      <c r="E270" s="234"/>
      <c r="F270" s="234"/>
      <c r="G270" s="234"/>
      <c r="H270" s="234"/>
      <c r="I270" s="234"/>
      <c r="J270" s="234"/>
    </row>
    <row r="272" spans="3:11" ht="25.5" customHeight="1" x14ac:dyDescent="0.25">
      <c r="C272" s="1871" t="s">
        <v>287</v>
      </c>
      <c r="D272" s="1871"/>
      <c r="E272" s="1871"/>
      <c r="F272" s="1871"/>
      <c r="G272" s="1871"/>
      <c r="H272" s="1871"/>
      <c r="I272" s="1871"/>
      <c r="J272" s="402" t="s">
        <v>288</v>
      </c>
      <c r="K272" s="112"/>
    </row>
    <row r="273" spans="3:11" x14ac:dyDescent="0.25">
      <c r="C273" s="1916"/>
      <c r="D273" s="1917"/>
      <c r="E273" s="1917"/>
      <c r="F273" s="1917"/>
      <c r="G273" s="1917"/>
      <c r="H273" s="1917"/>
      <c r="I273" s="1917"/>
      <c r="J273" s="1918"/>
      <c r="K273" s="1740"/>
    </row>
    <row r="274" spans="3:11" x14ac:dyDescent="0.25">
      <c r="C274" s="1919"/>
      <c r="D274" s="1920"/>
      <c r="E274" s="1920"/>
      <c r="F274" s="1920"/>
      <c r="G274" s="1920"/>
      <c r="H274" s="1920"/>
      <c r="I274" s="1920"/>
      <c r="J274" s="1921"/>
      <c r="K274" s="236"/>
    </row>
    <row r="275" spans="3:11" x14ac:dyDescent="0.25">
      <c r="C275" s="1922"/>
      <c r="D275" s="1923"/>
      <c r="E275" s="1923"/>
      <c r="F275" s="1923"/>
      <c r="G275" s="1923"/>
      <c r="H275" s="1923"/>
      <c r="I275" s="1923"/>
      <c r="J275" s="1924"/>
      <c r="K275" s="236"/>
    </row>
    <row r="277" spans="3:11" ht="38.25" customHeight="1" x14ac:dyDescent="0.25">
      <c r="C277" s="1871" t="s">
        <v>289</v>
      </c>
      <c r="D277" s="1871"/>
      <c r="E277" s="1871"/>
      <c r="F277" s="1871"/>
      <c r="G277" s="1871"/>
      <c r="H277" s="1871"/>
      <c r="I277" s="1871"/>
      <c r="J277" s="403" t="s">
        <v>288</v>
      </c>
      <c r="K277" s="112"/>
    </row>
    <row r="278" spans="3:11" x14ac:dyDescent="0.25">
      <c r="C278" s="1916"/>
      <c r="D278" s="1917"/>
      <c r="E278" s="1917"/>
      <c r="F278" s="1917"/>
      <c r="G278" s="1917"/>
      <c r="H278" s="1917"/>
      <c r="I278" s="1917"/>
      <c r="J278" s="1918"/>
      <c r="K278" s="1740"/>
    </row>
    <row r="279" spans="3:11" x14ac:dyDescent="0.25">
      <c r="C279" s="1919"/>
      <c r="D279" s="1920"/>
      <c r="E279" s="1920"/>
      <c r="F279" s="1920"/>
      <c r="G279" s="1920"/>
      <c r="H279" s="1920"/>
      <c r="I279" s="1920"/>
      <c r="J279" s="1921"/>
      <c r="K279" s="236"/>
    </row>
    <row r="280" spans="3:11" x14ac:dyDescent="0.25">
      <c r="C280" s="1922"/>
      <c r="D280" s="1923"/>
      <c r="E280" s="1923"/>
      <c r="F280" s="1923"/>
      <c r="G280" s="1923"/>
      <c r="H280" s="1923"/>
      <c r="I280" s="1923"/>
      <c r="J280" s="1924"/>
      <c r="K280" s="236"/>
    </row>
    <row r="281" spans="3:11" x14ac:dyDescent="0.25">
      <c r="C281" s="117"/>
      <c r="D281" s="117"/>
      <c r="E281" s="117"/>
      <c r="F281" s="117"/>
      <c r="G281" s="117"/>
      <c r="H281" s="117"/>
    </row>
    <row r="282" spans="3:11" ht="36.75" customHeight="1" x14ac:dyDescent="0.25">
      <c r="C282" s="1871" t="s">
        <v>290</v>
      </c>
      <c r="D282" s="1871"/>
      <c r="E282" s="1871"/>
      <c r="F282" s="1871"/>
      <c r="G282" s="1871"/>
      <c r="H282" s="1871"/>
      <c r="I282" s="1871"/>
      <c r="J282" s="403" t="s">
        <v>288</v>
      </c>
      <c r="K282" s="112"/>
    </row>
    <row r="283" spans="3:11" ht="11.25" customHeight="1" x14ac:dyDescent="0.25">
      <c r="C283" s="1916"/>
      <c r="D283" s="1917"/>
      <c r="E283" s="1917"/>
      <c r="F283" s="1917"/>
      <c r="G283" s="1917"/>
      <c r="H283" s="1917"/>
      <c r="I283" s="1917"/>
      <c r="J283" s="1918"/>
      <c r="K283" s="1740"/>
    </row>
    <row r="284" spans="3:11" x14ac:dyDescent="0.25">
      <c r="C284" s="1919"/>
      <c r="D284" s="1920"/>
      <c r="E284" s="1920"/>
      <c r="F284" s="1920"/>
      <c r="G284" s="1920"/>
      <c r="H284" s="1920"/>
      <c r="I284" s="1920"/>
      <c r="J284" s="1921"/>
      <c r="K284" s="236"/>
    </row>
    <row r="285" spans="3:11" x14ac:dyDescent="0.25">
      <c r="C285" s="1922"/>
      <c r="D285" s="1923"/>
      <c r="E285" s="1923"/>
      <c r="F285" s="1923"/>
      <c r="G285" s="1923"/>
      <c r="H285" s="1923"/>
      <c r="I285" s="1923"/>
      <c r="J285" s="1924"/>
      <c r="K285" s="236"/>
    </row>
    <row r="286" spans="3:11" x14ac:dyDescent="0.25">
      <c r="C286" s="117"/>
      <c r="D286" s="117"/>
      <c r="E286" s="117"/>
      <c r="F286" s="117"/>
      <c r="G286" s="117"/>
      <c r="H286" s="117"/>
    </row>
    <row r="287" spans="3:11" ht="62.25" customHeight="1" x14ac:dyDescent="0.25">
      <c r="C287" s="1871" t="s">
        <v>291</v>
      </c>
      <c r="D287" s="1871"/>
      <c r="E287" s="1871"/>
      <c r="F287" s="1871"/>
      <c r="G287" s="1871"/>
      <c r="H287" s="1871"/>
      <c r="I287" s="1871"/>
      <c r="J287" s="403" t="s">
        <v>288</v>
      </c>
      <c r="K287" s="112"/>
    </row>
    <row r="288" spans="3:11" x14ac:dyDescent="0.25">
      <c r="C288" s="1916"/>
      <c r="D288" s="1917"/>
      <c r="E288" s="1917"/>
      <c r="F288" s="1917"/>
      <c r="G288" s="1917"/>
      <c r="H288" s="1917"/>
      <c r="I288" s="1917"/>
      <c r="J288" s="1918"/>
      <c r="K288" s="1740"/>
    </row>
    <row r="289" spans="3:11" x14ac:dyDescent="0.25">
      <c r="C289" s="1919"/>
      <c r="D289" s="1920"/>
      <c r="E289" s="1920"/>
      <c r="F289" s="1920"/>
      <c r="G289" s="1920"/>
      <c r="H289" s="1920"/>
      <c r="I289" s="1920"/>
      <c r="J289" s="1921"/>
      <c r="K289" s="236"/>
    </row>
    <row r="290" spans="3:11" x14ac:dyDescent="0.25">
      <c r="C290" s="1922"/>
      <c r="D290" s="1923"/>
      <c r="E290" s="1923"/>
      <c r="F290" s="1923"/>
      <c r="G290" s="1923"/>
      <c r="H290" s="1923"/>
      <c r="I290" s="1923"/>
      <c r="J290" s="1924"/>
      <c r="K290" s="236"/>
    </row>
    <row r="292" spans="3:11" ht="38.25" customHeight="1" x14ac:dyDescent="0.25">
      <c r="C292" s="1871" t="s">
        <v>2779</v>
      </c>
      <c r="D292" s="1871"/>
      <c r="E292" s="1871"/>
      <c r="F292" s="1871"/>
      <c r="G292" s="1871"/>
      <c r="H292" s="1871"/>
      <c r="I292" s="1871"/>
      <c r="J292" s="403" t="s">
        <v>288</v>
      </c>
      <c r="K292" s="112"/>
    </row>
    <row r="293" spans="3:11" x14ac:dyDescent="0.25">
      <c r="C293" s="1916"/>
      <c r="D293" s="1917"/>
      <c r="E293" s="1917"/>
      <c r="F293" s="1917"/>
      <c r="G293" s="1917"/>
      <c r="H293" s="1917"/>
      <c r="I293" s="1917"/>
      <c r="J293" s="1918"/>
      <c r="K293" s="1740"/>
    </row>
    <row r="294" spans="3:11" x14ac:dyDescent="0.25">
      <c r="C294" s="1919"/>
      <c r="D294" s="1920"/>
      <c r="E294" s="1920"/>
      <c r="F294" s="1920"/>
      <c r="G294" s="1920"/>
      <c r="H294" s="1920"/>
      <c r="I294" s="1920"/>
      <c r="J294" s="1921"/>
      <c r="K294" s="236"/>
    </row>
    <row r="295" spans="3:11" x14ac:dyDescent="0.25">
      <c r="C295" s="1922"/>
      <c r="D295" s="1923"/>
      <c r="E295" s="1923"/>
      <c r="F295" s="1923"/>
      <c r="G295" s="1923"/>
      <c r="H295" s="1923"/>
      <c r="I295" s="1923"/>
      <c r="J295" s="1924"/>
      <c r="K295" s="236"/>
    </row>
    <row r="297" spans="3:11" ht="38.25" customHeight="1" x14ac:dyDescent="0.25">
      <c r="C297" s="1871" t="s">
        <v>292</v>
      </c>
      <c r="D297" s="1871"/>
      <c r="E297" s="1871"/>
      <c r="F297" s="1871"/>
      <c r="G297" s="1871"/>
      <c r="H297" s="1871"/>
      <c r="I297" s="1871"/>
      <c r="J297" s="403" t="s">
        <v>288</v>
      </c>
      <c r="K297" s="112"/>
    </row>
    <row r="298" spans="3:11" x14ac:dyDescent="0.25">
      <c r="C298" s="1916"/>
      <c r="D298" s="1917"/>
      <c r="E298" s="1917"/>
      <c r="F298" s="1917"/>
      <c r="G298" s="1917"/>
      <c r="H298" s="1917"/>
      <c r="I298" s="1917"/>
      <c r="J298" s="1918"/>
      <c r="K298" s="1740"/>
    </row>
    <row r="299" spans="3:11" x14ac:dyDescent="0.25">
      <c r="C299" s="1919"/>
      <c r="D299" s="1920"/>
      <c r="E299" s="1920"/>
      <c r="F299" s="1920"/>
      <c r="G299" s="1920"/>
      <c r="H299" s="1920"/>
      <c r="I299" s="1920"/>
      <c r="J299" s="1921"/>
      <c r="K299" s="236"/>
    </row>
    <row r="300" spans="3:11" x14ac:dyDescent="0.25">
      <c r="C300" s="1922"/>
      <c r="D300" s="1923"/>
      <c r="E300" s="1923"/>
      <c r="F300" s="1923"/>
      <c r="G300" s="1923"/>
      <c r="H300" s="1923"/>
      <c r="I300" s="1923"/>
      <c r="J300" s="1924"/>
      <c r="K300" s="236"/>
    </row>
    <row r="302" spans="3:11" ht="39" customHeight="1" x14ac:dyDescent="0.25">
      <c r="C302" s="1871" t="s">
        <v>293</v>
      </c>
      <c r="D302" s="1871"/>
      <c r="E302" s="1871"/>
      <c r="F302" s="1871"/>
      <c r="G302" s="1871"/>
      <c r="H302" s="1871"/>
      <c r="I302" s="1871"/>
      <c r="J302" s="403" t="s">
        <v>288</v>
      </c>
      <c r="K302" s="112"/>
    </row>
    <row r="303" spans="3:11" x14ac:dyDescent="0.25">
      <c r="C303" s="1916"/>
      <c r="D303" s="1917"/>
      <c r="E303" s="1917"/>
      <c r="F303" s="1917"/>
      <c r="G303" s="1917"/>
      <c r="H303" s="1917"/>
      <c r="I303" s="1917"/>
      <c r="J303" s="1918"/>
      <c r="K303" s="1740"/>
    </row>
    <row r="304" spans="3:11" x14ac:dyDescent="0.25">
      <c r="C304" s="1919"/>
      <c r="D304" s="1920"/>
      <c r="E304" s="1920"/>
      <c r="F304" s="1920"/>
      <c r="G304" s="1920"/>
      <c r="H304" s="1920"/>
      <c r="I304" s="1920"/>
      <c r="J304" s="1921"/>
      <c r="K304" s="236"/>
    </row>
    <row r="305" spans="3:11" x14ac:dyDescent="0.25">
      <c r="C305" s="1922"/>
      <c r="D305" s="1923"/>
      <c r="E305" s="1923"/>
      <c r="F305" s="1923"/>
      <c r="G305" s="1923"/>
      <c r="H305" s="1923"/>
      <c r="I305" s="1923"/>
      <c r="J305" s="1924"/>
      <c r="K305" s="236"/>
    </row>
    <row r="307" spans="3:11" ht="54.75" customHeight="1" x14ac:dyDescent="0.25">
      <c r="C307" s="1871" t="s">
        <v>294</v>
      </c>
      <c r="D307" s="1871"/>
      <c r="E307" s="1871"/>
      <c r="F307" s="1871"/>
      <c r="G307" s="1871"/>
      <c r="H307" s="1871"/>
      <c r="I307" s="1871"/>
      <c r="J307" s="403" t="s">
        <v>288</v>
      </c>
      <c r="K307" s="112"/>
    </row>
    <row r="308" spans="3:11" x14ac:dyDescent="0.25">
      <c r="C308" s="1916"/>
      <c r="D308" s="1917"/>
      <c r="E308" s="1917"/>
      <c r="F308" s="1917"/>
      <c r="G308" s="1917"/>
      <c r="H308" s="1917"/>
      <c r="I308" s="1917"/>
      <c r="J308" s="1918"/>
      <c r="K308" s="1740"/>
    </row>
    <row r="309" spans="3:11" x14ac:dyDescent="0.25">
      <c r="C309" s="1919"/>
      <c r="D309" s="1920"/>
      <c r="E309" s="1920"/>
      <c r="F309" s="1920"/>
      <c r="G309" s="1920"/>
      <c r="H309" s="1920"/>
      <c r="I309" s="1920"/>
      <c r="J309" s="1921"/>
      <c r="K309" s="236"/>
    </row>
    <row r="310" spans="3:11" x14ac:dyDescent="0.25">
      <c r="C310" s="1922"/>
      <c r="D310" s="1923"/>
      <c r="E310" s="1923"/>
      <c r="F310" s="1923"/>
      <c r="G310" s="1923"/>
      <c r="H310" s="1923"/>
      <c r="I310" s="1923"/>
      <c r="J310" s="1924"/>
      <c r="K310" s="236"/>
    </row>
    <row r="311" spans="3:11" x14ac:dyDescent="0.25">
      <c r="C311" s="79" t="s">
        <v>295</v>
      </c>
    </row>
  </sheetData>
  <sheetProtection algorithmName="SHA-512" hashValue="IcdZP8hZIzmxrxNIo3zLwjWy2c+Z/Vz8tb2eks7FQbnIFh6tLEFpa5v6fJ6q3BqF1tdy/MsN5g7jx+Hlxs6v5A==" saltValue="ULVfiL07dDU0ulRsc97+gA==" spinCount="100000" sheet="1" objects="1" scenarios="1"/>
  <sortState xmlns:xlrd2="http://schemas.microsoft.com/office/spreadsheetml/2017/richdata2" ref="R12:R31">
    <sortCondition ref="R12:R31"/>
  </sortState>
  <dataConsolidate/>
  <customSheetViews>
    <customSheetView guid="{76F395A0-B7E9-4489-8589-E8786779257B}" showPageBreaks="1" printArea="1" view="pageLayout">
      <selection activeCell="A2" sqref="A2"/>
      <rowBreaks count="2" manualBreakCount="2">
        <brk id="64" max="8" man="1"/>
        <brk id="116" max="8" man="1"/>
      </rowBreaks>
      <pageMargins left="0" right="0" top="0" bottom="0" header="0" footer="0"/>
      <printOptions horizontalCentered="1"/>
      <pageSetup scale="83" firstPageNumber="4" orientation="portrait"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printArea="1" view="pageBreakPreview" topLeftCell="A76">
      <selection activeCell="A2" sqref="A2"/>
      <rowBreaks count="4" manualBreakCount="4">
        <brk id="61" max="16383" man="1"/>
        <brk id="92" max="16383" man="1"/>
        <brk id="139" max="16383" man="1"/>
        <brk id="198" max="8" man="1"/>
      </rowBreaks>
      <pageMargins left="0" right="0" top="0" bottom="0" header="0" footer="0"/>
      <pageSetup scale="82" firstPageNumber="4" orientation="portrait"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howPageBreaks="1" printArea="1" view="pageBreakPreview" topLeftCell="A174">
      <selection activeCell="E184" sqref="E184"/>
      <rowBreaks count="4" manualBreakCount="4">
        <brk id="55" max="16383" man="1"/>
        <brk id="86" max="16383" man="1"/>
        <brk id="133" max="16383" man="1"/>
        <brk id="192" max="8" man="1"/>
      </rowBreaks>
      <pageMargins left="0" right="0" top="0" bottom="0" header="0" footer="0"/>
      <pageSetup scale="82" firstPageNumber="4" orientation="portrait"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howPageBreaks="1" printArea="1" view="pageBreakPreview">
      <selection activeCell="D217" sqref="D217"/>
      <rowBreaks count="4" manualBreakCount="4">
        <brk id="55" max="16383" man="1"/>
        <brk id="86" max="16383" man="1"/>
        <brk id="127" max="16383" man="1"/>
        <brk id="192" max="8" man="1"/>
      </rowBreaks>
      <pageMargins left="0" right="0" top="0" bottom="0" header="0" footer="0"/>
      <pageSetup scale="82" firstPageNumber="4" orientation="portrait"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printArea="1" view="pageBreakPreview" showRuler="0" topLeftCell="A177">
      <selection activeCell="I184" sqref="I184"/>
      <rowBreaks count="4" manualBreakCount="4">
        <brk id="55" max="16383" man="1"/>
        <brk id="86" max="16383" man="1"/>
        <brk id="129" max="16383" man="1"/>
        <brk id="181" max="16383" man="1"/>
      </rowBreaks>
      <pageMargins left="0" right="0" top="0" bottom="0" header="0" footer="0"/>
      <pageSetup scale="90" firstPageNumber="4" orientation="portrait"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printArea="1" view="pageBreakPreview" showRuler="0" topLeftCell="A141">
      <selection activeCell="J158" sqref="J158"/>
      <rowBreaks count="4" manualBreakCount="4">
        <brk id="55" max="16383" man="1"/>
        <brk id="86" max="16383" man="1"/>
        <brk id="129" max="16383" man="1"/>
        <brk id="181" max="16383" man="1"/>
      </rowBreaks>
      <pageMargins left="0" right="0" top="0" bottom="0" header="0" footer="0"/>
      <pageSetup scale="92" firstPageNumber="4" orientation="portrait"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showPageBreaks="1" view="pageBreakPreview" showRuler="0" topLeftCell="A58">
      <selection activeCell="J58" sqref="J58"/>
      <rowBreaks count="2" manualBreakCount="2">
        <brk id="52" max="16383" man="1"/>
        <brk id="91" max="16383" man="1"/>
      </rowBreaks>
      <pageMargins left="0" right="0" top="0" bottom="0" header="0" footer="0"/>
      <pageSetup scale="99" firstPageNumber="4" orientation="portrait" useFirstPageNumber="1" horizontalDpi="4294967292" r:id="rId7"/>
      <headerFooter alignWithMargins="0"/>
    </customSheetView>
    <customSheetView guid="{714B32FB-A92F-4F7C-8495-8C3BCEB888AE}" showPageBreaks="1" printArea="1" view="pageBreakPreview" showRuler="0">
      <selection activeCell="C26" sqref="C26"/>
      <rowBreaks count="4" manualBreakCount="4">
        <brk id="55" max="16383" man="1"/>
        <brk id="86" max="16383" man="1"/>
        <brk id="129" max="16383" man="1"/>
        <brk id="180" max="16383" man="1"/>
      </rowBreaks>
      <pageMargins left="0" right="0" top="0" bottom="0" header="0" footer="0"/>
      <pageSetup scale="92" firstPageNumber="4" orientation="portrait"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printArea="1" view="pageBreakPreview" showRuler="0" topLeftCell="A177">
      <selection activeCell="I184" sqref="I184"/>
      <rowBreaks count="4" manualBreakCount="4">
        <brk id="55" max="16383" man="1"/>
        <brk id="86" max="16383" man="1"/>
        <brk id="129" max="16383" man="1"/>
        <brk id="181" max="16383" man="1"/>
      </rowBreaks>
      <pageMargins left="0" right="0" top="0" bottom="0" header="0" footer="0"/>
      <pageSetup scale="90" firstPageNumber="4" orientation="portrait"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printArea="1" view="pageBreakPreview" topLeftCell="A174">
      <selection activeCell="E184" sqref="E184"/>
      <rowBreaks count="4" manualBreakCount="4">
        <brk id="55" max="16383" man="1"/>
        <brk id="86" max="16383" man="1"/>
        <brk id="133" max="16383" man="1"/>
        <brk id="192" max="8" man="1"/>
      </rowBreaks>
      <pageMargins left="0" right="0" top="0" bottom="0" header="0" footer="0"/>
      <pageSetup scale="82" firstPageNumber="4" orientation="portrait"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printArea="1" view="pageBreakPreview">
      <selection activeCell="D217" sqref="D217"/>
      <rowBreaks count="4" manualBreakCount="4">
        <brk id="55" max="16383" man="1"/>
        <brk id="86" max="16383" man="1"/>
        <brk id="127" max="16383" man="1"/>
        <brk id="192" max="8" man="1"/>
      </rowBreaks>
      <pageMargins left="0" right="0" top="0" bottom="0" header="0" footer="0"/>
      <pageSetup scale="82" firstPageNumber="4" orientation="portrait"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printArea="1" view="pageBreakPreview">
      <selection activeCell="D217" sqref="D217"/>
      <rowBreaks count="4" manualBreakCount="4">
        <brk id="55" max="16383" man="1"/>
        <brk id="86" max="16383" man="1"/>
        <brk id="127" max="16383" man="1"/>
        <brk id="192" max="8" man="1"/>
      </rowBreaks>
      <pageMargins left="0" right="0" top="0" bottom="0" header="0" footer="0"/>
      <pageSetup scale="82" firstPageNumber="4" orientation="portrait"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printArea="1" view="pageBreakPreview" topLeftCell="A174">
      <selection activeCell="E184" sqref="E184"/>
      <rowBreaks count="4" manualBreakCount="4">
        <brk id="55" max="16383" man="1"/>
        <brk id="86" max="16383" man="1"/>
        <brk id="133" max="16383" man="1"/>
        <brk id="192" max="8" man="1"/>
      </rowBreaks>
      <pageMargins left="0" right="0" top="0" bottom="0" header="0" footer="0"/>
      <pageSetup scale="82" firstPageNumber="4" orientation="portrait"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howPageBreaks="1" printArea="1" view="pageBreakPreview" topLeftCell="A174">
      <selection activeCell="E184" sqref="E184"/>
      <rowBreaks count="4" manualBreakCount="4">
        <brk id="55" max="16383" man="1"/>
        <brk id="86" max="16383" man="1"/>
        <brk id="133" max="16383" man="1"/>
        <brk id="192" max="8" man="1"/>
      </rowBreaks>
      <pageMargins left="0" right="0" top="0" bottom="0" header="0" footer="0"/>
      <pageSetup scale="82" firstPageNumber="4" orientation="portrait" useFirstPageNumber="1" horizontalDpi="4294967292" r:id="rId14"/>
      <headerFooter alignWithMargins="0">
        <oddFooter>&amp;L&amp;"Times New Roman,Italic"&amp;8CDA Form 202 (09/23/2008)&amp;C&amp;"Times New Roman,Italic"&amp;9&amp;P&amp;R&amp;"Times New Roman,Italic"&amp;8&amp;A:&amp;D</oddFooter>
      </headerFooter>
    </customSheetView>
  </customSheetViews>
  <mergeCells count="16">
    <mergeCell ref="C303:J305"/>
    <mergeCell ref="C308:J310"/>
    <mergeCell ref="C307:I307"/>
    <mergeCell ref="C272:I272"/>
    <mergeCell ref="C287:I287"/>
    <mergeCell ref="C302:I302"/>
    <mergeCell ref="C277:I277"/>
    <mergeCell ref="C297:I297"/>
    <mergeCell ref="C282:I282"/>
    <mergeCell ref="C292:I292"/>
    <mergeCell ref="C273:J275"/>
    <mergeCell ref="C278:J280"/>
    <mergeCell ref="C283:J285"/>
    <mergeCell ref="C293:J295"/>
    <mergeCell ref="C288:J290"/>
    <mergeCell ref="C298:J300"/>
  </mergeCells>
  <phoneticPr fontId="19" type="noConversion"/>
  <dataValidations count="7">
    <dataValidation type="list" allowBlank="1" showInputMessage="1" showErrorMessage="1" sqref="J272:K272 J277:K277 J282:K282 J287:K287 J292:K292 J297:K297 J302:K302 J307:K307 J36 J42 J48 J54 J72 J66 J60 J78" xr:uid="{00000000-0002-0000-0300-000000000000}">
      <formula1>"Yes, No"</formula1>
    </dataValidation>
    <dataValidation type="list" allowBlank="1" showInputMessage="1" showErrorMessage="1" sqref="F223:G223 F212:G212 F201:G201 F47:G47 F58:G58 F69:G69 F80:G80 F91:G91 F102:G102 F113:G113 F124:G124 F135:G135 F146:G146 F157:G157 F168:G168 F179:G179 F190:G190" xr:uid="{465A9B63-224D-47CB-AFE8-C9022CBBA8A3}">
      <formula1>"Nonprofit,PHA,MBE/DBE"</formula1>
    </dataValidation>
    <dataValidation type="list" allowBlank="1" showInputMessage="1" showErrorMessage="1" sqref="E15 E26 E37 E213 E48 E59 E70 E81 E92 E103 E114 E125 E136 E147 E158 E169 E180 E191 E202 E224" xr:uid="{8E83F248-FCCC-4061-87FC-B9EE2C29A0BC}">
      <formula1>$M$14:$M$40</formula1>
    </dataValidation>
    <dataValidation type="list" allowBlank="1" showInputMessage="1" showErrorMessage="1" sqref="G10 G21 G32 G43 G54 G65 G76 G87 G98 G109 G120 G131 G142 G153 G230 G219 G237 G244 G251 G258 G164 G175 G186 G197 G208 G265" xr:uid="{0FD9B47E-B5AF-45AA-BB1E-7B2287BA8B4C}">
      <formula1>$P$12:$P$62</formula1>
    </dataValidation>
    <dataValidation type="list" allowBlank="1" showInputMessage="1" showErrorMessage="1" sqref="E14 E25 E36 E47 E58 E69 E80 E91 E102 E113 E124 E135 E146 E157 E168 E179 E190 E201 E212 E223" xr:uid="{B7CE83DD-4A3D-476F-B8F6-8375C6A75D96}">
      <formula1>" 501(c)(3) Nonprofit, 501(c)(4) Nonprofit,PHA,Local Small Business"</formula1>
    </dataValidation>
    <dataValidation type="decimal" allowBlank="1" showInputMessage="1" showErrorMessage="1" sqref="I7 I18 I29 I40 I51 I62 I73 I84 I95 I106 I117 I128 I139 I150 I161 I172 I183 I194 I205 I216" xr:uid="{E5881CF0-407B-4AB6-A233-D752450CB928}">
      <formula1>0</formula1>
      <formula2>1</formula2>
    </dataValidation>
    <dataValidation type="list" allowBlank="1" showInputMessage="1" showErrorMessage="1" sqref="E95 E106 E117 E128 E139 E150 E161 E172 E183 E194 E205 E216 E7 E18 E29 E40 E51 E62 E73 E84" xr:uid="{8A7AA797-F9AC-4311-989A-E13F65DAF3EF}">
      <formula1>$R$12:$R$31</formula1>
    </dataValidation>
  </dataValidations>
  <pageMargins left="0.25" right="0.25" top="0.25" bottom="0.25" header="0.25" footer="0.25"/>
  <pageSetup scale="80" fitToHeight="0" orientation="portrait" useFirstPageNumber="1" r:id="rId15"/>
  <headerFooter scaleWithDoc="0" alignWithMargins="0"/>
  <ignoredErrors>
    <ignoredError sqref="J3:J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0000FF"/>
    <pageSetUpPr fitToPage="1"/>
  </sheetPr>
  <dimension ref="B1:L93"/>
  <sheetViews>
    <sheetView showGridLines="0" view="pageBreakPreview" zoomScale="140" zoomScaleNormal="100" zoomScaleSheetLayoutView="140" workbookViewId="0">
      <selection activeCell="E10" sqref="E10:E11"/>
    </sheetView>
  </sheetViews>
  <sheetFormatPr defaultColWidth="9.44140625" defaultRowHeight="13.2" x14ac:dyDescent="0.25"/>
  <cols>
    <col min="1" max="1" width="2.77734375" style="7" customWidth="1"/>
    <col min="2" max="2" width="3.77734375" style="7" customWidth="1"/>
    <col min="3" max="3" width="5.77734375" style="7" customWidth="1"/>
    <col min="4" max="4" width="31.77734375" style="7" customWidth="1"/>
    <col min="5" max="6" width="18.77734375" style="7" customWidth="1"/>
    <col min="7" max="7" width="25.44140625" style="7" customWidth="1"/>
    <col min="8" max="8" width="6" style="1798" customWidth="1"/>
    <col min="9" max="9" width="2.77734375" hidden="1" customWidth="1"/>
    <col min="10" max="10" width="0" hidden="1" customWidth="1"/>
    <col min="11" max="11" width="12" hidden="1" customWidth="1"/>
    <col min="12" max="12" width="9.44140625" hidden="1" customWidth="1"/>
    <col min="13" max="16384" width="9.44140625" style="7"/>
  </cols>
  <sheetData>
    <row r="1" spans="2:8" x14ac:dyDescent="0.25">
      <c r="G1" s="99"/>
      <c r="H1" s="873"/>
    </row>
    <row r="2" spans="2:8" x14ac:dyDescent="0.25">
      <c r="D2" s="229"/>
      <c r="F2" s="29" t="s">
        <v>227</v>
      </c>
      <c r="G2" s="1763">
        <f>GENERAL!D7</f>
        <v>0</v>
      </c>
      <c r="H2" s="95"/>
    </row>
    <row r="3" spans="2:8" x14ac:dyDescent="0.25">
      <c r="G3" s="121">
        <f>projname</f>
        <v>0</v>
      </c>
      <c r="H3" s="121"/>
    </row>
    <row r="4" spans="2:8" x14ac:dyDescent="0.25">
      <c r="H4" s="7"/>
    </row>
    <row r="5" spans="2:8" ht="18" x14ac:dyDescent="0.35">
      <c r="B5" s="1764"/>
      <c r="C5" s="1144" t="s">
        <v>2552</v>
      </c>
      <c r="D5" s="1765"/>
      <c r="E5" s="648"/>
      <c r="F5" s="648"/>
      <c r="G5" s="649"/>
      <c r="H5" s="248"/>
    </row>
    <row r="6" spans="2:8" ht="38.25" customHeight="1" x14ac:dyDescent="0.25">
      <c r="C6" s="128"/>
      <c r="D6" s="1869" t="s">
        <v>2551</v>
      </c>
      <c r="E6" s="1869"/>
      <c r="F6" s="1869"/>
      <c r="G6" s="1870"/>
      <c r="H6" s="76"/>
    </row>
    <row r="7" spans="2:8" ht="30" customHeight="1" x14ac:dyDescent="0.25">
      <c r="C7" s="262"/>
      <c r="D7" s="1928" t="s">
        <v>1020</v>
      </c>
      <c r="E7" s="1929"/>
      <c r="F7" s="1929"/>
      <c r="G7" s="1930"/>
      <c r="H7" s="249"/>
    </row>
    <row r="8" spans="2:8" ht="25.2" customHeight="1" x14ac:dyDescent="0.25">
      <c r="C8" s="128"/>
      <c r="D8" s="129" t="s">
        <v>1021</v>
      </c>
      <c r="E8" s="1741" t="s">
        <v>244</v>
      </c>
      <c r="F8" s="1741" t="s">
        <v>1022</v>
      </c>
      <c r="G8" s="1742" t="s">
        <v>1023</v>
      </c>
      <c r="H8" s="250"/>
    </row>
    <row r="9" spans="2:8" x14ac:dyDescent="0.25">
      <c r="C9" s="128"/>
      <c r="D9" s="129" t="s">
        <v>1024</v>
      </c>
      <c r="E9" s="1766" t="s">
        <v>12</v>
      </c>
      <c r="F9" s="1766" t="s">
        <v>12</v>
      </c>
      <c r="G9" s="1767" t="s">
        <v>12</v>
      </c>
      <c r="H9" s="1726"/>
    </row>
    <row r="10" spans="2:8" x14ac:dyDescent="0.25">
      <c r="C10" s="128"/>
      <c r="D10" s="129" t="s">
        <v>1025</v>
      </c>
      <c r="E10" s="1745"/>
      <c r="F10" s="1745"/>
      <c r="G10" s="1746"/>
      <c r="H10" s="1768"/>
    </row>
    <row r="11" spans="2:8" x14ac:dyDescent="0.25">
      <c r="C11" s="128"/>
      <c r="D11" s="129" t="s">
        <v>1026</v>
      </c>
      <c r="E11" s="1745"/>
      <c r="F11" s="1745"/>
      <c r="G11" s="1746"/>
      <c r="H11" s="1768"/>
    </row>
    <row r="12" spans="2:8" x14ac:dyDescent="0.25">
      <c r="C12" s="128"/>
      <c r="D12" s="129" t="s">
        <v>1027</v>
      </c>
      <c r="E12" s="1743">
        <f>E10-E11</f>
        <v>0</v>
      </c>
      <c r="F12" s="1743">
        <f>F10-F11</f>
        <v>0</v>
      </c>
      <c r="G12" s="1744">
        <f>G10-G11</f>
        <v>0</v>
      </c>
      <c r="H12" s="251"/>
    </row>
    <row r="13" spans="2:8" x14ac:dyDescent="0.25">
      <c r="C13" s="130"/>
      <c r="D13" s="129" t="s">
        <v>1028</v>
      </c>
      <c r="E13" s="1749">
        <f>USES!$J$127</f>
        <v>0</v>
      </c>
      <c r="F13" s="1749">
        <f>USES!$J$127</f>
        <v>0</v>
      </c>
      <c r="G13" s="1750">
        <f>USES!$J$127</f>
        <v>0</v>
      </c>
      <c r="H13" s="252"/>
    </row>
    <row r="14" spans="2:8" x14ac:dyDescent="0.25">
      <c r="C14" s="128"/>
      <c r="D14" s="131" t="s">
        <v>1029</v>
      </c>
      <c r="E14" s="1762" t="str">
        <f>IF(E13=0,"",(E12/E13))</f>
        <v/>
      </c>
      <c r="F14" s="1762" t="str">
        <f>IF(F13=0,"",(F12/F13))</f>
        <v/>
      </c>
      <c r="G14" s="1769" t="str">
        <f>IF(G13=0,"",(G12/G13))</f>
        <v/>
      </c>
      <c r="H14" s="1770"/>
    </row>
    <row r="15" spans="2:8" ht="26.25" customHeight="1" x14ac:dyDescent="0.25">
      <c r="C15" s="128"/>
      <c r="D15" s="1928" t="s">
        <v>1020</v>
      </c>
      <c r="E15" s="1929"/>
      <c r="F15" s="1929"/>
      <c r="G15" s="1930"/>
      <c r="H15" s="249"/>
    </row>
    <row r="16" spans="2:8" ht="25.2" customHeight="1" x14ac:dyDescent="0.25">
      <c r="C16" s="128"/>
      <c r="D16" s="129" t="s">
        <v>1021</v>
      </c>
      <c r="E16" s="1741" t="s">
        <v>1030</v>
      </c>
      <c r="F16" s="1741" t="s">
        <v>1031</v>
      </c>
      <c r="G16" s="132" t="s">
        <v>1032</v>
      </c>
      <c r="H16" s="77"/>
    </row>
    <row r="17" spans="2:12" x14ac:dyDescent="0.25">
      <c r="C17" s="128"/>
      <c r="D17" s="129" t="s">
        <v>1024</v>
      </c>
      <c r="E17" s="1766" t="s">
        <v>12</v>
      </c>
      <c r="F17" s="1766" t="s">
        <v>12</v>
      </c>
      <c r="G17" s="133"/>
      <c r="H17" s="125"/>
    </row>
    <row r="18" spans="2:12" x14ac:dyDescent="0.25">
      <c r="C18" s="128"/>
      <c r="D18" s="129" t="s">
        <v>1025</v>
      </c>
      <c r="E18" s="1745"/>
      <c r="F18" s="1745"/>
      <c r="G18" s="1747">
        <f>E10+F10+G10+E18+F18</f>
        <v>0</v>
      </c>
      <c r="H18" s="253"/>
    </row>
    <row r="19" spans="2:12" x14ac:dyDescent="0.25">
      <c r="C19" s="128"/>
      <c r="D19" s="129" t="s">
        <v>1026</v>
      </c>
      <c r="E19" s="1751"/>
      <c r="F19" s="1751"/>
      <c r="G19" s="1752">
        <f>E11+F11+G11+E19+F19</f>
        <v>0</v>
      </c>
      <c r="H19" s="254"/>
    </row>
    <row r="20" spans="2:12" x14ac:dyDescent="0.25">
      <c r="C20" s="128"/>
      <c r="D20" s="129" t="s">
        <v>1027</v>
      </c>
      <c r="E20" s="1749">
        <f>E18-E19</f>
        <v>0</v>
      </c>
      <c r="F20" s="1749">
        <f>F18-F19</f>
        <v>0</v>
      </c>
      <c r="G20" s="1752">
        <f>E12+F12+G12+F20+E20</f>
        <v>0</v>
      </c>
      <c r="H20" s="254"/>
    </row>
    <row r="21" spans="2:12" x14ac:dyDescent="0.25">
      <c r="C21" s="128"/>
      <c r="D21" s="129" t="s">
        <v>1028</v>
      </c>
      <c r="E21" s="1749">
        <f>USES!$J$127</f>
        <v>0</v>
      </c>
      <c r="F21" s="1749">
        <f>USES!$J$127</f>
        <v>0</v>
      </c>
      <c r="G21" s="1753">
        <f>USES!$J$127</f>
        <v>0</v>
      </c>
      <c r="H21" s="255"/>
    </row>
    <row r="22" spans="2:12" x14ac:dyDescent="0.25">
      <c r="C22" s="128"/>
      <c r="D22" s="131" t="s">
        <v>1029</v>
      </c>
      <c r="E22" s="1762" t="str">
        <f>IF(E21=0,"",(E20/E21))</f>
        <v/>
      </c>
      <c r="F22" s="1762" t="str">
        <f>IF(F21=0,"",(F20/F21))</f>
        <v/>
      </c>
      <c r="G22" s="1754" t="str">
        <f>IF(G21=0,"",(G20/G21))</f>
        <v/>
      </c>
      <c r="H22" s="256"/>
      <c r="K22" s="705">
        <v>0.25</v>
      </c>
    </row>
    <row r="23" spans="2:12" x14ac:dyDescent="0.25">
      <c r="C23" s="134"/>
      <c r="D23" s="100"/>
      <c r="E23" s="1771"/>
      <c r="F23" s="1771"/>
      <c r="G23" s="1772"/>
      <c r="H23" s="1773"/>
    </row>
    <row r="24" spans="2:12" x14ac:dyDescent="0.25">
      <c r="C24" s="134"/>
      <c r="F24" s="1506">
        <f>MAX(H26:H28)</f>
        <v>0</v>
      </c>
      <c r="G24" s="650" t="s">
        <v>1033</v>
      </c>
      <c r="H24" s="257"/>
    </row>
    <row r="25" spans="2:12" ht="13.8" thickBot="1" x14ac:dyDescent="0.3">
      <c r="C25" s="135" t="s">
        <v>1034</v>
      </c>
      <c r="D25" s="44" t="s">
        <v>1035</v>
      </c>
      <c r="E25" s="136"/>
      <c r="F25" s="136"/>
      <c r="G25" s="1774"/>
      <c r="H25" s="136"/>
    </row>
    <row r="26" spans="2:12" x14ac:dyDescent="0.25">
      <c r="B26" s="24"/>
      <c r="C26" s="264">
        <v>0</v>
      </c>
      <c r="D26" s="1775" t="s">
        <v>1036</v>
      </c>
      <c r="E26" s="1776"/>
      <c r="F26" s="1776"/>
      <c r="G26" s="245"/>
      <c r="H26" s="1777">
        <f>-IF(G22&lt;10%,0,0)</f>
        <v>0</v>
      </c>
      <c r="L26" s="1777">
        <f>-IF(K22&lt;10%,0,0)</f>
        <v>0</v>
      </c>
    </row>
    <row r="27" spans="2:12" x14ac:dyDescent="0.25">
      <c r="C27" s="651">
        <v>1</v>
      </c>
      <c r="D27" s="652" t="s">
        <v>1037</v>
      </c>
      <c r="E27" s="1778"/>
      <c r="F27" s="1778"/>
      <c r="G27" s="653"/>
      <c r="H27" s="1779">
        <f>IF(AND(G22&gt;=10%,G22&lt;25%),1,0)</f>
        <v>0</v>
      </c>
      <c r="L27" s="1779">
        <f>IF(AND(K22&gt;=10%,K22&lt;25%),1,0)</f>
        <v>0</v>
      </c>
    </row>
    <row r="28" spans="2:12" ht="13.8" thickBot="1" x14ac:dyDescent="0.3">
      <c r="C28" s="654">
        <v>2</v>
      </c>
      <c r="D28" s="137" t="s">
        <v>1038</v>
      </c>
      <c r="E28" s="1780"/>
      <c r="F28" s="1780"/>
      <c r="G28" s="247"/>
      <c r="H28" s="1781">
        <f>IF(AND(G22&gt;25%,G22&lt;100000000%),2,0)</f>
        <v>0</v>
      </c>
      <c r="L28" s="706">
        <f>IF(AND(K22&gt;25%,K22&lt;100000000%),2,0)</f>
        <v>0</v>
      </c>
    </row>
    <row r="29" spans="2:12" x14ac:dyDescent="0.25">
      <c r="C29" s="138"/>
      <c r="D29" s="139"/>
      <c r="G29" s="1782"/>
      <c r="H29" s="92"/>
    </row>
    <row r="30" spans="2:12" ht="30" customHeight="1" x14ac:dyDescent="0.25">
      <c r="C30" s="262"/>
      <c r="D30" s="1928" t="s">
        <v>2643</v>
      </c>
      <c r="E30" s="1929"/>
      <c r="F30" s="1929"/>
      <c r="G30" s="1930"/>
      <c r="H30" s="249"/>
    </row>
    <row r="31" spans="2:12" ht="30" customHeight="1" x14ac:dyDescent="0.25">
      <c r="C31" s="128"/>
      <c r="D31" s="129" t="s">
        <v>1021</v>
      </c>
      <c r="E31" s="1748" t="s">
        <v>1039</v>
      </c>
      <c r="F31" s="1741" t="s">
        <v>1040</v>
      </c>
      <c r="G31" s="132" t="s">
        <v>1032</v>
      </c>
      <c r="H31" s="77"/>
    </row>
    <row r="32" spans="2:12" x14ac:dyDescent="0.25">
      <c r="C32" s="128"/>
      <c r="D32" s="129" t="s">
        <v>1024</v>
      </c>
      <c r="E32" s="1766" t="s">
        <v>12</v>
      </c>
      <c r="F32" s="1766" t="s">
        <v>12</v>
      </c>
      <c r="G32" s="133"/>
      <c r="H32" s="125"/>
    </row>
    <row r="33" spans="2:12" x14ac:dyDescent="0.25">
      <c r="C33" s="128"/>
      <c r="D33" s="129" t="s">
        <v>1025</v>
      </c>
      <c r="E33" s="1745"/>
      <c r="F33" s="1755"/>
      <c r="G33" s="1747">
        <f>SUM(E33:F33)</f>
        <v>0</v>
      </c>
      <c r="H33" s="253"/>
    </row>
    <row r="34" spans="2:12" x14ac:dyDescent="0.25">
      <c r="C34" s="128"/>
      <c r="D34" s="129" t="s">
        <v>1026</v>
      </c>
      <c r="E34" s="1751"/>
      <c r="F34" s="1751"/>
      <c r="G34" s="1752">
        <f>SUM(E34:F34)</f>
        <v>0</v>
      </c>
      <c r="H34" s="254"/>
    </row>
    <row r="35" spans="2:12" x14ac:dyDescent="0.25">
      <c r="C35" s="128"/>
      <c r="D35" s="129" t="s">
        <v>1027</v>
      </c>
      <c r="E35" s="1749">
        <f>E33-E34</f>
        <v>0</v>
      </c>
      <c r="F35" s="1749">
        <f>F33-F34</f>
        <v>0</v>
      </c>
      <c r="G35" s="1752">
        <f>SUM(E35:F35)</f>
        <v>0</v>
      </c>
      <c r="H35" s="254"/>
    </row>
    <row r="36" spans="2:12" x14ac:dyDescent="0.25">
      <c r="C36" s="128"/>
      <c r="D36" s="129" t="s">
        <v>1028</v>
      </c>
      <c r="E36" s="1749">
        <f>USES!$J$127</f>
        <v>0</v>
      </c>
      <c r="F36" s="1749">
        <f>USES!$J$127</f>
        <v>0</v>
      </c>
      <c r="G36" s="1753">
        <f>USES!$J$127</f>
        <v>0</v>
      </c>
      <c r="H36" s="255"/>
    </row>
    <row r="37" spans="2:12" x14ac:dyDescent="0.25">
      <c r="C37" s="128"/>
      <c r="D37" s="131" t="s">
        <v>1029</v>
      </c>
      <c r="E37" s="1762" t="str">
        <f>IF(E36=0,"",(E35/E36))</f>
        <v/>
      </c>
      <c r="F37" s="1762" t="str">
        <f>IF(F36=0,"",(F35/F36))</f>
        <v/>
      </c>
      <c r="G37" s="1761" t="str">
        <f>IF(G36=0,"",(G35/G36))</f>
        <v/>
      </c>
      <c r="H37" s="256"/>
      <c r="K37" s="705">
        <v>0.25</v>
      </c>
    </row>
    <row r="38" spans="2:12" x14ac:dyDescent="0.25">
      <c r="C38" s="140"/>
      <c r="D38" s="100"/>
      <c r="E38" s="139"/>
      <c r="G38" s="1783"/>
      <c r="H38" s="7"/>
    </row>
    <row r="39" spans="2:12" x14ac:dyDescent="0.25">
      <c r="C39" s="134"/>
      <c r="D39" s="100"/>
      <c r="E39" s="1771"/>
      <c r="F39" s="1506">
        <f>MAX(H41:H43)</f>
        <v>0</v>
      </c>
      <c r="G39" s="650" t="s">
        <v>1033</v>
      </c>
      <c r="H39" s="257"/>
    </row>
    <row r="40" spans="2:12" ht="13.8" thickBot="1" x14ac:dyDescent="0.3">
      <c r="C40" s="135" t="s">
        <v>1034</v>
      </c>
      <c r="D40" s="44" t="s">
        <v>1035</v>
      </c>
      <c r="E40" s="136"/>
      <c r="F40" s="136"/>
      <c r="G40" s="1784"/>
      <c r="H40" s="136"/>
    </row>
    <row r="41" spans="2:12" x14ac:dyDescent="0.25">
      <c r="C41" s="264">
        <v>0</v>
      </c>
      <c r="D41" s="1775" t="s">
        <v>1036</v>
      </c>
      <c r="E41" s="1776"/>
      <c r="F41" s="1776"/>
      <c r="G41" s="245"/>
      <c r="H41" s="1777">
        <f>-IF(G37&lt;10%,0,0)</f>
        <v>0</v>
      </c>
      <c r="L41" s="1777">
        <f>-IF(K37&lt;10%,0,0)</f>
        <v>0</v>
      </c>
    </row>
    <row r="42" spans="2:12" x14ac:dyDescent="0.25">
      <c r="C42" s="651">
        <v>3</v>
      </c>
      <c r="D42" s="1785" t="s">
        <v>1037</v>
      </c>
      <c r="E42" s="1778"/>
      <c r="F42" s="1778"/>
      <c r="G42" s="653"/>
      <c r="H42" s="1786">
        <f>IF(AND(G37&gt;=10%,G37&lt;25%),3,0)</f>
        <v>0</v>
      </c>
      <c r="L42" s="1779">
        <f>IF(AND(K37&gt;=10%,K37&lt;25%),3,0)</f>
        <v>0</v>
      </c>
    </row>
    <row r="43" spans="2:12" ht="13.8" thickBot="1" x14ac:dyDescent="0.3">
      <c r="C43" s="654">
        <v>6</v>
      </c>
      <c r="D43" s="1787" t="s">
        <v>2781</v>
      </c>
      <c r="E43" s="1780"/>
      <c r="F43" s="1780"/>
      <c r="G43" s="247"/>
      <c r="H43" s="1781">
        <f>IF(AND(G37&gt;25%,G37&lt;100000000%),6,0)</f>
        <v>0</v>
      </c>
      <c r="L43" s="706">
        <f>IF(AND(K37&gt;25%,K37&lt;100000000%),6,0)</f>
        <v>0</v>
      </c>
    </row>
    <row r="44" spans="2:12" x14ac:dyDescent="0.25">
      <c r="C44" s="1788"/>
      <c r="G44" s="1789"/>
      <c r="H44" s="92"/>
    </row>
    <row r="45" spans="2:12" x14ac:dyDescent="0.25">
      <c r="B45" s="24"/>
      <c r="C45" s="141"/>
      <c r="G45" s="1790"/>
      <c r="H45" s="92"/>
    </row>
    <row r="46" spans="2:12" ht="30" customHeight="1" x14ac:dyDescent="0.25">
      <c r="C46" s="262"/>
      <c r="D46" s="1928" t="s">
        <v>1045</v>
      </c>
      <c r="E46" s="1931"/>
      <c r="F46" s="1931"/>
      <c r="G46" s="1932"/>
      <c r="H46" s="44"/>
    </row>
    <row r="47" spans="2:12" x14ac:dyDescent="0.25">
      <c r="C47" s="1788"/>
      <c r="D47" s="129" t="s">
        <v>1021</v>
      </c>
      <c r="E47" s="1758" t="str">
        <f t="shared" ref="E47:G48" si="0">E8</f>
        <v>Developer</v>
      </c>
      <c r="F47" s="1758" t="str">
        <f t="shared" si="0"/>
        <v>Co-Developer</v>
      </c>
      <c r="G47" s="1759" t="str">
        <f t="shared" si="0"/>
        <v>2nd Co-Developer</v>
      </c>
      <c r="H47" s="258"/>
    </row>
    <row r="48" spans="2:12" x14ac:dyDescent="0.25">
      <c r="C48" s="1788"/>
      <c r="D48" s="129" t="s">
        <v>1024</v>
      </c>
      <c r="E48" s="1791" t="str">
        <f t="shared" si="0"/>
        <v>Date</v>
      </c>
      <c r="F48" s="1791" t="str">
        <f t="shared" si="0"/>
        <v>Date</v>
      </c>
      <c r="G48" s="1792" t="str">
        <f t="shared" si="0"/>
        <v>Date</v>
      </c>
      <c r="H48" s="1793"/>
    </row>
    <row r="49" spans="3:11" x14ac:dyDescent="0.25">
      <c r="C49" s="128"/>
      <c r="D49" s="246" t="s">
        <v>1041</v>
      </c>
      <c r="E49" s="1755"/>
      <c r="F49" s="1755"/>
      <c r="G49" s="1756"/>
      <c r="H49" s="259"/>
    </row>
    <row r="50" spans="3:11" x14ac:dyDescent="0.25">
      <c r="C50" s="128"/>
      <c r="D50" s="246" t="s">
        <v>1042</v>
      </c>
      <c r="E50" s="1751"/>
      <c r="F50" s="1751"/>
      <c r="G50" s="1757"/>
      <c r="H50" s="49"/>
    </row>
    <row r="51" spans="3:11" x14ac:dyDescent="0.25">
      <c r="C51" s="128"/>
      <c r="D51" s="246" t="s">
        <v>1043</v>
      </c>
      <c r="E51" s="1749">
        <f>E49-E50</f>
        <v>0</v>
      </c>
      <c r="F51" s="1749">
        <f>F49-F50</f>
        <v>0</v>
      </c>
      <c r="G51" s="1750">
        <f>G49-G50</f>
        <v>0</v>
      </c>
      <c r="H51" s="252"/>
    </row>
    <row r="52" spans="3:11" x14ac:dyDescent="0.25">
      <c r="C52" s="128"/>
      <c r="D52" s="129" t="s">
        <v>1044</v>
      </c>
      <c r="E52" s="1749">
        <f>USES!$J$127</f>
        <v>0</v>
      </c>
      <c r="F52" s="1749">
        <f>USES!$J$127</f>
        <v>0</v>
      </c>
      <c r="G52" s="1750">
        <f>USES!$J$127</f>
        <v>0</v>
      </c>
      <c r="H52" s="252"/>
    </row>
    <row r="53" spans="3:11" x14ac:dyDescent="0.25">
      <c r="C53" s="128"/>
      <c r="D53" s="131" t="s">
        <v>1029</v>
      </c>
      <c r="E53" s="1762" t="str">
        <f>IF(E52=0,"",(E51/E52))</f>
        <v/>
      </c>
      <c r="F53" s="1762" t="str">
        <f>IF(F52=0,"",(F51/F52))</f>
        <v/>
      </c>
      <c r="G53" s="1769" t="str">
        <f>IF(G52=0,"",(G51/G52))</f>
        <v/>
      </c>
      <c r="H53" s="1770"/>
    </row>
    <row r="54" spans="3:11" ht="30" customHeight="1" x14ac:dyDescent="0.25">
      <c r="C54" s="128"/>
      <c r="D54" s="1928" t="s">
        <v>1045</v>
      </c>
      <c r="E54" s="1931"/>
      <c r="F54" s="1931"/>
      <c r="G54" s="1932"/>
      <c r="H54" s="44"/>
    </row>
    <row r="55" spans="3:11" ht="25.2" customHeight="1" x14ac:dyDescent="0.25">
      <c r="C55" s="128"/>
      <c r="D55" s="129" t="s">
        <v>1021</v>
      </c>
      <c r="E55" s="1758" t="str">
        <f>E16</f>
        <v>General Partner</v>
      </c>
      <c r="F55" s="1748" t="str">
        <f>F16</f>
        <v>Managing Member</v>
      </c>
      <c r="G55" s="132" t="s">
        <v>1032</v>
      </c>
      <c r="H55" s="77"/>
    </row>
    <row r="56" spans="3:11" x14ac:dyDescent="0.25">
      <c r="C56" s="128"/>
      <c r="D56" s="129" t="s">
        <v>1024</v>
      </c>
      <c r="E56" s="1824" t="str">
        <f>E17</f>
        <v>Date</v>
      </c>
      <c r="F56" s="1825" t="str">
        <f>F17</f>
        <v>Date</v>
      </c>
      <c r="G56" s="133"/>
      <c r="H56" s="77"/>
    </row>
    <row r="57" spans="3:11" x14ac:dyDescent="0.25">
      <c r="C57" s="128"/>
      <c r="D57" s="246" t="s">
        <v>1041</v>
      </c>
      <c r="E57" s="1755"/>
      <c r="F57" s="1760"/>
      <c r="G57" s="1753">
        <f>E49+F49+G49+E57+F57</f>
        <v>0</v>
      </c>
      <c r="H57" s="260"/>
    </row>
    <row r="58" spans="3:11" x14ac:dyDescent="0.25">
      <c r="C58" s="128"/>
      <c r="D58" s="246" t="s">
        <v>1042</v>
      </c>
      <c r="E58" s="1751"/>
      <c r="F58" s="1760"/>
      <c r="G58" s="1752">
        <f>E50+F50+G50+E58+F58</f>
        <v>0</v>
      </c>
      <c r="H58" s="254"/>
    </row>
    <row r="59" spans="3:11" x14ac:dyDescent="0.25">
      <c r="C59" s="128"/>
      <c r="D59" s="246" t="s">
        <v>1043</v>
      </c>
      <c r="E59" s="1749">
        <f>E57-E58</f>
        <v>0</v>
      </c>
      <c r="F59" s="1749">
        <f>F57-F58</f>
        <v>0</v>
      </c>
      <c r="G59" s="1752">
        <f>E51+F51+G51+E59+F59</f>
        <v>0</v>
      </c>
      <c r="H59" s="254"/>
    </row>
    <row r="60" spans="3:11" x14ac:dyDescent="0.25">
      <c r="C60" s="128"/>
      <c r="D60" s="129" t="s">
        <v>1044</v>
      </c>
      <c r="E60" s="1749">
        <f>USES!$J$127</f>
        <v>0</v>
      </c>
      <c r="F60" s="1749">
        <f>USES!$J$127</f>
        <v>0</v>
      </c>
      <c r="G60" s="1753">
        <f>USES!$J$127</f>
        <v>0</v>
      </c>
      <c r="H60" s="260"/>
    </row>
    <row r="61" spans="3:11" x14ac:dyDescent="0.25">
      <c r="C61" s="128"/>
      <c r="D61" s="131" t="s">
        <v>1029</v>
      </c>
      <c r="E61" s="1762" t="str">
        <f>IF(E60=0,"",(E59/E60))</f>
        <v/>
      </c>
      <c r="F61" s="1762" t="str">
        <f>IF(F60=0,"",(F59/F60))</f>
        <v/>
      </c>
      <c r="G61" s="1754" t="str">
        <f>IF(G60=0,"",(G59/G60))</f>
        <v/>
      </c>
      <c r="H61" s="256"/>
      <c r="K61" s="705">
        <v>0.10100000000000001</v>
      </c>
    </row>
    <row r="62" spans="3:11" x14ac:dyDescent="0.25">
      <c r="C62" s="140"/>
      <c r="D62" s="100"/>
      <c r="E62" s="1771"/>
      <c r="F62" s="1771"/>
      <c r="G62" s="1772"/>
      <c r="H62" s="1773"/>
    </row>
    <row r="63" spans="3:11" x14ac:dyDescent="0.25">
      <c r="C63" s="134"/>
      <c r="D63" s="100"/>
      <c r="E63" s="1771"/>
      <c r="F63" s="1506">
        <f>MAX(H65:H68)</f>
        <v>0</v>
      </c>
      <c r="G63" s="650" t="s">
        <v>1033</v>
      </c>
      <c r="H63" s="257"/>
    </row>
    <row r="64" spans="3:11" ht="13.8" thickBot="1" x14ac:dyDescent="0.3">
      <c r="C64" s="135" t="s">
        <v>1034</v>
      </c>
      <c r="D64" s="10" t="s">
        <v>1035</v>
      </c>
      <c r="E64" s="136"/>
      <c r="F64" s="136"/>
      <c r="G64" s="1784"/>
      <c r="H64" s="136"/>
    </row>
    <row r="65" spans="3:12" x14ac:dyDescent="0.25">
      <c r="C65" s="264">
        <v>0</v>
      </c>
      <c r="D65" s="1794" t="s">
        <v>1046</v>
      </c>
      <c r="E65" s="1776"/>
      <c r="F65" s="1776"/>
      <c r="G65" s="245"/>
      <c r="H65" s="1777">
        <f>-IF(G61&lt;2%,0,0)</f>
        <v>0</v>
      </c>
      <c r="L65" s="1777">
        <f>-IF(K61&lt;2%,0,0)</f>
        <v>0</v>
      </c>
    </row>
    <row r="66" spans="3:12" x14ac:dyDescent="0.25">
      <c r="C66" s="651">
        <v>1</v>
      </c>
      <c r="D66" s="1795" t="s">
        <v>1047</v>
      </c>
      <c r="E66" s="1778"/>
      <c r="F66" s="1778"/>
      <c r="G66" s="653"/>
      <c r="H66" s="1786">
        <f>IF(AND(G61&gt;=2%,G61&lt;=4%),1, 0)</f>
        <v>0</v>
      </c>
      <c r="L66" s="1786">
        <f>IF(AND(K61&gt;=2%,K61&lt;=4%),1, 0)</f>
        <v>0</v>
      </c>
    </row>
    <row r="67" spans="3:12" x14ac:dyDescent="0.25">
      <c r="C67" s="651">
        <v>2</v>
      </c>
      <c r="D67" s="1795" t="s">
        <v>2782</v>
      </c>
      <c r="E67" s="1778"/>
      <c r="F67" s="1778"/>
      <c r="G67" s="653"/>
      <c r="H67" s="1786">
        <f>IF(AND(G61&gt;4%,G61&lt;10%),2,0)</f>
        <v>0</v>
      </c>
      <c r="L67" s="1786">
        <f>IF(AND(K61&gt;4%,K61&lt;10%),2,0)</f>
        <v>0</v>
      </c>
    </row>
    <row r="68" spans="3:12" ht="13.8" thickBot="1" x14ac:dyDescent="0.3">
      <c r="C68" s="654">
        <v>2.5</v>
      </c>
      <c r="D68" s="1780" t="s">
        <v>2783</v>
      </c>
      <c r="E68" s="1780"/>
      <c r="F68" s="1780"/>
      <c r="G68" s="263"/>
      <c r="H68" s="1781">
        <f>IF(AND(G61&gt;10%,G61&lt;100000000%),2.5,0)</f>
        <v>0</v>
      </c>
      <c r="L68" s="707">
        <f>IF(AND(K61&gt;10%,K61&lt;100000000%),2.5,0)</f>
        <v>2.5</v>
      </c>
    </row>
    <row r="69" spans="3:12" x14ac:dyDescent="0.25">
      <c r="C69" s="1796"/>
      <c r="D69" s="142"/>
      <c r="E69" s="142"/>
      <c r="F69" s="142"/>
      <c r="G69" s="143"/>
      <c r="H69" s="261"/>
    </row>
    <row r="70" spans="3:12" ht="30" customHeight="1" x14ac:dyDescent="0.25">
      <c r="C70" s="128"/>
      <c r="D70" s="1925" t="s">
        <v>1048</v>
      </c>
      <c r="E70" s="1926"/>
      <c r="F70" s="1926"/>
      <c r="G70" s="1927"/>
      <c r="H70" s="75"/>
    </row>
    <row r="71" spans="3:12" ht="30" customHeight="1" x14ac:dyDescent="0.25">
      <c r="C71" s="1788"/>
      <c r="D71" s="129" t="s">
        <v>1021</v>
      </c>
      <c r="E71" s="1758" t="str">
        <f>E31</f>
        <v xml:space="preserve">Guarantor: </v>
      </c>
      <c r="F71" s="1748" t="str">
        <f>F31</f>
        <v>Insert Name                  (if applicable)</v>
      </c>
      <c r="G71" s="132" t="s">
        <v>1032</v>
      </c>
      <c r="H71" s="77"/>
    </row>
    <row r="72" spans="3:12" x14ac:dyDescent="0.25">
      <c r="C72" s="1788"/>
      <c r="D72" s="129" t="s">
        <v>1024</v>
      </c>
      <c r="E72" s="1766" t="s">
        <v>12</v>
      </c>
      <c r="F72" s="1766" t="s">
        <v>12</v>
      </c>
      <c r="G72" s="133"/>
      <c r="H72" s="125"/>
    </row>
    <row r="73" spans="3:12" x14ac:dyDescent="0.25">
      <c r="C73" s="1788"/>
      <c r="D73" s="246" t="s">
        <v>1041</v>
      </c>
      <c r="E73" s="1755"/>
      <c r="F73" s="1755"/>
      <c r="G73" s="1753">
        <f>SUM(E73:F73)</f>
        <v>0</v>
      </c>
      <c r="H73" s="260"/>
    </row>
    <row r="74" spans="3:12" x14ac:dyDescent="0.25">
      <c r="C74" s="1788"/>
      <c r="D74" s="246" t="s">
        <v>1042</v>
      </c>
      <c r="E74" s="1751"/>
      <c r="F74" s="1751"/>
      <c r="G74" s="1752">
        <f>SUM(E74:F74)</f>
        <v>0</v>
      </c>
      <c r="H74" s="254"/>
    </row>
    <row r="75" spans="3:12" x14ac:dyDescent="0.25">
      <c r="C75" s="1788"/>
      <c r="D75" s="246" t="s">
        <v>1043</v>
      </c>
      <c r="E75" s="1749">
        <f>E73-E74</f>
        <v>0</v>
      </c>
      <c r="F75" s="1749">
        <f>F73-F74</f>
        <v>0</v>
      </c>
      <c r="G75" s="1752">
        <f>SUM(E75:F75)</f>
        <v>0</v>
      </c>
      <c r="H75" s="254"/>
    </row>
    <row r="76" spans="3:12" x14ac:dyDescent="0.25">
      <c r="C76" s="1788"/>
      <c r="D76" s="129" t="s">
        <v>1028</v>
      </c>
      <c r="E76" s="1749">
        <f>USES!$J$127</f>
        <v>0</v>
      </c>
      <c r="F76" s="1749">
        <f>USES!$J$127</f>
        <v>0</v>
      </c>
      <c r="G76" s="1753">
        <f>USES!$J$127</f>
        <v>0</v>
      </c>
      <c r="H76" s="260"/>
    </row>
    <row r="77" spans="3:12" x14ac:dyDescent="0.25">
      <c r="C77" s="1788"/>
      <c r="D77" s="131" t="s">
        <v>1029</v>
      </c>
      <c r="E77" s="1762" t="str">
        <f>IF(E76=0,"",(E75/E76))</f>
        <v/>
      </c>
      <c r="F77" s="1762" t="str">
        <f>IF(F76=0,"",(F75/F76))</f>
        <v/>
      </c>
      <c r="G77" s="1754" t="str">
        <f>IF(G76=0,"",(G75/G76))</f>
        <v/>
      </c>
      <c r="H77" s="256"/>
      <c r="K77" s="705">
        <v>0.1</v>
      </c>
    </row>
    <row r="78" spans="3:12" x14ac:dyDescent="0.25">
      <c r="C78" s="140"/>
      <c r="D78" s="100"/>
      <c r="E78" s="112"/>
      <c r="F78" s="112"/>
      <c r="G78" s="1797"/>
      <c r="H78" s="92"/>
    </row>
    <row r="79" spans="3:12" x14ac:dyDescent="0.25">
      <c r="C79" s="134"/>
      <c r="D79" s="100"/>
      <c r="E79" s="1771"/>
      <c r="F79" s="1506">
        <f>MAX(H81:H84)</f>
        <v>0</v>
      </c>
      <c r="G79" s="650" t="s">
        <v>1033</v>
      </c>
      <c r="H79" s="257"/>
    </row>
    <row r="80" spans="3:12" ht="13.8" thickBot="1" x14ac:dyDescent="0.3">
      <c r="C80" s="144" t="s">
        <v>1034</v>
      </c>
      <c r="D80" s="10" t="s">
        <v>1035</v>
      </c>
      <c r="E80" s="136"/>
      <c r="F80" s="136"/>
      <c r="G80" s="1784"/>
      <c r="H80" s="136"/>
    </row>
    <row r="81" spans="3:12" x14ac:dyDescent="0.25">
      <c r="C81" s="264">
        <v>0</v>
      </c>
      <c r="D81" s="1794" t="s">
        <v>1046</v>
      </c>
      <c r="E81" s="1776"/>
      <c r="F81" s="1776"/>
      <c r="G81" s="245"/>
      <c r="H81" s="1777">
        <f>-IF(G77&lt;2%,0,0)</f>
        <v>0</v>
      </c>
      <c r="L81" s="1777">
        <f>-IF(K77&lt;2%,0,0)</f>
        <v>0</v>
      </c>
    </row>
    <row r="82" spans="3:12" x14ac:dyDescent="0.25">
      <c r="C82" s="651">
        <v>3</v>
      </c>
      <c r="D82" s="1795" t="s">
        <v>1047</v>
      </c>
      <c r="E82" s="1778"/>
      <c r="F82" s="1778"/>
      <c r="G82" s="653"/>
      <c r="H82" s="1786">
        <f>IF(AND(G77&gt;2%,G77&lt;4%),3, 0)</f>
        <v>0</v>
      </c>
      <c r="L82" s="1786">
        <f>IF(AND(K77&gt;2%,K77&lt;4%),3, 0)</f>
        <v>0</v>
      </c>
    </row>
    <row r="83" spans="3:12" x14ac:dyDescent="0.25">
      <c r="C83" s="651">
        <v>6</v>
      </c>
      <c r="D83" s="1795" t="s">
        <v>1049</v>
      </c>
      <c r="E83" s="1778"/>
      <c r="F83" s="1778"/>
      <c r="G83" s="653"/>
      <c r="H83" s="1786">
        <f>IF(AND(G77&gt;4%,G77&lt;10%),6, 0)</f>
        <v>0</v>
      </c>
      <c r="L83" s="1786">
        <f>IF(AND(K77&gt;4%,K77&lt;10%),6, 0)</f>
        <v>0</v>
      </c>
    </row>
    <row r="84" spans="3:12" ht="13.8" thickBot="1" x14ac:dyDescent="0.3">
      <c r="C84" s="654">
        <v>7.5</v>
      </c>
      <c r="D84" s="1780" t="s">
        <v>1050</v>
      </c>
      <c r="E84" s="1780"/>
      <c r="F84" s="1780"/>
      <c r="G84" s="244"/>
      <c r="H84" s="1781">
        <f>IF(AND(G77&gt;10%,G77&lt;100000000%),7.5,0)</f>
        <v>0</v>
      </c>
      <c r="L84" s="706">
        <f>IF(AND(K77&gt;10%,K77&lt;100000000%),7.5,0)</f>
        <v>0</v>
      </c>
    </row>
    <row r="85" spans="3:12" x14ac:dyDescent="0.25">
      <c r="H85" s="7"/>
    </row>
    <row r="86" spans="3:12" x14ac:dyDescent="0.25">
      <c r="F86" s="1506">
        <f>F24+F39+F63+F79</f>
        <v>0</v>
      </c>
      <c r="G86" s="145" t="s">
        <v>1051</v>
      </c>
      <c r="H86" s="257"/>
    </row>
    <row r="87" spans="3:12" x14ac:dyDescent="0.25">
      <c r="H87" s="7"/>
    </row>
    <row r="88" spans="3:12" x14ac:dyDescent="0.25">
      <c r="H88" s="873"/>
    </row>
    <row r="89" spans="3:12" x14ac:dyDescent="0.25">
      <c r="H89" s="873"/>
    </row>
    <row r="90" spans="3:12" x14ac:dyDescent="0.25">
      <c r="H90" s="873"/>
    </row>
    <row r="91" spans="3:12" x14ac:dyDescent="0.25">
      <c r="H91" s="873"/>
    </row>
    <row r="92" spans="3:12" x14ac:dyDescent="0.25">
      <c r="H92" s="873"/>
    </row>
    <row r="93" spans="3:12" x14ac:dyDescent="0.25">
      <c r="H93" s="873"/>
    </row>
  </sheetData>
  <sheetProtection algorithmName="SHA-512" hashValue="ZpT9C7vbmPreH4fi6Y29SbMJEZJ7Te/rg4k7SDzZT5LzZDd60yDYxLvW1xrlmyX6Ok4mN2AvhR23LecwKEYpNQ==" saltValue="/f8CTe22tbk0cp3wQkmJrQ==" spinCount="100000" sheet="1" objects="1" scenarios="1"/>
  <mergeCells count="7">
    <mergeCell ref="D70:G70"/>
    <mergeCell ref="D6:G6"/>
    <mergeCell ref="D7:G7"/>
    <mergeCell ref="D15:G15"/>
    <mergeCell ref="D30:G30"/>
    <mergeCell ref="D46:G46"/>
    <mergeCell ref="D54:G54"/>
  </mergeCells>
  <dataValidations count="1">
    <dataValidation type="list" allowBlank="1" showInputMessage="1" showErrorMessage="1" sqref="G40:H40 E25:E27 G64:H64 G80:H80" xr:uid="{00000000-0002-0000-0C00-000000000000}">
      <formula1>#REF!</formula1>
    </dataValidation>
  </dataValidations>
  <pageMargins left="0.25" right="0.25" top="0.25" bottom="0.25" header="0.25" footer="0.25"/>
  <pageSetup fitToHeight="0" orientation="portrait" useFirstPageNumber="1" r:id="rId1"/>
  <headerFooter scaleWithDoc="0" alignWithMargins="0"/>
  <rowBreaks count="1" manualBreakCount="1">
    <brk id="44" min="1" max="7" man="1"/>
  </rowBreaks>
  <ignoredErrors>
    <ignoredError sqref="E71:F71 E55:F55 E47:F47 F13 E20:G20 G19 E51:F52 F49:F50 E22:F22 E21:F21 E59:F59 E60 F39 F79 F86 F63 G2:G3 E75:F76 F73 F74 F72"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codeName="Sheet5">
    <tabColor rgb="FF0000FF"/>
    <pageSetUpPr fitToPage="1"/>
  </sheetPr>
  <dimension ref="C3:DH81"/>
  <sheetViews>
    <sheetView showGridLines="0" view="pageBreakPreview" topLeftCell="A5" zoomScale="110" zoomScaleNormal="100" zoomScaleSheetLayoutView="110" workbookViewId="0">
      <selection activeCell="M32" sqref="M32"/>
    </sheetView>
  </sheetViews>
  <sheetFormatPr defaultColWidth="10.44140625" defaultRowHeight="13.2" x14ac:dyDescent="0.25"/>
  <cols>
    <col min="1" max="1" width="2.77734375" customWidth="1"/>
    <col min="2" max="2" width="3.77734375" customWidth="1"/>
    <col min="3" max="3" width="27.109375" style="12" customWidth="1"/>
    <col min="4" max="4" width="21.109375" customWidth="1"/>
    <col min="5" max="5" width="13.77734375" customWidth="1"/>
    <col min="6" max="6" width="37.44140625" customWidth="1"/>
    <col min="7" max="7" width="12.77734375" customWidth="1"/>
    <col min="8" max="8" width="14" style="962" customWidth="1"/>
    <col min="9" max="9" width="13.44140625" customWidth="1"/>
    <col min="10" max="10" width="13.109375" customWidth="1"/>
    <col min="11" max="11" width="13.44140625" customWidth="1"/>
    <col min="12" max="12" width="11.77734375" customWidth="1"/>
    <col min="13" max="13" width="15.44140625" customWidth="1"/>
    <col min="14" max="14" width="3.77734375" style="7" customWidth="1"/>
    <col min="15" max="15" width="22.77734375" style="7" customWidth="1"/>
    <col min="16" max="16" width="20.77734375" style="7" customWidth="1"/>
    <col min="17" max="17" width="14" style="7" customWidth="1"/>
    <col min="18" max="18" width="3.77734375" style="7" hidden="1" customWidth="1"/>
    <col min="19" max="19" width="23.44140625" style="7" hidden="1" customWidth="1"/>
    <col min="20" max="20" width="13.44140625" style="7" hidden="1" customWidth="1"/>
    <col min="21" max="21" width="14" style="7" hidden="1" customWidth="1"/>
    <col min="22" max="22" width="2.77734375" style="7" customWidth="1"/>
    <col min="23" max="112" width="10.44140625" style="7"/>
  </cols>
  <sheetData>
    <row r="3" spans="3:78" ht="19.5" customHeight="1" x14ac:dyDescent="0.35">
      <c r="C3" s="15" t="s">
        <v>4</v>
      </c>
      <c r="D3" s="6"/>
      <c r="E3" s="1"/>
      <c r="F3" s="1"/>
      <c r="G3" s="1"/>
      <c r="I3" s="1"/>
      <c r="J3" s="1"/>
      <c r="K3" s="1"/>
      <c r="L3" s="1"/>
      <c r="M3" s="1"/>
    </row>
    <row r="4" spans="3:78" ht="18" customHeight="1" x14ac:dyDescent="0.35">
      <c r="C4" s="15"/>
      <c r="D4" s="6"/>
      <c r="E4" s="1"/>
      <c r="F4" s="1"/>
      <c r="G4" s="1"/>
      <c r="I4" s="1"/>
      <c r="J4" s="1"/>
      <c r="K4" s="1"/>
      <c r="L4" s="7"/>
      <c r="M4" s="40">
        <f>projname</f>
        <v>0</v>
      </c>
    </row>
    <row r="5" spans="3:78" s="4" customFormat="1" ht="13.8" x14ac:dyDescent="0.25">
      <c r="H5" s="67"/>
      <c r="L5" s="9" t="s">
        <v>227</v>
      </c>
      <c r="M5" s="438">
        <f>GENERAL!D7</f>
        <v>0</v>
      </c>
      <c r="N5" s="43"/>
      <c r="O5" s="1323" t="s">
        <v>2152</v>
      </c>
      <c r="P5" s="43"/>
      <c r="Q5" s="43"/>
      <c r="R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row>
    <row r="6" spans="3:78" ht="13.2" customHeight="1" x14ac:dyDescent="0.25">
      <c r="P6" s="1322" t="s">
        <v>2650</v>
      </c>
      <c r="Q6" s="1322" t="s">
        <v>2651</v>
      </c>
    </row>
    <row r="7" spans="3:78" x14ac:dyDescent="0.25">
      <c r="C7" s="439" t="s">
        <v>688</v>
      </c>
      <c r="D7" s="440"/>
      <c r="E7" s="440"/>
      <c r="F7" s="440"/>
      <c r="G7" s="440"/>
      <c r="H7" s="1413"/>
      <c r="I7" s="440"/>
      <c r="J7" s="440"/>
      <c r="K7" s="440"/>
      <c r="L7" s="440"/>
      <c r="M7" s="440"/>
      <c r="N7" s="84"/>
      <c r="O7" s="85" t="s">
        <v>689</v>
      </c>
      <c r="P7" s="1343"/>
      <c r="Q7" s="1344"/>
    </row>
    <row r="8" spans="3:78" ht="6.45" customHeight="1" thickBot="1" x14ac:dyDescent="0.3"/>
    <row r="9" spans="3:78" ht="14.25" customHeight="1" thickTop="1" thickBot="1" x14ac:dyDescent="0.3">
      <c r="C9" s="11" t="s">
        <v>317</v>
      </c>
      <c r="O9" s="1933" t="s">
        <v>690</v>
      </c>
      <c r="P9" s="1934"/>
    </row>
    <row r="10" spans="3:78" ht="6.45" customHeight="1" thickTop="1" x14ac:dyDescent="0.25">
      <c r="O10" s="1522"/>
      <c r="P10" s="232"/>
    </row>
    <row r="11" spans="3:78" ht="55.2" x14ac:dyDescent="0.3">
      <c r="C11" s="441" t="s">
        <v>691</v>
      </c>
      <c r="D11" s="442"/>
      <c r="E11" s="443"/>
      <c r="F11" s="444" t="s">
        <v>692</v>
      </c>
      <c r="G11" s="445" t="s">
        <v>2166</v>
      </c>
      <c r="H11" s="446" t="s">
        <v>2000</v>
      </c>
      <c r="I11" s="446" t="s">
        <v>693</v>
      </c>
      <c r="J11" s="446" t="s">
        <v>2717</v>
      </c>
      <c r="K11" s="447" t="s">
        <v>2156</v>
      </c>
      <c r="L11" s="446" t="s">
        <v>2167</v>
      </c>
      <c r="M11" s="446" t="s">
        <v>697</v>
      </c>
      <c r="O11" s="1523" t="s">
        <v>2716</v>
      </c>
      <c r="P11" s="1520">
        <f>Q7+0.75%</f>
        <v>7.4999999999999997E-3</v>
      </c>
      <c r="Q11"/>
    </row>
    <row r="12" spans="3:78" ht="13.95" customHeight="1" x14ac:dyDescent="0.25">
      <c r="C12" s="448" t="s">
        <v>2632</v>
      </c>
      <c r="D12" s="449"/>
      <c r="E12" s="450"/>
      <c r="F12" s="457" t="s">
        <v>701</v>
      </c>
      <c r="G12" s="451" t="s">
        <v>699</v>
      </c>
      <c r="H12" s="1414"/>
      <c r="I12" s="1508">
        <f>IF(M12&gt;0,PMT(J12/12,K12*12,-M12,0)*12,0)</f>
        <v>0</v>
      </c>
      <c r="J12" s="453"/>
      <c r="K12" s="454"/>
      <c r="L12" s="454"/>
      <c r="M12" s="790"/>
      <c r="O12" s="1524" t="s">
        <v>2153</v>
      </c>
      <c r="P12" s="1324"/>
      <c r="Q12"/>
    </row>
    <row r="13" spans="3:78" x14ac:dyDescent="0.25">
      <c r="C13" s="448" t="s">
        <v>2155</v>
      </c>
      <c r="D13" s="455"/>
      <c r="E13" s="456"/>
      <c r="F13" s="461">
        <f>GENERAL!L12</f>
        <v>0</v>
      </c>
      <c r="G13" s="451" t="s">
        <v>699</v>
      </c>
      <c r="H13" s="1415"/>
      <c r="I13" s="1508">
        <f>IF(M13&gt;0,PMT(J13/12,K13*12,-M13,0)*12,0)</f>
        <v>0</v>
      </c>
      <c r="J13" s="453"/>
      <c r="K13" s="454"/>
      <c r="L13" s="454"/>
      <c r="M13" s="790"/>
      <c r="O13" s="1525" t="s">
        <v>700</v>
      </c>
      <c r="P13" s="1324"/>
      <c r="Q13"/>
    </row>
    <row r="14" spans="3:78" ht="13.95" customHeight="1" x14ac:dyDescent="0.25">
      <c r="C14" s="448" t="s">
        <v>523</v>
      </c>
      <c r="D14" s="449"/>
      <c r="E14" s="456"/>
      <c r="F14" s="457" t="s">
        <v>701</v>
      </c>
      <c r="G14" s="451" t="s">
        <v>699</v>
      </c>
      <c r="H14" s="1415"/>
      <c r="I14" s="1508">
        <f>IF(M14&gt;0,PMT(J14/12,K14*12,-M14,0)*12,0)</f>
        <v>0</v>
      </c>
      <c r="J14" s="453"/>
      <c r="K14" s="454"/>
      <c r="L14" s="454"/>
      <c r="M14" s="790"/>
      <c r="O14" s="1526" t="s">
        <v>693</v>
      </c>
      <c r="P14" s="1325">
        <f>IFERROR(-PMT(P11/12,P12*12,P13)*12,0)</f>
        <v>0</v>
      </c>
      <c r="Q14"/>
    </row>
    <row r="15" spans="3:78" ht="13.95" customHeight="1" thickBot="1" x14ac:dyDescent="0.35">
      <c r="C15" s="1329" t="s">
        <v>2652</v>
      </c>
      <c r="D15" s="455"/>
      <c r="E15" s="811"/>
      <c r="F15" s="457" t="s">
        <v>701</v>
      </c>
      <c r="G15" s="1509"/>
      <c r="H15" s="1510"/>
      <c r="I15" s="1508">
        <f>P18</f>
        <v>0</v>
      </c>
      <c r="J15" s="1511"/>
      <c r="K15" s="1512"/>
      <c r="L15" s="1512"/>
      <c r="M15" s="1513"/>
      <c r="O15" s="1938" t="s">
        <v>702</v>
      </c>
      <c r="P15" s="1939"/>
      <c r="Q15"/>
    </row>
    <row r="16" spans="3:78" ht="13.95" customHeight="1" thickBot="1" x14ac:dyDescent="0.3">
      <c r="C16" s="448" t="s">
        <v>2173</v>
      </c>
      <c r="D16" s="813" t="s">
        <v>2174</v>
      </c>
      <c r="E16" s="787"/>
      <c r="F16" s="810" t="s">
        <v>705</v>
      </c>
      <c r="G16" s="451" t="s">
        <v>699</v>
      </c>
      <c r="H16" s="1414"/>
      <c r="I16" s="1508">
        <f>IF(M16&gt;0,PMT(J16/12,K16*12,-M16,0)*12,0)</f>
        <v>0</v>
      </c>
      <c r="J16" s="453"/>
      <c r="K16" s="454"/>
      <c r="L16" s="454"/>
      <c r="M16" s="790"/>
      <c r="O16" s="1526" t="s">
        <v>698</v>
      </c>
      <c r="P16" s="1327"/>
    </row>
    <row r="17" spans="3:20" ht="13.95" customHeight="1" x14ac:dyDescent="0.25">
      <c r="C17" s="448" t="s">
        <v>2159</v>
      </c>
      <c r="D17" s="449"/>
      <c r="E17" s="812" t="s">
        <v>704</v>
      </c>
      <c r="F17" s="461" t="s">
        <v>705</v>
      </c>
      <c r="G17" s="451" t="s">
        <v>699</v>
      </c>
      <c r="H17" s="1414"/>
      <c r="I17" s="1508">
        <f>IF(M17&gt;0,PMT(J17/12,K17*12,-M17,0)*12,0)</f>
        <v>0</v>
      </c>
      <c r="J17" s="453"/>
      <c r="K17" s="454"/>
      <c r="L17" s="454"/>
      <c r="M17" s="790"/>
      <c r="O17" s="1526" t="s">
        <v>706</v>
      </c>
      <c r="P17" s="1325">
        <f>P13</f>
        <v>0</v>
      </c>
    </row>
    <row r="18" spans="3:20" ht="13.95" customHeight="1" thickBot="1" x14ac:dyDescent="0.3">
      <c r="C18" s="448" t="s">
        <v>707</v>
      </c>
      <c r="D18" s="1517"/>
      <c r="E18" s="462" t="s">
        <v>704</v>
      </c>
      <c r="F18" s="457" t="s">
        <v>701</v>
      </c>
      <c r="G18" s="451" t="s">
        <v>699</v>
      </c>
      <c r="H18" s="1414"/>
      <c r="I18" s="1508">
        <f>IF(M18&gt;0,PMT(J18/12,K18*12,-M18,0)*12,0)</f>
        <v>0</v>
      </c>
      <c r="J18" s="453"/>
      <c r="K18" s="454"/>
      <c r="L18" s="454"/>
      <c r="M18" s="790"/>
      <c r="O18" s="1526" t="s">
        <v>708</v>
      </c>
      <c r="P18" s="1328">
        <f>IFERROR(P16*P17,0)</f>
        <v>0</v>
      </c>
    </row>
    <row r="19" spans="3:20" ht="13.95" customHeight="1" thickTop="1" thickBot="1" x14ac:dyDescent="0.3">
      <c r="C19" s="448" t="s">
        <v>2158</v>
      </c>
      <c r="D19" s="787"/>
      <c r="E19" s="789"/>
      <c r="F19" s="457" t="s">
        <v>701</v>
      </c>
      <c r="G19" s="451" t="s">
        <v>699</v>
      </c>
      <c r="H19" s="1414"/>
      <c r="I19" s="1508">
        <f>IF(M19&gt;0,PMT(J19/12,K19*12,-M19,0)*12,0)</f>
        <v>0</v>
      </c>
      <c r="J19" s="453"/>
      <c r="K19" s="454"/>
      <c r="L19" s="454"/>
      <c r="M19" s="790"/>
      <c r="O19" s="1942" t="s">
        <v>709</v>
      </c>
      <c r="P19" s="1943"/>
    </row>
    <row r="20" spans="3:20" ht="13.95" customHeight="1" thickBot="1" x14ac:dyDescent="0.3">
      <c r="C20" s="448" t="s">
        <v>2158</v>
      </c>
      <c r="D20" s="787"/>
      <c r="E20" s="789"/>
      <c r="F20" s="457" t="s">
        <v>701</v>
      </c>
      <c r="G20" s="451" t="s">
        <v>699</v>
      </c>
      <c r="H20" s="1414"/>
      <c r="I20" s="1508">
        <f>IF(M20&gt;0,PMT(J20/12,K20*12,-M20,0)*12,0)</f>
        <v>0</v>
      </c>
      <c r="J20" s="453"/>
      <c r="K20" s="454"/>
      <c r="L20" s="454"/>
      <c r="M20" s="790"/>
      <c r="O20" s="1525" t="s">
        <v>698</v>
      </c>
      <c r="P20" s="1327"/>
    </row>
    <row r="21" spans="3:20" ht="13.95" customHeight="1" x14ac:dyDescent="0.25">
      <c r="C21" s="11" t="s">
        <v>710</v>
      </c>
      <c r="I21" s="1507">
        <f>SUM(I12:I20)</f>
        <v>0</v>
      </c>
      <c r="K21" s="7"/>
      <c r="M21" s="1507">
        <f>+SUM(M12:M20)</f>
        <v>0</v>
      </c>
      <c r="O21" s="1525" t="s">
        <v>2153</v>
      </c>
      <c r="P21" s="1521">
        <v>0</v>
      </c>
    </row>
    <row r="22" spans="3:20" ht="13.95" customHeight="1" x14ac:dyDescent="0.25">
      <c r="C22" s="11"/>
      <c r="I22" s="241"/>
      <c r="M22" s="241"/>
      <c r="O22" s="1525" t="s">
        <v>2154</v>
      </c>
      <c r="P22" s="1521">
        <v>0</v>
      </c>
    </row>
    <row r="23" spans="3:20" ht="13.95" customHeight="1" thickBot="1" x14ac:dyDescent="0.3">
      <c r="L23" s="3" t="s">
        <v>2007</v>
      </c>
      <c r="M23" s="1807">
        <v>0</v>
      </c>
      <c r="O23" s="1527" t="s">
        <v>693</v>
      </c>
      <c r="P23" s="1326">
        <f>IFERROR(-PMT(P20/12,P21*12,P22)*12,0)</f>
        <v>0</v>
      </c>
    </row>
    <row r="24" spans="3:20" ht="13.95" customHeight="1" thickBot="1" x14ac:dyDescent="0.3">
      <c r="L24" s="302" t="s">
        <v>711</v>
      </c>
      <c r="M24" s="1807">
        <f>'TAX CREDIT'!N169</f>
        <v>0</v>
      </c>
      <c r="O24" s="1518" t="s">
        <v>712</v>
      </c>
      <c r="P24" s="1519">
        <f>P14+P18+P23</f>
        <v>0</v>
      </c>
      <c r="R24"/>
      <c r="T24"/>
    </row>
    <row r="25" spans="3:20" ht="13.95" customHeight="1" x14ac:dyDescent="0.25">
      <c r="L25" s="3" t="s">
        <v>2157</v>
      </c>
      <c r="M25" s="1808">
        <f>'TAX CREDIT'!N167</f>
        <v>0</v>
      </c>
      <c r="N25" s="24"/>
      <c r="O25" s="29"/>
      <c r="P25"/>
      <c r="Q25" s="793"/>
    </row>
    <row r="26" spans="3:20" ht="13.95" customHeight="1" x14ac:dyDescent="0.25">
      <c r="H26" s="3"/>
      <c r="I26" s="241"/>
      <c r="L26" s="3" t="s">
        <v>2699</v>
      </c>
      <c r="M26" s="1808">
        <f>'TAX CREDIT'!L167</f>
        <v>0</v>
      </c>
      <c r="N26" s="24"/>
      <c r="O26" s="29"/>
      <c r="P26"/>
      <c r="Q26" s="793"/>
    </row>
    <row r="27" spans="3:20" ht="41.25" customHeight="1" thickBot="1" x14ac:dyDescent="0.3">
      <c r="C27" s="11" t="s">
        <v>302</v>
      </c>
    </row>
    <row r="28" spans="3:20" ht="42" thickBot="1" x14ac:dyDescent="0.35">
      <c r="C28" s="441" t="s">
        <v>691</v>
      </c>
      <c r="D28" s="442"/>
      <c r="E28" s="442"/>
      <c r="F28" s="444" t="s">
        <v>692</v>
      </c>
      <c r="G28" s="445" t="s">
        <v>2166</v>
      </c>
      <c r="H28" s="1140" t="s">
        <v>2168</v>
      </c>
      <c r="I28" s="446" t="s">
        <v>693</v>
      </c>
      <c r="J28" s="446" t="s">
        <v>2718</v>
      </c>
      <c r="K28" s="447" t="s">
        <v>2156</v>
      </c>
      <c r="L28" s="446" t="s">
        <v>2167</v>
      </c>
      <c r="M28" s="446" t="s">
        <v>697</v>
      </c>
      <c r="O28" s="1944" t="s">
        <v>2175</v>
      </c>
      <c r="P28" s="1945"/>
      <c r="S28" s="43"/>
    </row>
    <row r="29" spans="3:20" ht="13.95" customHeight="1" thickBot="1" x14ac:dyDescent="0.3">
      <c r="C29" s="448" t="s">
        <v>703</v>
      </c>
      <c r="D29" s="466"/>
      <c r="E29" s="466"/>
      <c r="F29" s="461" t="s">
        <v>705</v>
      </c>
      <c r="G29" s="464" t="s">
        <v>699</v>
      </c>
      <c r="H29" s="800"/>
      <c r="I29" s="1514">
        <f>IFERROR(-PMT(J29/12,K29*12,M29,0)*12,0)</f>
        <v>0</v>
      </c>
      <c r="J29" s="474"/>
      <c r="K29" s="459"/>
      <c r="L29" s="459"/>
      <c r="M29" s="465"/>
      <c r="O29" s="678">
        <f>IF(((INCOME!F41+INCOME!F59)&lt;=50),2500000)</f>
        <v>2500000</v>
      </c>
      <c r="P29" s="679" t="s">
        <v>2001</v>
      </c>
    </row>
    <row r="30" spans="3:20" ht="13.95" customHeight="1" thickBot="1" x14ac:dyDescent="0.3">
      <c r="C30" s="458" t="s">
        <v>531</v>
      </c>
      <c r="D30" s="466"/>
      <c r="E30" s="466"/>
      <c r="F30" s="461" t="s">
        <v>705</v>
      </c>
      <c r="G30" s="464" t="s">
        <v>699</v>
      </c>
      <c r="H30" s="800"/>
      <c r="I30" s="1514">
        <f>IFERROR(-PMT(J30/12,K30*12,M30,0)*12,0)</f>
        <v>0</v>
      </c>
      <c r="J30" s="474"/>
      <c r="K30" s="459"/>
      <c r="L30" s="459"/>
      <c r="M30" s="465"/>
      <c r="O30" s="680">
        <f>IF((INCOME!F41+INCOME!F59)&gt;50,(MIN((((INCOME!F41+INCOME!F59)-50)*50000+2500000),(3500000))),0)</f>
        <v>0</v>
      </c>
      <c r="P30" s="681" t="s">
        <v>2002</v>
      </c>
    </row>
    <row r="31" spans="3:20" ht="13.95" customHeight="1" thickBot="1" x14ac:dyDescent="0.3">
      <c r="C31" s="458" t="s">
        <v>467</v>
      </c>
      <c r="D31" s="466"/>
      <c r="E31" s="466"/>
      <c r="F31" s="461" t="s">
        <v>705</v>
      </c>
      <c r="G31" s="464" t="s">
        <v>699</v>
      </c>
      <c r="H31" s="800"/>
      <c r="I31" s="1514">
        <f>IFERROR(-PMT(J31/12,K31*12,M31,0)*12,0)</f>
        <v>0</v>
      </c>
      <c r="J31" s="474"/>
      <c r="K31" s="459"/>
      <c r="L31" s="459"/>
      <c r="M31" s="467"/>
      <c r="O31" s="308"/>
      <c r="Q31" s="122"/>
    </row>
    <row r="32" spans="3:20" ht="13.95" customHeight="1" thickBot="1" x14ac:dyDescent="0.3">
      <c r="C32" s="448" t="s">
        <v>2180</v>
      </c>
      <c r="D32" s="449"/>
      <c r="E32" s="449"/>
      <c r="F32" s="461" t="s">
        <v>705</v>
      </c>
      <c r="G32" s="464" t="s">
        <v>699</v>
      </c>
      <c r="H32" s="800"/>
      <c r="I32" s="1514">
        <f>IFERROR(-PMT(J32/12,K32*12,M32,0)*12,0)</f>
        <v>0</v>
      </c>
      <c r="J32" s="474"/>
      <c r="K32" s="459"/>
      <c r="L32" s="459"/>
      <c r="M32" s="467"/>
      <c r="O32" s="1944" t="s">
        <v>2176</v>
      </c>
      <c r="P32" s="1945"/>
      <c r="Q32" s="32"/>
    </row>
    <row r="33" spans="3:19" ht="13.95" customHeight="1" thickBot="1" x14ac:dyDescent="0.3">
      <c r="C33" s="448" t="s">
        <v>2179</v>
      </c>
      <c r="D33" s="466"/>
      <c r="E33" s="466"/>
      <c r="F33" s="461" t="s">
        <v>705</v>
      </c>
      <c r="G33" s="464" t="s">
        <v>699</v>
      </c>
      <c r="H33" s="800"/>
      <c r="I33" s="1514">
        <f>IFERROR(-PMT(J33/12,K33*12,M33,0)*12,0)</f>
        <v>0</v>
      </c>
      <c r="J33" s="474"/>
      <c r="K33" s="459"/>
      <c r="L33" s="459"/>
      <c r="M33" s="467"/>
      <c r="O33" s="794">
        <v>2500000</v>
      </c>
      <c r="P33" s="795"/>
      <c r="Q33" s="32"/>
      <c r="S33" s="52"/>
    </row>
    <row r="34" spans="3:19" ht="13.95" customHeight="1" x14ac:dyDescent="0.3">
      <c r="C34" s="448" t="s">
        <v>713</v>
      </c>
      <c r="D34" s="449"/>
      <c r="E34" s="450"/>
      <c r="F34" s="461" t="s">
        <v>705</v>
      </c>
      <c r="G34" s="464" t="s">
        <v>699</v>
      </c>
      <c r="H34" s="1416"/>
      <c r="I34" s="1940"/>
      <c r="J34" s="1941"/>
      <c r="K34" s="1941"/>
      <c r="L34" s="470"/>
      <c r="M34" s="467"/>
      <c r="O34" s="796"/>
      <c r="P34" s="797"/>
      <c r="Q34" s="32"/>
    </row>
    <row r="35" spans="3:19" ht="13.95" customHeight="1" thickBot="1" x14ac:dyDescent="0.3">
      <c r="C35" s="448" t="s">
        <v>714</v>
      </c>
      <c r="D35" s="449"/>
      <c r="E35" s="449"/>
      <c r="F35" s="461" t="s">
        <v>705</v>
      </c>
      <c r="G35" s="464" t="s">
        <v>699</v>
      </c>
      <c r="H35" s="798"/>
      <c r="I35" s="1940"/>
      <c r="J35" s="1941"/>
      <c r="K35" s="1941"/>
      <c r="L35" s="470"/>
      <c r="M35" s="467"/>
      <c r="O35" s="279"/>
      <c r="P35" s="792"/>
      <c r="Q35" s="32"/>
      <c r="S35" s="43"/>
    </row>
    <row r="36" spans="3:19" ht="13.95" customHeight="1" thickBot="1" x14ac:dyDescent="0.3">
      <c r="C36" s="458" t="s">
        <v>715</v>
      </c>
      <c r="D36" s="471"/>
      <c r="E36" s="471"/>
      <c r="F36" s="461" t="s">
        <v>705</v>
      </c>
      <c r="G36" s="464" t="s">
        <v>699</v>
      </c>
      <c r="H36" s="798"/>
      <c r="I36" s="468"/>
      <c r="J36" s="469"/>
      <c r="K36" s="469"/>
      <c r="L36" s="470"/>
      <c r="M36" s="467"/>
      <c r="O36" s="1944" t="s">
        <v>2177</v>
      </c>
      <c r="P36" s="1945"/>
      <c r="S36" s="7" t="s">
        <v>2171</v>
      </c>
    </row>
    <row r="37" spans="3:19" ht="13.95" customHeight="1" thickBot="1" x14ac:dyDescent="0.3">
      <c r="C37" s="472" t="s">
        <v>2165</v>
      </c>
      <c r="D37" s="787"/>
      <c r="E37" s="473"/>
      <c r="F37" s="461" t="s">
        <v>705</v>
      </c>
      <c r="G37" s="464" t="s">
        <v>699</v>
      </c>
      <c r="H37" s="798"/>
      <c r="I37" s="468"/>
      <c r="J37" s="469"/>
      <c r="K37" s="469"/>
      <c r="L37" s="470"/>
      <c r="M37" s="467"/>
      <c r="O37" s="678">
        <v>75000</v>
      </c>
      <c r="P37" s="679" t="s">
        <v>2163</v>
      </c>
      <c r="S37" s="7" t="s">
        <v>2172</v>
      </c>
    </row>
    <row r="38" spans="3:19" ht="13.95" customHeight="1" thickBot="1" x14ac:dyDescent="0.3">
      <c r="C38" s="472" t="s">
        <v>2165</v>
      </c>
      <c r="D38" s="787"/>
      <c r="E38" s="471"/>
      <c r="F38" s="461" t="s">
        <v>705</v>
      </c>
      <c r="G38" s="464" t="s">
        <v>699</v>
      </c>
      <c r="H38" s="798"/>
      <c r="I38" s="468"/>
      <c r="J38" s="469"/>
      <c r="K38" s="469"/>
      <c r="L38" s="470"/>
      <c r="M38" s="467"/>
      <c r="O38" s="680">
        <v>2500000</v>
      </c>
      <c r="P38" s="795" t="s">
        <v>2164</v>
      </c>
      <c r="S38" s="7" t="s">
        <v>2181</v>
      </c>
    </row>
    <row r="39" spans="3:19" ht="13.95" customHeight="1" thickBot="1" x14ac:dyDescent="0.3">
      <c r="C39" s="448" t="s">
        <v>707</v>
      </c>
      <c r="D39" s="1567"/>
      <c r="E39" s="473"/>
      <c r="F39" s="457" t="s">
        <v>701</v>
      </c>
      <c r="G39" s="464" t="s">
        <v>699</v>
      </c>
      <c r="H39" s="798"/>
      <c r="I39" s="452"/>
      <c r="J39" s="474"/>
      <c r="K39" s="454"/>
      <c r="L39" s="454"/>
      <c r="M39" s="467"/>
      <c r="S39" s="7" t="s">
        <v>2169</v>
      </c>
    </row>
    <row r="40" spans="3:19" ht="13.95" customHeight="1" thickBot="1" x14ac:dyDescent="0.3">
      <c r="C40" s="448" t="s">
        <v>539</v>
      </c>
      <c r="D40" s="7"/>
      <c r="F40" s="457" t="s">
        <v>701</v>
      </c>
      <c r="G40" s="464" t="s">
        <v>699</v>
      </c>
      <c r="H40" s="798"/>
      <c r="I40" s="452"/>
      <c r="J40" s="474"/>
      <c r="K40" s="454"/>
      <c r="L40" s="454"/>
      <c r="M40" s="467"/>
      <c r="O40" s="1944" t="s">
        <v>2178</v>
      </c>
      <c r="P40" s="1945"/>
      <c r="S40" s="7" t="s">
        <v>2170</v>
      </c>
    </row>
    <row r="41" spans="3:19" ht="13.95" customHeight="1" thickBot="1" x14ac:dyDescent="0.3">
      <c r="C41" s="472" t="s">
        <v>2165</v>
      </c>
      <c r="D41" s="787"/>
      <c r="E41" s="475"/>
      <c r="F41" s="457" t="s">
        <v>701</v>
      </c>
      <c r="G41" s="464" t="s">
        <v>699</v>
      </c>
      <c r="H41" s="798"/>
      <c r="I41" s="452"/>
      <c r="J41" s="474"/>
      <c r="K41" s="454"/>
      <c r="L41" s="454"/>
      <c r="M41" s="467"/>
      <c r="O41" s="678" t="s">
        <v>2160</v>
      </c>
      <c r="P41" s="679"/>
    </row>
    <row r="42" spans="3:19" ht="13.95" customHeight="1" thickBot="1" x14ac:dyDescent="0.3">
      <c r="C42" s="472" t="s">
        <v>2165</v>
      </c>
      <c r="D42" s="787"/>
      <c r="E42" s="475"/>
      <c r="F42" s="457" t="s">
        <v>701</v>
      </c>
      <c r="G42" s="464" t="s">
        <v>699</v>
      </c>
      <c r="H42" s="798"/>
      <c r="I42" s="460"/>
      <c r="J42" s="474"/>
      <c r="K42" s="454"/>
      <c r="L42" s="454"/>
      <c r="M42" s="467"/>
      <c r="O42" s="680" t="s">
        <v>2161</v>
      </c>
      <c r="P42" s="795" t="s">
        <v>2162</v>
      </c>
    </row>
    <row r="43" spans="3:19" ht="13.95" customHeight="1" thickBot="1" x14ac:dyDescent="0.3">
      <c r="C43" s="472" t="s">
        <v>2165</v>
      </c>
      <c r="D43" s="787"/>
      <c r="E43" s="475"/>
      <c r="F43" s="457" t="s">
        <v>701</v>
      </c>
      <c r="G43" s="464" t="s">
        <v>699</v>
      </c>
      <c r="H43" s="798"/>
      <c r="I43" s="460"/>
      <c r="J43" s="474"/>
      <c r="K43" s="459"/>
      <c r="L43" s="454"/>
      <c r="M43" s="467"/>
    </row>
    <row r="44" spans="3:19" ht="13.95" customHeight="1" thickBot="1" x14ac:dyDescent="0.3">
      <c r="C44" s="472" t="s">
        <v>2165</v>
      </c>
      <c r="D44" s="787"/>
      <c r="E44" s="475"/>
      <c r="F44" s="457" t="s">
        <v>701</v>
      </c>
      <c r="G44" s="464" t="s">
        <v>699</v>
      </c>
      <c r="H44" s="798"/>
      <c r="I44" s="460"/>
      <c r="J44" s="474"/>
      <c r="K44" s="459"/>
      <c r="L44" s="454"/>
      <c r="M44" s="467"/>
    </row>
    <row r="45" spans="3:19" ht="13.95" customHeight="1" thickBot="1" x14ac:dyDescent="0.3">
      <c r="C45" s="472" t="s">
        <v>2165</v>
      </c>
      <c r="D45" s="787"/>
      <c r="E45" s="475"/>
      <c r="F45" s="457" t="s">
        <v>701</v>
      </c>
      <c r="G45" s="464" t="s">
        <v>699</v>
      </c>
      <c r="H45" s="798"/>
      <c r="I45" s="452"/>
      <c r="J45" s="474"/>
      <c r="K45" s="454"/>
      <c r="L45" s="454"/>
      <c r="M45" s="467"/>
    </row>
    <row r="46" spans="3:19" ht="13.95" customHeight="1" thickBot="1" x14ac:dyDescent="0.3">
      <c r="C46" s="472" t="s">
        <v>2165</v>
      </c>
      <c r="D46" s="787"/>
      <c r="E46" s="475"/>
      <c r="F46" s="457" t="s">
        <v>701</v>
      </c>
      <c r="G46" s="464" t="s">
        <v>699</v>
      </c>
      <c r="H46" s="798"/>
      <c r="I46" s="452"/>
      <c r="J46" s="474"/>
      <c r="K46" s="454"/>
      <c r="L46" s="454"/>
      <c r="M46" s="467"/>
    </row>
    <row r="47" spans="3:19" ht="13.95" customHeight="1" thickBot="1" x14ac:dyDescent="0.3">
      <c r="C47" s="472" t="s">
        <v>2165</v>
      </c>
      <c r="D47" s="787"/>
      <c r="E47" s="475"/>
      <c r="F47" s="457" t="s">
        <v>701</v>
      </c>
      <c r="G47" s="464" t="s">
        <v>699</v>
      </c>
      <c r="H47" s="799"/>
      <c r="I47" s="460"/>
      <c r="J47" s="474"/>
      <c r="K47" s="459"/>
      <c r="L47" s="454"/>
      <c r="M47" s="467"/>
    </row>
    <row r="48" spans="3:19" ht="13.95" customHeight="1" thickBot="1" x14ac:dyDescent="0.3">
      <c r="C48" s="472" t="s">
        <v>2165</v>
      </c>
      <c r="D48" s="787"/>
      <c r="E48" s="475"/>
      <c r="F48" s="457" t="s">
        <v>701</v>
      </c>
      <c r="G48" s="464" t="s">
        <v>699</v>
      </c>
      <c r="H48" s="799"/>
      <c r="I48" s="460"/>
      <c r="J48" s="474"/>
      <c r="K48" s="459"/>
      <c r="L48" s="454"/>
      <c r="M48" s="467"/>
    </row>
    <row r="49" spans="3:16" ht="13.95" customHeight="1" thickBot="1" x14ac:dyDescent="0.3">
      <c r="C49" s="472" t="s">
        <v>2165</v>
      </c>
      <c r="D49" s="787"/>
      <c r="E49" s="475"/>
      <c r="F49" s="457" t="s">
        <v>701</v>
      </c>
      <c r="G49" s="464" t="s">
        <v>699</v>
      </c>
      <c r="H49" s="799"/>
      <c r="I49" s="460"/>
      <c r="J49" s="474"/>
      <c r="K49" s="459"/>
      <c r="L49" s="454"/>
      <c r="M49" s="467"/>
    </row>
    <row r="50" spans="3:16" ht="13.95" customHeight="1" thickBot="1" x14ac:dyDescent="0.3">
      <c r="C50" s="472" t="s">
        <v>2165</v>
      </c>
      <c r="D50" s="787"/>
      <c r="E50" s="475"/>
      <c r="F50" s="457" t="s">
        <v>701</v>
      </c>
      <c r="G50" s="464" t="s">
        <v>699</v>
      </c>
      <c r="H50" s="799"/>
      <c r="I50" s="460"/>
      <c r="J50" s="474"/>
      <c r="K50" s="459"/>
      <c r="L50" s="454"/>
      <c r="M50" s="467"/>
    </row>
    <row r="51" spans="3:16" ht="13.95" customHeight="1" thickBot="1" x14ac:dyDescent="0.3">
      <c r="C51" s="472" t="s">
        <v>2165</v>
      </c>
      <c r="D51" s="787"/>
      <c r="E51" s="475"/>
      <c r="F51" s="457" t="s">
        <v>701</v>
      </c>
      <c r="G51" s="464" t="s">
        <v>699</v>
      </c>
      <c r="H51" s="799"/>
      <c r="I51" s="460"/>
      <c r="J51" s="474"/>
      <c r="K51" s="459"/>
      <c r="L51" s="454"/>
      <c r="M51" s="467"/>
    </row>
    <row r="52" spans="3:16" ht="13.95" customHeight="1" x14ac:dyDescent="0.25">
      <c r="C52" s="11" t="s">
        <v>716</v>
      </c>
      <c r="I52" s="1515">
        <f>+SUM(I29:I33)+SUM(I39:I51)</f>
        <v>0</v>
      </c>
      <c r="M52" s="1515">
        <f>SUM(M29:M51)</f>
        <v>0</v>
      </c>
    </row>
    <row r="53" spans="3:16" ht="13.95" customHeight="1" x14ac:dyDescent="0.3">
      <c r="C53" s="11" t="s">
        <v>717</v>
      </c>
      <c r="I53" s="1515">
        <f>I21+I52</f>
        <v>0</v>
      </c>
      <c r="M53" s="1515">
        <f>M21+M52</f>
        <v>0</v>
      </c>
    </row>
    <row r="54" spans="3:16" ht="13.95" customHeight="1" x14ac:dyDescent="0.25">
      <c r="P54" s="229"/>
    </row>
    <row r="55" spans="3:16" ht="13.95" customHeight="1" x14ac:dyDescent="0.25">
      <c r="C55" s="439" t="s">
        <v>718</v>
      </c>
      <c r="D55" s="440"/>
      <c r="E55" s="440"/>
      <c r="F55" s="440"/>
      <c r="G55" s="440"/>
      <c r="H55" s="1413"/>
      <c r="I55" s="440"/>
      <c r="J55" s="440"/>
      <c r="K55" s="440"/>
      <c r="L55" s="440"/>
      <c r="M55" s="440"/>
    </row>
    <row r="57" spans="3:16" ht="12.75" customHeight="1" x14ac:dyDescent="0.3">
      <c r="C57" s="441" t="s">
        <v>719</v>
      </c>
      <c r="D57" s="442"/>
      <c r="E57" s="442"/>
      <c r="F57" s="442"/>
      <c r="G57" s="1516" t="s">
        <v>720</v>
      </c>
      <c r="H57" s="1412"/>
      <c r="I57" s="442"/>
      <c r="J57" s="476"/>
      <c r="K57" s="477"/>
      <c r="L57" s="478"/>
      <c r="M57" s="479" t="s">
        <v>706</v>
      </c>
    </row>
    <row r="58" spans="3:16" ht="12.75" customHeight="1" x14ac:dyDescent="0.25">
      <c r="C58" s="448" t="s">
        <v>721</v>
      </c>
      <c r="D58" s="449"/>
      <c r="E58" s="449"/>
      <c r="F58" s="449"/>
      <c r="G58" s="461">
        <f>'DEV TEAM'!E256</f>
        <v>0</v>
      </c>
      <c r="H58" s="1417"/>
      <c r="I58" s="463"/>
      <c r="J58" s="270"/>
      <c r="K58" s="271"/>
      <c r="L58" s="272"/>
      <c r="M58" s="480">
        <f>'TAX CREDIT'!G228</f>
        <v>0</v>
      </c>
    </row>
    <row r="59" spans="3:16" ht="13.95" customHeight="1" x14ac:dyDescent="0.25">
      <c r="C59" s="448" t="s">
        <v>722</v>
      </c>
      <c r="D59" s="466"/>
      <c r="E59" s="466"/>
      <c r="F59" s="466"/>
      <c r="G59" s="461">
        <f>'DEV TEAM'!E263</f>
        <v>0</v>
      </c>
      <c r="H59" s="1417"/>
      <c r="I59" s="463"/>
      <c r="J59" s="270"/>
      <c r="K59" s="271"/>
      <c r="L59" s="272"/>
      <c r="M59" s="480">
        <f>'TAX CREDIT'!H228</f>
        <v>0</v>
      </c>
    </row>
    <row r="60" spans="3:16" ht="13.95" customHeight="1" x14ac:dyDescent="0.25">
      <c r="C60" s="448" t="s">
        <v>723</v>
      </c>
      <c r="D60" s="449"/>
      <c r="E60" s="449"/>
      <c r="F60" s="449"/>
      <c r="G60" s="461">
        <f>'DEV TEAM'!E249</f>
        <v>0</v>
      </c>
      <c r="H60" s="1417"/>
      <c r="I60" s="463"/>
      <c r="J60" s="481"/>
      <c r="K60" s="271"/>
      <c r="L60" s="272"/>
      <c r="M60" s="480" t="str">
        <f>IF(GEN_AppType="Non-LIHTC Project", "", 'TAX CREDIT'!J185)</f>
        <v/>
      </c>
      <c r="O60" s="17"/>
    </row>
    <row r="61" spans="3:16" ht="13.95" customHeight="1" x14ac:dyDescent="0.25">
      <c r="C61" s="448" t="s">
        <v>384</v>
      </c>
      <c r="D61" s="449"/>
      <c r="E61" s="482"/>
      <c r="F61" s="449"/>
      <c r="G61" s="481"/>
      <c r="H61" s="1418"/>
      <c r="I61" s="470"/>
      <c r="J61" s="1935" t="e">
        <f>M61/(USES!J135)</f>
        <v>#DIV/0!</v>
      </c>
      <c r="K61" s="1936"/>
      <c r="L61" s="1937"/>
      <c r="M61" s="467"/>
      <c r="O61" s="17"/>
    </row>
    <row r="62" spans="3:16" ht="13.95" customHeight="1" x14ac:dyDescent="0.25">
      <c r="C62" s="448" t="s">
        <v>2758</v>
      </c>
      <c r="D62" s="449"/>
      <c r="E62" s="1704" t="s">
        <v>2759</v>
      </c>
      <c r="F62" s="449"/>
      <c r="G62" s="481"/>
      <c r="H62" s="1418"/>
      <c r="I62" s="470"/>
      <c r="J62" s="270"/>
      <c r="K62" s="271"/>
      <c r="L62" s="272"/>
      <c r="M62" s="467"/>
      <c r="N62" s="86"/>
      <c r="O62" s="17"/>
    </row>
    <row r="63" spans="3:16" ht="13.95" customHeight="1" thickBot="1" x14ac:dyDescent="0.3">
      <c r="C63" s="448" t="s">
        <v>2760</v>
      </c>
      <c r="D63" s="449"/>
      <c r="E63" s="1704" t="s">
        <v>2761</v>
      </c>
      <c r="F63" s="449"/>
      <c r="G63" s="481" t="s">
        <v>724</v>
      </c>
      <c r="H63" s="1418"/>
      <c r="I63" s="470"/>
      <c r="J63" s="270"/>
      <c r="K63" s="271"/>
      <c r="L63" s="272"/>
      <c r="M63" s="467"/>
    </row>
    <row r="64" spans="3:16" ht="13.95" customHeight="1" thickBot="1" x14ac:dyDescent="0.3">
      <c r="C64" s="448" t="s">
        <v>30</v>
      </c>
      <c r="D64" s="1706" t="s">
        <v>2562</v>
      </c>
      <c r="E64" s="475"/>
      <c r="F64" s="475"/>
      <c r="G64" s="457" t="s">
        <v>2790</v>
      </c>
      <c r="H64" s="1419"/>
      <c r="I64" s="463"/>
      <c r="J64" s="270"/>
      <c r="K64" s="271"/>
      <c r="L64" s="272"/>
      <c r="M64" s="467"/>
    </row>
    <row r="65" spans="3:13" ht="15" customHeight="1" thickBot="1" x14ac:dyDescent="0.3">
      <c r="C65" s="448" t="s">
        <v>30</v>
      </c>
      <c r="D65" s="1706" t="s">
        <v>2756</v>
      </c>
      <c r="E65" s="1705" t="s">
        <v>2755</v>
      </c>
      <c r="F65" s="475"/>
      <c r="G65" s="457" t="s">
        <v>2790</v>
      </c>
      <c r="H65" s="1419"/>
      <c r="I65" s="463"/>
      <c r="J65" s="270"/>
      <c r="K65" s="271"/>
      <c r="L65" s="272"/>
      <c r="M65" s="467"/>
    </row>
    <row r="66" spans="3:13" ht="13.95" customHeight="1" thickBot="1" x14ac:dyDescent="0.3">
      <c r="C66" s="448" t="s">
        <v>30</v>
      </c>
      <c r="D66" s="1706" t="s">
        <v>2757</v>
      </c>
      <c r="E66" s="475"/>
      <c r="F66" s="475"/>
      <c r="G66" s="457" t="s">
        <v>2790</v>
      </c>
      <c r="H66" s="1419"/>
      <c r="I66" s="463"/>
      <c r="J66" s="270"/>
      <c r="K66" s="271"/>
      <c r="L66" s="272"/>
      <c r="M66" s="467"/>
    </row>
    <row r="67" spans="3:13" ht="13.95" customHeight="1" thickBot="1" x14ac:dyDescent="0.3">
      <c r="C67" s="472" t="s">
        <v>2165</v>
      </c>
      <c r="D67" s="787"/>
      <c r="E67" s="475"/>
      <c r="F67" s="475"/>
      <c r="G67" s="457" t="s">
        <v>2790</v>
      </c>
      <c r="H67" s="1419"/>
      <c r="I67" s="463"/>
      <c r="J67" s="270"/>
      <c r="K67" s="271"/>
      <c r="L67" s="272"/>
      <c r="M67" s="467"/>
    </row>
    <row r="68" spans="3:13" ht="13.95" customHeight="1" thickBot="1" x14ac:dyDescent="0.3">
      <c r="C68" s="472" t="s">
        <v>2165</v>
      </c>
      <c r="D68" s="787"/>
      <c r="E68" s="475"/>
      <c r="F68" s="475"/>
      <c r="G68" s="457" t="s">
        <v>2790</v>
      </c>
      <c r="H68" s="1419"/>
      <c r="I68" s="463"/>
      <c r="J68" s="270"/>
      <c r="K68" s="271"/>
      <c r="L68" s="272"/>
      <c r="M68" s="467"/>
    </row>
    <row r="69" spans="3:13" ht="13.95" customHeight="1" thickBot="1" x14ac:dyDescent="0.3">
      <c r="C69" s="472" t="s">
        <v>2165</v>
      </c>
      <c r="D69" s="787"/>
      <c r="E69" s="475"/>
      <c r="G69" s="457" t="s">
        <v>2790</v>
      </c>
      <c r="H69" s="1419"/>
      <c r="I69" s="463"/>
      <c r="J69" s="270"/>
      <c r="K69" s="271"/>
      <c r="L69" s="272"/>
      <c r="M69" s="467"/>
    </row>
    <row r="70" spans="3:13" ht="13.95" customHeight="1" thickBot="1" x14ac:dyDescent="0.3">
      <c r="C70" s="472" t="s">
        <v>2165</v>
      </c>
      <c r="D70" s="787"/>
      <c r="E70" s="475"/>
      <c r="F70" s="475"/>
      <c r="G70" s="457" t="s">
        <v>2790</v>
      </c>
      <c r="H70" s="1419"/>
      <c r="I70" s="463"/>
      <c r="J70" s="270"/>
      <c r="K70" s="271"/>
      <c r="L70" s="272"/>
      <c r="M70" s="467"/>
    </row>
    <row r="71" spans="3:13" ht="13.95" customHeight="1" thickBot="1" x14ac:dyDescent="0.3">
      <c r="C71" s="472" t="s">
        <v>2165</v>
      </c>
      <c r="D71" s="787"/>
      <c r="E71" s="475"/>
      <c r="F71" s="475"/>
      <c r="G71" s="457" t="s">
        <v>2790</v>
      </c>
      <c r="H71" s="1419"/>
      <c r="I71" s="463"/>
      <c r="J71" s="270"/>
      <c r="K71" s="271"/>
      <c r="L71" s="272"/>
      <c r="M71" s="467"/>
    </row>
    <row r="72" spans="3:13" ht="13.95" customHeight="1" thickBot="1" x14ac:dyDescent="0.3">
      <c r="C72" s="472" t="s">
        <v>2165</v>
      </c>
      <c r="D72" s="787"/>
      <c r="E72" s="475"/>
      <c r="F72" s="475"/>
      <c r="G72" s="457" t="s">
        <v>2790</v>
      </c>
      <c r="H72" s="1419"/>
      <c r="I72" s="463"/>
      <c r="J72" s="270"/>
      <c r="K72" s="271"/>
      <c r="L72" s="272"/>
      <c r="M72" s="467"/>
    </row>
    <row r="73" spans="3:13" ht="13.95" customHeight="1" thickBot="1" x14ac:dyDescent="0.3">
      <c r="C73" s="472" t="s">
        <v>2165</v>
      </c>
      <c r="D73" s="787"/>
      <c r="E73" s="475"/>
      <c r="F73" s="475"/>
      <c r="G73" s="457" t="s">
        <v>2790</v>
      </c>
      <c r="H73" s="1419"/>
      <c r="I73" s="463"/>
      <c r="J73" s="270"/>
      <c r="K73" s="271"/>
      <c r="L73" s="272"/>
      <c r="M73" s="467"/>
    </row>
    <row r="74" spans="3:13" ht="13.95" customHeight="1" thickBot="1" x14ac:dyDescent="0.3">
      <c r="C74" s="472" t="s">
        <v>2165</v>
      </c>
      <c r="D74" s="787"/>
      <c r="E74" s="475"/>
      <c r="F74" s="475"/>
      <c r="G74" s="457" t="s">
        <v>2790</v>
      </c>
      <c r="H74" s="1419"/>
      <c r="I74" s="463"/>
      <c r="J74" s="270"/>
      <c r="K74" s="271"/>
      <c r="L74" s="272"/>
      <c r="M74" s="467"/>
    </row>
    <row r="75" spans="3:13" ht="13.95" customHeight="1" x14ac:dyDescent="0.25">
      <c r="C75" s="11" t="s">
        <v>725</v>
      </c>
      <c r="M75" s="1515">
        <f>0+SUM(M58:M74)</f>
        <v>0</v>
      </c>
    </row>
    <row r="76" spans="3:13" ht="13.95" customHeight="1" x14ac:dyDescent="0.25">
      <c r="C76" s="11" t="s">
        <v>726</v>
      </c>
      <c r="M76" s="1515">
        <f>M53+M75</f>
        <v>0</v>
      </c>
    </row>
    <row r="77" spans="3:13" ht="13.95" customHeight="1" x14ac:dyDescent="0.25">
      <c r="F77" s="242" t="s">
        <v>727</v>
      </c>
      <c r="L77" s="21" t="s">
        <v>728</v>
      </c>
      <c r="M77" s="17">
        <f>USES!J164</f>
        <v>0</v>
      </c>
    </row>
    <row r="78" spans="3:13" ht="13.95" customHeight="1" x14ac:dyDescent="0.25">
      <c r="L78" s="21" t="s">
        <v>729</v>
      </c>
      <c r="M78" s="4">
        <f>M76-M77</f>
        <v>0</v>
      </c>
    </row>
    <row r="79" spans="3:13" ht="13.95" customHeight="1" x14ac:dyDescent="0.25">
      <c r="D79" s="1"/>
      <c r="E79" s="1"/>
      <c r="F79" s="1"/>
      <c r="G79" s="1"/>
      <c r="H79" s="5"/>
      <c r="I79" s="2"/>
      <c r="J79" s="5"/>
    </row>
    <row r="80" spans="3:13" ht="13.95" customHeight="1" x14ac:dyDescent="0.25">
      <c r="C80" s="44"/>
      <c r="D80" s="7"/>
      <c r="E80" s="7"/>
      <c r="F80" s="7"/>
      <c r="G80" s="7"/>
      <c r="H80" s="92"/>
      <c r="I80" s="7"/>
      <c r="J80" s="62"/>
      <c r="K80" s="7"/>
      <c r="L80" s="7"/>
      <c r="M80" s="7"/>
    </row>
    <row r="81" spans="3:13" x14ac:dyDescent="0.25">
      <c r="C81" s="44"/>
      <c r="D81" s="7"/>
      <c r="E81" s="7"/>
      <c r="F81" s="7"/>
      <c r="G81" s="7"/>
      <c r="H81" s="92"/>
      <c r="I81" s="7"/>
      <c r="J81" s="62"/>
      <c r="K81" s="7"/>
      <c r="L81" s="7"/>
      <c r="M81" s="7"/>
    </row>
  </sheetData>
  <sheetProtection algorithmName="SHA-512" hashValue="PwL56gP6pXXqBFZjIZHxrGVaiy7iDnT/RSTk8tvcFtA1+fXO4R4xdCjkFlX/g4YIlWyZc0kHoFUBs7dnu/jdoA==" saltValue="VP2AKLixQfOqiMPcGIFOhA==" spinCount="100000" sheet="1" objects="1" scenarios="1"/>
  <customSheetViews>
    <customSheetView guid="{76F395A0-B7E9-4489-8589-E8786779257B}" showPageBreaks="1" printArea="1" view="pageLayout">
      <pageMargins left="0" right="0" top="0" bottom="0" header="0" footer="0"/>
      <pageSetup scale="89" firstPageNumber="14" fitToHeight="2" orientation="landscape" useFirstPageNumber="1" horizontalDpi="4294967292" r:id="rId1"/>
      <headerFooter alignWithMargins="0">
        <oddFooter>&amp;L&amp;"Times New Roman,Italic"&amp;8CDA Form 202 revised 10/25/16&amp;C&amp;"Times New Roman,Italic"&amp;9&amp;P&amp;R&amp;"Times New Roman,Italic"&amp;8&amp;A:&amp;D</oddFooter>
      </headerFooter>
    </customSheetView>
    <customSheetView guid="{C39AB591-3723-49A0-B177-B840906E8341}" showPageBreaks="1" printArea="1" view="pageBreakPreview">
      <selection activeCell="A2" sqref="A2"/>
      <rowBreaks count="1" manualBreakCount="1">
        <brk id="38" max="11" man="1"/>
      </rowBreaks>
      <pageMargins left="0" right="0" top="0" bottom="0" header="0" footer="0"/>
      <pageSetup scale="89" firstPageNumber="16" fitToHeight="2" orientation="landscape" useFirstPageNumber="1" horizontalDpi="4294967292" r:id="rId2"/>
      <headerFooter alignWithMargins="0">
        <oddFooter>&amp;L&amp;"Times New Roman,Italic"&amp;8CDA Form 202 (09/23/2008)&amp;C&amp;"Times New Roman,Italic"&amp;9&amp;P&amp;R&amp;"Times New Roman,Italic"&amp;8&amp;A:&amp;D</oddFooter>
      </headerFooter>
    </customSheetView>
    <customSheetView guid="{E132EC1F-F891-4922-AB90-4FA7835D9B5A}" showPageBreaks="1" printArea="1" view="pageBreakPreview" topLeftCell="A28">
      <selection activeCell="A32" sqref="A32"/>
      <rowBreaks count="1" manualBreakCount="1">
        <brk id="38" max="11" man="1"/>
      </rowBreaks>
      <pageMargins left="0" right="0" top="0" bottom="0" header="0" footer="0"/>
      <pageSetup scale="89" firstPageNumber="16" fitToHeight="2" orientation="landscape" useFirstPageNumber="1" horizontalDpi="4294967292" r:id="rId3"/>
      <headerFooter alignWithMargins="0">
        <oddFooter>&amp;L&amp;"Times New Roman,Italic"&amp;8CDA Form 202 (09/23/2008)&amp;C&amp;"Times New Roman,Italic"&amp;9&amp;P&amp;R&amp;"Times New Roman,Italic"&amp;8&amp;A:&amp;D</oddFooter>
      </headerFooter>
    </customSheetView>
    <customSheetView guid="{602BBDD0-2A0B-434E-AE8E-4C472F9AEC01}" showPageBreaks="1" printArea="1" view="pageBreakPreview">
      <selection activeCell="A32" sqref="A32"/>
      <rowBreaks count="1" manualBreakCount="1">
        <brk id="38" max="11" man="1"/>
      </rowBreaks>
      <pageMargins left="0" right="0" top="0" bottom="0" header="0" footer="0"/>
      <pageSetup scale="89" firstPageNumber="16" fitToHeight="2" orientation="landscape" useFirstPageNumber="1" horizontalDpi="4294967292" r:id="rId4"/>
      <headerFooter alignWithMargins="0">
        <oddFooter>&amp;L&amp;"Times New Roman,Italic"&amp;8CDA Form 202 (09/23/2008)&amp;C&amp;"Times New Roman,Italic"&amp;9&amp;P&amp;R&amp;"Times New Roman,Italic"&amp;8&amp;A:&amp;D</oddFooter>
      </headerFooter>
    </customSheetView>
    <customSheetView guid="{C2565ED2-FB16-4AD9-AFF0-CED4C44F72DA}" showPageBreaks="1" printArea="1" view="pageBreakPreview" showRuler="0" topLeftCell="A28">
      <selection activeCell="A32" sqref="A32"/>
      <rowBreaks count="1" manualBreakCount="1">
        <brk id="38" max="11" man="1"/>
      </rowBreaks>
      <pageMargins left="0" right="0" top="0" bottom="0" header="0" footer="0"/>
      <pageSetup scale="89" firstPageNumber="16" fitToHeight="2" orientation="landscape" useFirstPageNumber="1" horizontalDpi="4294967292" r:id="rId5"/>
      <headerFooter alignWithMargins="0">
        <oddFooter>&amp;L&amp;"Times New Roman,Italic"&amp;8CDA Form 202 (09/23/2008)&amp;C&amp;"Times New Roman,Italic"&amp;9&amp;P&amp;R&amp;"Times New Roman,Italic"&amp;8&amp;A:&amp;D</oddFooter>
      </headerFooter>
    </customSheetView>
    <customSheetView guid="{0A080B76-CAC1-49D6-A14B-9DA724D07E2A}" showPageBreaks="1" printArea="1" view="pageBreakPreview" showRuler="0" topLeftCell="A21">
      <selection activeCell="L37" sqref="L37"/>
      <rowBreaks count="1" manualBreakCount="1">
        <brk id="38" max="11" man="1"/>
      </rowBreaks>
      <pageMargins left="0" right="0" top="0" bottom="0" header="0" footer="0"/>
      <pageSetup scale="89" firstPageNumber="16" fitToHeight="2" orientation="landscape" useFirstPageNumber="1" horizontalDpi="4294967292" r:id="rId6"/>
      <headerFooter alignWithMargins="0">
        <oddFooter>&amp;L&amp;"Times New Roman,Italic"&amp;8CDA Form 202 (07/01/2008)&amp;C&amp;"Times New Roman,Italic"&amp;9&amp;P&amp;R&amp;"Times New Roman,Italic"&amp;8GENERAL INFORMATION:&amp;D</oddFooter>
      </headerFooter>
    </customSheetView>
    <customSheetView guid="{DC289960-5C22-11D6-B699-00010261CDBB}" scale="75" showRuler="0" topLeftCell="A16">
      <selection activeCell="F36" sqref="F36"/>
      <rowBreaks count="1" manualBreakCount="1">
        <brk id="27" max="16383" man="1"/>
      </rowBreaks>
      <pageMargins left="0" right="0" top="0" bottom="0" header="0" footer="0"/>
      <pageSetup firstPageNumber="14" orientation="landscape" useFirstPageNumber="1" horizontalDpi="4294967292" r:id="rId7"/>
      <headerFooter alignWithMargins="0"/>
    </customSheetView>
    <customSheetView guid="{714B32FB-A92F-4F7C-8495-8C3BCEB888AE}" scale="85" showPageBreaks="1" view="pageBreakPreview" showRuler="0" topLeftCell="C16">
      <selection activeCell="G12" sqref="G12"/>
      <rowBreaks count="1" manualBreakCount="1">
        <brk id="42" max="16383" man="1"/>
      </rowBreaks>
      <pageMargins left="0" right="0" top="0" bottom="0" header="0" footer="0"/>
      <pageSetup scale="91" firstPageNumber="16" fitToHeight="2" orientation="landscape" useFirstPageNumber="1" horizontalDpi="4294967292" r:id="rId8"/>
      <headerFooter alignWithMargins="0">
        <oddFooter>&amp;L&amp;"Times New Roman,Italic"&amp;8CDA Form 202 (07/01/2008)&amp;C&amp;"Times New Roman,Italic"&amp;9&amp;P&amp;R&amp;"Times New Roman,Italic"&amp;8GENERAL INFORMATION:&amp;D</oddFooter>
      </headerFooter>
    </customSheetView>
    <customSheetView guid="{A1879216-4226-4AD8-8303-3842A38BCF1B}" showPageBreaks="1" printArea="1" view="pageBreakPreview" showRuler="0" topLeftCell="A28">
      <selection activeCell="A32" sqref="A32"/>
      <rowBreaks count="1" manualBreakCount="1">
        <brk id="38" max="11" man="1"/>
      </rowBreaks>
      <pageMargins left="0" right="0" top="0" bottom="0" header="0" footer="0"/>
      <pageSetup scale="89" firstPageNumber="16" fitToHeight="2" orientation="landscape" useFirstPageNumber="1" horizontalDpi="4294967292" r:id="rId9"/>
      <headerFooter alignWithMargins="0">
        <oddFooter>&amp;L&amp;"Times New Roman,Italic"&amp;8CDA Form 202 (09/23/2008)&amp;C&amp;"Times New Roman,Italic"&amp;9&amp;P&amp;R&amp;"Times New Roman,Italic"&amp;8&amp;A:&amp;D</oddFooter>
      </headerFooter>
    </customSheetView>
    <customSheetView guid="{3B78583D-5B6A-4751-8EF2-A2270A01FB56}" showPageBreaks="1" printArea="1" view="pageBreakPreview" topLeftCell="A28">
      <selection activeCell="A32" sqref="A32"/>
      <rowBreaks count="1" manualBreakCount="1">
        <brk id="38" max="11" man="1"/>
      </rowBreaks>
      <pageMargins left="0" right="0" top="0" bottom="0" header="0" footer="0"/>
      <pageSetup scale="89" firstPageNumber="16" fitToHeight="2" orientation="landscape" useFirstPageNumber="1" horizontalDpi="4294967292" r:id="rId10"/>
      <headerFooter alignWithMargins="0">
        <oddFooter>&amp;L&amp;"Times New Roman,Italic"&amp;8CDA Form 202 (09/23/2008)&amp;C&amp;"Times New Roman,Italic"&amp;9&amp;P&amp;R&amp;"Times New Roman,Italic"&amp;8&amp;A:&amp;D</oddFooter>
      </headerFooter>
    </customSheetView>
    <customSheetView guid="{9A1BF858-0700-49AF-A308-5283E02DA063}" showPageBreaks="1" printArea="1" view="pageBreakPreview">
      <selection activeCell="A32" sqref="A32"/>
      <rowBreaks count="1" manualBreakCount="1">
        <brk id="38" max="11" man="1"/>
      </rowBreaks>
      <pageMargins left="0" right="0" top="0" bottom="0" header="0" footer="0"/>
      <pageSetup scale="89" firstPageNumber="16" fitToHeight="2" orientation="landscape" useFirstPageNumber="1" horizontalDpi="4294967292" r:id="rId11"/>
      <headerFooter alignWithMargins="0">
        <oddFooter>&amp;L&amp;"Times New Roman,Italic"&amp;8CDA Form 202 (09/23/2008)&amp;C&amp;"Times New Roman,Italic"&amp;9&amp;P&amp;R&amp;"Times New Roman,Italic"&amp;8&amp;A:&amp;D</oddFooter>
      </headerFooter>
    </customSheetView>
    <customSheetView guid="{C6533090-8A80-47A4-9BC4-E66215F4127C}" showPageBreaks="1" printArea="1" view="pageBreakPreview">
      <selection activeCell="A32" sqref="A32"/>
      <rowBreaks count="1" manualBreakCount="1">
        <brk id="38" max="11" man="1"/>
      </rowBreaks>
      <pageMargins left="0" right="0" top="0" bottom="0" header="0" footer="0"/>
      <pageSetup scale="89" firstPageNumber="16" fitToHeight="2" orientation="landscape" useFirstPageNumber="1" horizontalDpi="4294967292" r:id="rId12"/>
      <headerFooter alignWithMargins="0">
        <oddFooter>&amp;L&amp;"Times New Roman,Italic"&amp;8CDA Form 202 (09/23/2008)&amp;C&amp;"Times New Roman,Italic"&amp;9&amp;P&amp;R&amp;"Times New Roman,Italic"&amp;8&amp;A:&amp;D</oddFooter>
      </headerFooter>
    </customSheetView>
    <customSheetView guid="{3659D36C-86F8-45BE-8B0F-DC260D021512}" showPageBreaks="1" printArea="1" view="pageBreakPreview" topLeftCell="A28">
      <selection activeCell="A32" sqref="A32"/>
      <rowBreaks count="1" manualBreakCount="1">
        <brk id="38" max="11" man="1"/>
      </rowBreaks>
      <pageMargins left="0" right="0" top="0" bottom="0" header="0" footer="0"/>
      <pageSetup scale="89" firstPageNumber="16" fitToHeight="2" orientation="landscape" useFirstPageNumber="1" horizontalDpi="4294967292" r:id="rId13"/>
      <headerFooter alignWithMargins="0">
        <oddFooter>&amp;L&amp;"Times New Roman,Italic"&amp;8CDA Form 202 (09/23/2008)&amp;C&amp;"Times New Roman,Italic"&amp;9&amp;P&amp;R&amp;"Times New Roman,Italic"&amp;8&amp;A:&amp;D</oddFooter>
      </headerFooter>
    </customSheetView>
    <customSheetView guid="{8142EFA3-2DB8-4FA0-90CC-65C61CCEFD62}" showPageBreaks="1" printArea="1" view="pageBreakPreview" topLeftCell="A28">
      <selection activeCell="A32" sqref="A32"/>
      <rowBreaks count="1" manualBreakCount="1">
        <brk id="38" max="11" man="1"/>
      </rowBreaks>
      <pageMargins left="0" right="0" top="0" bottom="0" header="0" footer="0"/>
      <pageSetup scale="89" firstPageNumber="16" fitToHeight="2" orientation="landscape" useFirstPageNumber="1" horizontalDpi="4294967292" r:id="rId14"/>
      <headerFooter alignWithMargins="0">
        <oddFooter>&amp;L&amp;"Times New Roman,Italic"&amp;8CDA Form 202 (09/23/2008)&amp;C&amp;"Times New Roman,Italic"&amp;9&amp;P&amp;R&amp;"Times New Roman,Italic"&amp;8&amp;A:&amp;D</oddFooter>
      </headerFooter>
    </customSheetView>
  </customSheetViews>
  <mergeCells count="10">
    <mergeCell ref="O9:P9"/>
    <mergeCell ref="J61:L61"/>
    <mergeCell ref="O15:P15"/>
    <mergeCell ref="I34:K34"/>
    <mergeCell ref="I35:K35"/>
    <mergeCell ref="O19:P19"/>
    <mergeCell ref="O28:P28"/>
    <mergeCell ref="O32:P32"/>
    <mergeCell ref="O36:P36"/>
    <mergeCell ref="O40:P40"/>
  </mergeCells>
  <phoneticPr fontId="19" type="noConversion"/>
  <dataValidations count="2">
    <dataValidation type="list" allowBlank="1" showInputMessage="1" showErrorMessage="1" sqref="G12:G20 G29:G51" xr:uid="{00000000-0002-0000-0600-000001000000}">
      <formula1>"_, 1, 2, 3, 4, 5, 6, 7, 8, 9, 10"</formula1>
    </dataValidation>
    <dataValidation type="list" allowBlank="1" showInputMessage="1" showErrorMessage="1" sqref="E16 H29:H33" xr:uid="{01EF1262-CA42-4CA5-A765-AF51DAE49F18}">
      <formula1>$S$36:$S$40</formula1>
    </dataValidation>
  </dataValidations>
  <hyperlinks>
    <hyperlink ref="O5" r:id="rId15" display="https://dhcd.maryland.gov/HousingDevelopment/Documents/mbp/Comparison-Financings.pdf" xr:uid="{00000000-0004-0000-0600-000000000000}"/>
  </hyperlinks>
  <pageMargins left="0.25" right="0.25" top="0.25" bottom="0.25" header="0.25" footer="0.25"/>
  <pageSetup scale="44" fitToHeight="0" orientation="portrait" useFirstPageNumber="1" r:id="rId16"/>
  <headerFooter scaleWithDoc="0" alignWithMargins="0"/>
  <colBreaks count="1" manualBreakCount="1">
    <brk id="14" min="1" max="77" man="1"/>
  </colBreaks>
  <ignoredErrors>
    <ignoredError sqref="G58:G60 I12 M60 I16:I20" unlockedFormula="1"/>
    <ignoredError sqref="I15" formula="1"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A735B10F-7A87-47F6-91D1-AB6CCCBE3382}">
          <x14:formula1>
            <xm:f>MAPPING!$F$951:$F$1033</xm:f>
          </x14:formula1>
          <xm:sqref>D19:D20 D37:D38 D41:D51 D64:D74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D2809D534E2E4791F34A639EDE4B8D" ma:contentTypeVersion="4" ma:contentTypeDescription="Create a new document." ma:contentTypeScope="" ma:versionID="f952c9c9f8901f2d17956aa47c4ffba2">
  <xsd:schema xmlns:xsd="http://www.w3.org/2001/XMLSchema" xmlns:xs="http://www.w3.org/2001/XMLSchema" xmlns:p="http://schemas.microsoft.com/office/2006/metadata/properties" xmlns:ns1="http://schemas.microsoft.com/sharepoint/v3" targetNamespace="http://schemas.microsoft.com/office/2006/metadata/properties" ma:root="true" ma:fieldsID="bff1912dda2c34800ae3d5e8677634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A7E0C0-6610-4B55-A38A-7A1F47B3BF92}">
  <ds:schemaRefs>
    <ds:schemaRef ds:uri="http://schemas.microsoft.com/office/2006/documentManagement/types"/>
    <ds:schemaRef ds:uri="http://purl.org/dc/elements/1.1/"/>
    <ds:schemaRef ds:uri="http://schemas.microsoft.com/sharepoint/v3"/>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dcmitype/"/>
    <ds:schemaRef ds:uri="http://purl.org/dc/terms/"/>
  </ds:schemaRefs>
</ds:datastoreItem>
</file>

<file path=customXml/itemProps2.xml><?xml version="1.0" encoding="utf-8"?>
<ds:datastoreItem xmlns:ds="http://schemas.openxmlformats.org/officeDocument/2006/customXml" ds:itemID="{0B701041-3646-49AE-85B6-2CCAFFC22425}">
  <ds:schemaRefs>
    <ds:schemaRef ds:uri="http://schemas.microsoft.com/sharepoint/v3/contenttype/forms"/>
  </ds:schemaRefs>
</ds:datastoreItem>
</file>

<file path=customXml/itemProps3.xml><?xml version="1.0" encoding="utf-8"?>
<ds:datastoreItem xmlns:ds="http://schemas.openxmlformats.org/officeDocument/2006/customXml" ds:itemID="{18BE9605-5E9C-4674-983C-F18291F4A7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6492</vt:i4>
      </vt:variant>
    </vt:vector>
  </HeadingPairs>
  <TitlesOfParts>
    <vt:vector size="6515" baseType="lpstr">
      <vt:lpstr>MAPPING</vt:lpstr>
      <vt:lpstr>202 Instructions</vt:lpstr>
      <vt:lpstr>GENERAL</vt:lpstr>
      <vt:lpstr>VISUALS (Examples)</vt:lpstr>
      <vt:lpstr>BUILDING</vt:lpstr>
      <vt:lpstr>SUMMARY</vt:lpstr>
      <vt:lpstr>DEV TEAM</vt:lpstr>
      <vt:lpstr>FIN CAP</vt:lpstr>
      <vt:lpstr>SOURCES</vt:lpstr>
      <vt:lpstr>USES</vt:lpstr>
      <vt:lpstr>CURR FIN &amp; ACQUISITION</vt:lpstr>
      <vt:lpstr>DRAW SCHEDULE</vt:lpstr>
      <vt:lpstr>TAX CREDIT</vt:lpstr>
      <vt:lpstr>INCOME</vt:lpstr>
      <vt:lpstr>EXPENSES</vt:lpstr>
      <vt:lpstr>PRO FORMA</vt:lpstr>
      <vt:lpstr>INCOME TARGETING</vt:lpstr>
      <vt:lpstr>LEV &amp; COST EFFECTIVENESS</vt:lpstr>
      <vt:lpstr>SELF-SCORE</vt:lpstr>
      <vt:lpstr>APPLICANT NOTES (1)</vt:lpstr>
      <vt:lpstr>APPLICANT NOTES (2)</vt:lpstr>
      <vt:lpstr>APPLICANT NOTES (3)</vt:lpstr>
      <vt:lpstr>FINAL BUDGET</vt:lpstr>
      <vt:lpstr>DEV_ChronicPastDue</vt:lpstr>
      <vt:lpstr>DEV_ChronicPastDueExplain</vt:lpstr>
      <vt:lpstr>DEV_City1</vt:lpstr>
      <vt:lpstr>DEV_City10</vt:lpstr>
      <vt:lpstr>DEV_City11</vt:lpstr>
      <vt:lpstr>DEV_City12</vt:lpstr>
      <vt:lpstr>DEV_City13</vt:lpstr>
      <vt:lpstr>DEV_City14</vt:lpstr>
      <vt:lpstr>DEV_City15</vt:lpstr>
      <vt:lpstr>DEV_City16</vt:lpstr>
      <vt:lpstr>DEV_City17</vt:lpstr>
      <vt:lpstr>DEV_City18</vt:lpstr>
      <vt:lpstr>DEV_City19</vt:lpstr>
      <vt:lpstr>DEV_City2</vt:lpstr>
      <vt:lpstr>DEV_City20</vt:lpstr>
      <vt:lpstr>DEV_City3</vt:lpstr>
      <vt:lpstr>DEV_City4</vt:lpstr>
      <vt:lpstr>DEV_City5</vt:lpstr>
      <vt:lpstr>DEV_City6</vt:lpstr>
      <vt:lpstr>DEV_City7</vt:lpstr>
      <vt:lpstr>DEV_City8</vt:lpstr>
      <vt:lpstr>DEV_City9</vt:lpstr>
      <vt:lpstr>DEV_CompanyName1</vt:lpstr>
      <vt:lpstr>DEV_CompanyName10</vt:lpstr>
      <vt:lpstr>DEV_CompanyName11</vt:lpstr>
      <vt:lpstr>DEV_CompanyName12</vt:lpstr>
      <vt:lpstr>DEV_CompanyName13</vt:lpstr>
      <vt:lpstr>DEV_CompanyName14</vt:lpstr>
      <vt:lpstr>DEV_CompanyName15</vt:lpstr>
      <vt:lpstr>DEV_CompanyName16</vt:lpstr>
      <vt:lpstr>DEV_CompanyName17</vt:lpstr>
      <vt:lpstr>DEV_CompanyName18</vt:lpstr>
      <vt:lpstr>DEV_CompanyName19</vt:lpstr>
      <vt:lpstr>DEV_CompanyName2</vt:lpstr>
      <vt:lpstr>DEV_CompanyName20</vt:lpstr>
      <vt:lpstr>DEV_CompanyName3</vt:lpstr>
      <vt:lpstr>DEV_CompanyName4</vt:lpstr>
      <vt:lpstr>DEV_CompanyName5</vt:lpstr>
      <vt:lpstr>DEV_CompanyName6</vt:lpstr>
      <vt:lpstr>DEV_CompanyName7</vt:lpstr>
      <vt:lpstr>DEV_CompanyName8</vt:lpstr>
      <vt:lpstr>DEV_CompanyName9</vt:lpstr>
      <vt:lpstr>DEV_ContactName1</vt:lpstr>
      <vt:lpstr>DEV_ContactName10</vt:lpstr>
      <vt:lpstr>DEV_ContactName11</vt:lpstr>
      <vt:lpstr>DEV_ContactName12</vt:lpstr>
      <vt:lpstr>DEV_ContactName13</vt:lpstr>
      <vt:lpstr>DEV_ContactName14</vt:lpstr>
      <vt:lpstr>DEV_ContactName15</vt:lpstr>
      <vt:lpstr>DEV_ContactName16</vt:lpstr>
      <vt:lpstr>DEV_ContactName17</vt:lpstr>
      <vt:lpstr>DEV_ContactName18</vt:lpstr>
      <vt:lpstr>DEV_ContactName19</vt:lpstr>
      <vt:lpstr>DEV_ContactName2</vt:lpstr>
      <vt:lpstr>DEV_ContactName20</vt:lpstr>
      <vt:lpstr>DEV_ContactName3</vt:lpstr>
      <vt:lpstr>DEV_ContactName4</vt:lpstr>
      <vt:lpstr>DEV_ContactName5</vt:lpstr>
      <vt:lpstr>DEV_ContactName6</vt:lpstr>
      <vt:lpstr>DEV_ContactName7</vt:lpstr>
      <vt:lpstr>DEV_ContactName8</vt:lpstr>
      <vt:lpstr>DEV_ContactName9</vt:lpstr>
      <vt:lpstr>DEV_DBDunsNumber1</vt:lpstr>
      <vt:lpstr>DEV_DBDunsNumber10</vt:lpstr>
      <vt:lpstr>DEV_DBDunsNumber11</vt:lpstr>
      <vt:lpstr>DEV_DBDunsNumber12</vt:lpstr>
      <vt:lpstr>DEV_DBDunsNumber13</vt:lpstr>
      <vt:lpstr>DEV_DBDunsNumber14</vt:lpstr>
      <vt:lpstr>DEV_DBDunsNumber15</vt:lpstr>
      <vt:lpstr>DEV_DBDunsNumber16</vt:lpstr>
      <vt:lpstr>DEV_DBDunsNumber17</vt:lpstr>
      <vt:lpstr>DEV_DBDunsNumber18</vt:lpstr>
      <vt:lpstr>DEV_DBDunsNumber19</vt:lpstr>
      <vt:lpstr>DEV_DBDunsNumber2</vt:lpstr>
      <vt:lpstr>DEV_DBDunsNumber20</vt:lpstr>
      <vt:lpstr>DEV_DBDunsNumber3</vt:lpstr>
      <vt:lpstr>DEV_DBDunsNumber4</vt:lpstr>
      <vt:lpstr>DEV_DBDunsNumber5</vt:lpstr>
      <vt:lpstr>DEV_DBDunsNumber6</vt:lpstr>
      <vt:lpstr>DEV_DBDunsNumber7</vt:lpstr>
      <vt:lpstr>DEV_DBDunsNumber8</vt:lpstr>
      <vt:lpstr>DEV_DBDunsNumber9</vt:lpstr>
      <vt:lpstr>DEV_DefaultLoan</vt:lpstr>
      <vt:lpstr>DEV_DefaultLoanExplain</vt:lpstr>
      <vt:lpstr>DEV_DevelopmentTeamRole10</vt:lpstr>
      <vt:lpstr>DEV_DevelopmentTeamRole11</vt:lpstr>
      <vt:lpstr>DEV_DevelopmentTeamRole12</vt:lpstr>
      <vt:lpstr>DEV_DevelopmentTeamRole13</vt:lpstr>
      <vt:lpstr>DEV_DevelopmentTeamRole14</vt:lpstr>
      <vt:lpstr>DEV_DevelopmentTeamRole15</vt:lpstr>
      <vt:lpstr>DEV_DevelopmentTeamRole16</vt:lpstr>
      <vt:lpstr>DEV_DevelopmentTeamRole17</vt:lpstr>
      <vt:lpstr>DEV_DevelopmentTeamRole18</vt:lpstr>
      <vt:lpstr>DEV_DevelopmentTeamRole19</vt:lpstr>
      <vt:lpstr>DEV_DevelopmentTeamRole1Developer</vt:lpstr>
      <vt:lpstr>DEV_DevelopmentTeamRole20</vt:lpstr>
      <vt:lpstr>DEV_DevelopmentTeamRole2Guarantor</vt:lpstr>
      <vt:lpstr>DEV_DevelopmentTeamRole3</vt:lpstr>
      <vt:lpstr>DEV_DevelopmentTeamRole4</vt:lpstr>
      <vt:lpstr>DEV_DevelopmentTeamRole5</vt:lpstr>
      <vt:lpstr>DEV_DevelopmentTeamRole6</vt:lpstr>
      <vt:lpstr>DEV_DevelopmentTeamRole7</vt:lpstr>
      <vt:lpstr>DEV_DevelopmentTeamRole8</vt:lpstr>
      <vt:lpstr>DEV_DevelopmentTeamRole9</vt:lpstr>
      <vt:lpstr>DEV_DirectInterest</vt:lpstr>
      <vt:lpstr>DEV_DirectInterestExplain</vt:lpstr>
      <vt:lpstr>DEV_Email1</vt:lpstr>
      <vt:lpstr>DEV_Email10</vt:lpstr>
      <vt:lpstr>DEV_Email11</vt:lpstr>
      <vt:lpstr>DEV_Email12</vt:lpstr>
      <vt:lpstr>DEV_Email13</vt:lpstr>
      <vt:lpstr>DEV_Email14</vt:lpstr>
      <vt:lpstr>DEV_Email15</vt:lpstr>
      <vt:lpstr>DEV_Email16</vt:lpstr>
      <vt:lpstr>DEV_Email17</vt:lpstr>
      <vt:lpstr>DEV_Email18</vt:lpstr>
      <vt:lpstr>DEV_Email19</vt:lpstr>
      <vt:lpstr>DEV_Email2</vt:lpstr>
      <vt:lpstr>DEV_Email20</vt:lpstr>
      <vt:lpstr>DEV_Email3</vt:lpstr>
      <vt:lpstr>DEV_Email4</vt:lpstr>
      <vt:lpstr>DEV_Email5</vt:lpstr>
      <vt:lpstr>DEV_Email6</vt:lpstr>
      <vt:lpstr>DEV_Email7</vt:lpstr>
      <vt:lpstr>DEV_Email8</vt:lpstr>
      <vt:lpstr>DEV_Email9</vt:lpstr>
      <vt:lpstr>DEV_FailedDocProvide</vt:lpstr>
      <vt:lpstr>DEV_FailedDocProvideExplain</vt:lpstr>
      <vt:lpstr>DEV_LenderCity1</vt:lpstr>
      <vt:lpstr>DEV_LenderCity2</vt:lpstr>
      <vt:lpstr>DEV_LenderCity3</vt:lpstr>
      <vt:lpstr>DEV_LenderCity4</vt:lpstr>
      <vt:lpstr>DEV_LenderCity5</vt:lpstr>
      <vt:lpstr>DEV_LenderCity6</vt:lpstr>
      <vt:lpstr>DEV_LenderContact1</vt:lpstr>
      <vt:lpstr>DEV_LenderContact2</vt:lpstr>
      <vt:lpstr>DEV_LenderContact3</vt:lpstr>
      <vt:lpstr>DEV_LenderContact4</vt:lpstr>
      <vt:lpstr>DEV_LenderContact5</vt:lpstr>
      <vt:lpstr>DEV_LenderContact6</vt:lpstr>
      <vt:lpstr>DEV_LenderDBDunsNumber1</vt:lpstr>
      <vt:lpstr>DEV_LenderDBDunsNumber2</vt:lpstr>
      <vt:lpstr>DEV_LenderDBDunsNumber3</vt:lpstr>
      <vt:lpstr>DEV_LenderDBDunsNumber4</vt:lpstr>
      <vt:lpstr>DEV_LenderDBDunsNumber5</vt:lpstr>
      <vt:lpstr>DEV_LenderDBDunsNumber6</vt:lpstr>
      <vt:lpstr>DEV_LenderEmail1</vt:lpstr>
      <vt:lpstr>DEV_LenderEmail2</vt:lpstr>
      <vt:lpstr>DEV_LenderEmail3</vt:lpstr>
      <vt:lpstr>DEV_LenderEmail4</vt:lpstr>
      <vt:lpstr>DEV_LenderEmail5</vt:lpstr>
      <vt:lpstr>DEV_LenderEmail6</vt:lpstr>
      <vt:lpstr>DEV_LenderFederalHistoricEquityProvider</vt:lpstr>
      <vt:lpstr>DEV_LenderLIHTCEquityProvider</vt:lpstr>
      <vt:lpstr>DEV_LenderPhone1</vt:lpstr>
      <vt:lpstr>DEV_LenderPhone2</vt:lpstr>
      <vt:lpstr>DEV_LenderPhone3</vt:lpstr>
      <vt:lpstr>DEV_LenderPhone4</vt:lpstr>
      <vt:lpstr>DEV_LenderPhone5</vt:lpstr>
      <vt:lpstr>DEV_LenderPhone6</vt:lpstr>
      <vt:lpstr>DEV_LenderPrivatePublicLender1</vt:lpstr>
      <vt:lpstr>DEV_LenderPrivatePublicLender2</vt:lpstr>
      <vt:lpstr>DEV_LenderPrivatePublicLender3</vt:lpstr>
      <vt:lpstr>DEV_LenderState1</vt:lpstr>
      <vt:lpstr>DEV_LenderState2</vt:lpstr>
      <vt:lpstr>DEV_LenderState3</vt:lpstr>
      <vt:lpstr>DEV_LenderState4</vt:lpstr>
      <vt:lpstr>DEV_LenderState5</vt:lpstr>
      <vt:lpstr>DEV_LenderState6</vt:lpstr>
      <vt:lpstr>DEV_LenderStateHistoricEquityProvider</vt:lpstr>
      <vt:lpstr>DEV_LenderStreetAddress1</vt:lpstr>
      <vt:lpstr>DEV_LenderStreetAddress2</vt:lpstr>
      <vt:lpstr>DEV_LenderStreetAddress3</vt:lpstr>
      <vt:lpstr>DEV_LenderStreetAddress4</vt:lpstr>
      <vt:lpstr>DEV_LenderStreetAddress5</vt:lpstr>
      <vt:lpstr>DEV_LenderStreetAddress6</vt:lpstr>
      <vt:lpstr>DEV_LenderTitle1</vt:lpstr>
      <vt:lpstr>DEV_LenderTitle2</vt:lpstr>
      <vt:lpstr>DEV_LenderTitle3</vt:lpstr>
      <vt:lpstr>DEV_LenderTitle4</vt:lpstr>
      <vt:lpstr>DEV_LenderTitle5</vt:lpstr>
      <vt:lpstr>DEV_LenderTitle6</vt:lpstr>
      <vt:lpstr>DEV_LenderZipCode1</vt:lpstr>
      <vt:lpstr>DEV_LenderZipCode2</vt:lpstr>
      <vt:lpstr>DEV_LenderZipCode3</vt:lpstr>
      <vt:lpstr>DEV_LenderZipCode4</vt:lpstr>
      <vt:lpstr>DEV_LenderZipCode5</vt:lpstr>
      <vt:lpstr>DEV_LenderZipCode6</vt:lpstr>
      <vt:lpstr>DEV_LimitedDenial</vt:lpstr>
      <vt:lpstr>DEV_LimitedDenialExplain</vt:lpstr>
      <vt:lpstr>DEV_MBEDBECertificationNumber1</vt:lpstr>
      <vt:lpstr>DEV_MBEDBECertificationNumber10</vt:lpstr>
      <vt:lpstr>DEV_MBEDBECertificationNumber11</vt:lpstr>
      <vt:lpstr>DEV_MBEDBECertificationNumber12</vt:lpstr>
      <vt:lpstr>DEV_MBEDBECertificationNumber13</vt:lpstr>
      <vt:lpstr>DEV_MBEDBECertificationNumber14</vt:lpstr>
      <vt:lpstr>DEV_MBEDBECertificationNumber15</vt:lpstr>
      <vt:lpstr>DEV_MBEDBECertificationNumber16</vt:lpstr>
      <vt:lpstr>DEV_MBEDBECertificationNumber17</vt:lpstr>
      <vt:lpstr>DEV_MBEDBECertificationNumber18</vt:lpstr>
      <vt:lpstr>DEV_MBEDBECertificationNumber19</vt:lpstr>
      <vt:lpstr>DEV_MBEDBECertificationNumber2</vt:lpstr>
      <vt:lpstr>DEV_MBEDBECertificationNumber20</vt:lpstr>
      <vt:lpstr>DEV_MBEDBECertificationNumber3</vt:lpstr>
      <vt:lpstr>DEV_MBEDBECertificationNumber4</vt:lpstr>
      <vt:lpstr>DEV_MBEDBECertificationNumber5</vt:lpstr>
      <vt:lpstr>DEV_MBEDBECertificationNumber6</vt:lpstr>
      <vt:lpstr>DEV_MBEDBECertificationNumber7</vt:lpstr>
      <vt:lpstr>DEV_MBEDBECertificationNumber8</vt:lpstr>
      <vt:lpstr>DEV_MBEDBECertificationNumber9</vt:lpstr>
      <vt:lpstr>DEV_MBEDBECertificationProgram1</vt:lpstr>
      <vt:lpstr>DEV_MBEDBECertificationProgram10</vt:lpstr>
      <vt:lpstr>DEV_MBEDBECertificationProgram11</vt:lpstr>
      <vt:lpstr>DEV_MBEDBECertificationProgram12</vt:lpstr>
      <vt:lpstr>DEV_MBEDBECertificationProgram13</vt:lpstr>
      <vt:lpstr>DEV_MBEDBECertificationProgram14</vt:lpstr>
      <vt:lpstr>DEV_MBEDBECertificationProgram15</vt:lpstr>
      <vt:lpstr>DEV_MBEDBECertificationProgram16</vt:lpstr>
      <vt:lpstr>DEV_MBEDBECertificationProgram17</vt:lpstr>
      <vt:lpstr>DEV_MBEDBECertificationProgram18</vt:lpstr>
      <vt:lpstr>DEV_MBEDBECertificationProgram19</vt:lpstr>
      <vt:lpstr>DEV_MBEDBECertificationProgram2</vt:lpstr>
      <vt:lpstr>DEV_MBEDBECertificationProgram20</vt:lpstr>
      <vt:lpstr>DEV_MBEDBECertificationProgram3</vt:lpstr>
      <vt:lpstr>DEV_MBEDBECertificationProgram4</vt:lpstr>
      <vt:lpstr>DEV_MBEDBECertificationProgram5</vt:lpstr>
      <vt:lpstr>DEV_MBEDBECertificationProgram6</vt:lpstr>
      <vt:lpstr>DEV_MBEDBECertificationProgram7</vt:lpstr>
      <vt:lpstr>DEV_MBEDBECertificationProgram8</vt:lpstr>
      <vt:lpstr>DEV_MBEDBECertificationProgram9</vt:lpstr>
      <vt:lpstr>DEV_NonprofitPHAorMBEDBE1</vt:lpstr>
      <vt:lpstr>DEV_NonprofitPHAorMBEDBE10</vt:lpstr>
      <vt:lpstr>DEV_NonprofitPHAorMBEDBE11</vt:lpstr>
      <vt:lpstr>DEV_NonprofitPHAorMBEDBE12</vt:lpstr>
      <vt:lpstr>DEV_NonprofitPHAorMBEDBE13</vt:lpstr>
      <vt:lpstr>DEV_NonprofitPHAorMBEDBE14</vt:lpstr>
      <vt:lpstr>DEV_NonprofitPHAorMBEDBE15</vt:lpstr>
      <vt:lpstr>DEV_NonprofitPHAorMBEDBE16</vt:lpstr>
      <vt:lpstr>DEV_NonprofitPHAorMBEDBE17</vt:lpstr>
      <vt:lpstr>DEV_NonprofitPHAorMBEDBE18</vt:lpstr>
      <vt:lpstr>DEV_NonprofitPHAorMBEDBE19</vt:lpstr>
      <vt:lpstr>DEV_NonprofitPHAorMBEDBE2</vt:lpstr>
      <vt:lpstr>DEV_NonprofitPHAorMBEDBE20</vt:lpstr>
      <vt:lpstr>DEV_NonprofitPHAorMBEDBE3</vt:lpstr>
      <vt:lpstr>DEV_NonprofitPHAorMBEDBE4</vt:lpstr>
      <vt:lpstr>DEV_NonprofitPHAorMBEDBE5</vt:lpstr>
      <vt:lpstr>DEV_NonprofitPHAorMBEDBE6</vt:lpstr>
      <vt:lpstr>DEV_NonprofitPHAorMBEDBE7</vt:lpstr>
      <vt:lpstr>DEV_NonprofitPHAorMBEDBE8</vt:lpstr>
      <vt:lpstr>DEV_NonprofitPHAorMBEDBE9</vt:lpstr>
      <vt:lpstr>DEV_OwnershipPercentage1</vt:lpstr>
      <vt:lpstr>DEV_OwnershipPercentage10</vt:lpstr>
      <vt:lpstr>DEV_OwnershipPercentage11</vt:lpstr>
      <vt:lpstr>DEV_OwnershipPercentage12</vt:lpstr>
      <vt:lpstr>DEV_OwnershipPercentage13</vt:lpstr>
      <vt:lpstr>DEV_OwnershipPercentage14</vt:lpstr>
      <vt:lpstr>DEV_OwnershipPercentage15</vt:lpstr>
      <vt:lpstr>DEV_OwnershipPercentage16</vt:lpstr>
      <vt:lpstr>DEV_OwnershipPercentage17</vt:lpstr>
      <vt:lpstr>DEV_OwnershipPercentage18</vt:lpstr>
      <vt:lpstr>DEV_OwnershipPercentage19</vt:lpstr>
      <vt:lpstr>DEV_OwnershipPercentage2</vt:lpstr>
      <vt:lpstr>DEV_OwnershipPercentage20</vt:lpstr>
      <vt:lpstr>DEV_OwnershipPercentage3</vt:lpstr>
      <vt:lpstr>DEV_OwnershipPercentage4</vt:lpstr>
      <vt:lpstr>DEV_OwnershipPercentage5</vt:lpstr>
      <vt:lpstr>DEV_OwnershipPercentage6</vt:lpstr>
      <vt:lpstr>DEV_OwnershipPercentage7</vt:lpstr>
      <vt:lpstr>DEV_OwnershipPercentage8</vt:lpstr>
      <vt:lpstr>DEV_OwnershipPercentage9</vt:lpstr>
      <vt:lpstr>DEV_Phone1</vt:lpstr>
      <vt:lpstr>DEV_Phone10</vt:lpstr>
      <vt:lpstr>DEV_Phone11</vt:lpstr>
      <vt:lpstr>DEV_Phone12</vt:lpstr>
      <vt:lpstr>DEV_Phone13</vt:lpstr>
      <vt:lpstr>DEV_Phone14</vt:lpstr>
      <vt:lpstr>DEV_Phone15</vt:lpstr>
      <vt:lpstr>DEV_Phone16</vt:lpstr>
      <vt:lpstr>DEV_Phone17</vt:lpstr>
      <vt:lpstr>DEV_Phone18</vt:lpstr>
      <vt:lpstr>DEV_Phone19</vt:lpstr>
      <vt:lpstr>DEV_Phone2</vt:lpstr>
      <vt:lpstr>DEV_Phone20</vt:lpstr>
      <vt:lpstr>DEV_Phone3</vt:lpstr>
      <vt:lpstr>DEV_Phone4</vt:lpstr>
      <vt:lpstr>DEV_Phone5</vt:lpstr>
      <vt:lpstr>DEV_Phone6</vt:lpstr>
      <vt:lpstr>DEV_Phone7</vt:lpstr>
      <vt:lpstr>DEV_Phone8</vt:lpstr>
      <vt:lpstr>DEV_Phone9</vt:lpstr>
      <vt:lpstr>DEV_State1</vt:lpstr>
      <vt:lpstr>DEV_State10</vt:lpstr>
      <vt:lpstr>DEV_State11</vt:lpstr>
      <vt:lpstr>DEV_State12</vt:lpstr>
      <vt:lpstr>DEV_State13</vt:lpstr>
      <vt:lpstr>DEV_State14</vt:lpstr>
      <vt:lpstr>DEV_State15</vt:lpstr>
      <vt:lpstr>DEV_State16</vt:lpstr>
      <vt:lpstr>DEV_State17</vt:lpstr>
      <vt:lpstr>DEV_State18</vt:lpstr>
      <vt:lpstr>DEV_State19</vt:lpstr>
      <vt:lpstr>DEV_State2</vt:lpstr>
      <vt:lpstr>DEV_State20</vt:lpstr>
      <vt:lpstr>DEV_State3</vt:lpstr>
      <vt:lpstr>DEV_State4</vt:lpstr>
      <vt:lpstr>DEV_State5</vt:lpstr>
      <vt:lpstr>DEV_State6</vt:lpstr>
      <vt:lpstr>DEV_State7</vt:lpstr>
      <vt:lpstr>DEV_State8</vt:lpstr>
      <vt:lpstr>DEV_State9</vt:lpstr>
      <vt:lpstr>DEV_StreetAddress1</vt:lpstr>
      <vt:lpstr>DEV_StreetAddress10</vt:lpstr>
      <vt:lpstr>DEV_StreetAddress11</vt:lpstr>
      <vt:lpstr>DEV_StreetAddress12</vt:lpstr>
      <vt:lpstr>DEV_StreetAddress13</vt:lpstr>
      <vt:lpstr>DEV_StreetAddress14</vt:lpstr>
      <vt:lpstr>DEV_StreetAddress15</vt:lpstr>
      <vt:lpstr>DEV_StreetAddress16</vt:lpstr>
      <vt:lpstr>DEV_StreetAddress17</vt:lpstr>
      <vt:lpstr>DEV_StreetAddress18</vt:lpstr>
      <vt:lpstr>DEV_StreetAddress19</vt:lpstr>
      <vt:lpstr>DEV_StreetAddress2</vt:lpstr>
      <vt:lpstr>DEV_StreetAddress20</vt:lpstr>
      <vt:lpstr>DEV_StreetAddress3</vt:lpstr>
      <vt:lpstr>DEV_StreetAddress4</vt:lpstr>
      <vt:lpstr>DEV_StreetAddress5</vt:lpstr>
      <vt:lpstr>DEV_StreetAddress6</vt:lpstr>
      <vt:lpstr>DEV_StreetAddress7</vt:lpstr>
      <vt:lpstr>DEV_StreetAddress8</vt:lpstr>
      <vt:lpstr>DEV_StreetAddress9</vt:lpstr>
      <vt:lpstr>DEV_Title1</vt:lpstr>
      <vt:lpstr>DEV_Title10</vt:lpstr>
      <vt:lpstr>DEV_Title11</vt:lpstr>
      <vt:lpstr>DEV_Title12</vt:lpstr>
      <vt:lpstr>DEV_Title13</vt:lpstr>
      <vt:lpstr>DEV_Title14</vt:lpstr>
      <vt:lpstr>DEV_Title15</vt:lpstr>
      <vt:lpstr>DEV_Title16</vt:lpstr>
      <vt:lpstr>DEV_Title17</vt:lpstr>
      <vt:lpstr>DEV_Title18</vt:lpstr>
      <vt:lpstr>DEV_Title19</vt:lpstr>
      <vt:lpstr>DEV_Title2</vt:lpstr>
      <vt:lpstr>DEV_Title20</vt:lpstr>
      <vt:lpstr>DEV_Title3</vt:lpstr>
      <vt:lpstr>DEV_Title4</vt:lpstr>
      <vt:lpstr>DEV_Title5</vt:lpstr>
      <vt:lpstr>DEV_Title6</vt:lpstr>
      <vt:lpstr>DEV_Title7</vt:lpstr>
      <vt:lpstr>DEV_Title8</vt:lpstr>
      <vt:lpstr>DEV_Title9</vt:lpstr>
      <vt:lpstr>DEV_UnabletoUse</vt:lpstr>
      <vt:lpstr>DEV_UnabletoUseExplain</vt:lpstr>
      <vt:lpstr>DEV_UnpaidFees</vt:lpstr>
      <vt:lpstr>DEV_UnpaidFeesExplain</vt:lpstr>
      <vt:lpstr>DEV_WatchList</vt:lpstr>
      <vt:lpstr>DEV_WatchListExplain</vt:lpstr>
      <vt:lpstr>DEV_ZipCode1</vt:lpstr>
      <vt:lpstr>DEV_ZipCode10</vt:lpstr>
      <vt:lpstr>DEV_ZipCode11</vt:lpstr>
      <vt:lpstr>DEV_ZipCode12</vt:lpstr>
      <vt:lpstr>DEV_ZipCode13</vt:lpstr>
      <vt:lpstr>DEV_ZipCode14</vt:lpstr>
      <vt:lpstr>DEV_ZipCode15</vt:lpstr>
      <vt:lpstr>DEV_ZipCode16</vt:lpstr>
      <vt:lpstr>DEV_ZipCode17</vt:lpstr>
      <vt:lpstr>DEV_ZipCode18</vt:lpstr>
      <vt:lpstr>DEV_ZipCode19</vt:lpstr>
      <vt:lpstr>DEV_ZipCode2</vt:lpstr>
      <vt:lpstr>DEV_ZipCode20</vt:lpstr>
      <vt:lpstr>DEV_ZipCode3</vt:lpstr>
      <vt:lpstr>DEV_ZipCode4</vt:lpstr>
      <vt:lpstr>DEV_ZipCode5</vt:lpstr>
      <vt:lpstr>DEV_ZipCode6</vt:lpstr>
      <vt:lpstr>DEV_ZipCode7</vt:lpstr>
      <vt:lpstr>DEV_ZipCode8</vt:lpstr>
      <vt:lpstr>DEV_ZipCode9</vt:lpstr>
      <vt:lpstr>EXP_AdminAdvertisingandMarketing</vt:lpstr>
      <vt:lpstr>EXP_AdminAnnualTCMonitoringFee</vt:lpstr>
      <vt:lpstr>EXP_AdminAuditingExpenses</vt:lpstr>
      <vt:lpstr>EXP_AdminBadDebts</vt:lpstr>
      <vt:lpstr>EXP_AdminBookkeepingFees</vt:lpstr>
      <vt:lpstr>EXP_AdminLegalExpenses</vt:lpstr>
      <vt:lpstr>EXP_AdminManagementFee</vt:lpstr>
      <vt:lpstr>EXP_AdminManagementFeeAnnualRate</vt:lpstr>
      <vt:lpstr>EXP_AdminManagerUnit</vt:lpstr>
      <vt:lpstr>EXP_AdminMiscExpense1</vt:lpstr>
      <vt:lpstr>EXP_AdminMiscExpense1Describe</vt:lpstr>
      <vt:lpstr>EXP_AdminMiscExpense2</vt:lpstr>
      <vt:lpstr>EXP_AdminMiscExpense2Describe</vt:lpstr>
      <vt:lpstr>EXP_AdminMiscExpense3</vt:lpstr>
      <vt:lpstr>EXP_AdminMiscExpense3Describe</vt:lpstr>
      <vt:lpstr>EXP_AdminOfficeModelApartment</vt:lpstr>
      <vt:lpstr>EXP_AdminOfficeSalaries</vt:lpstr>
      <vt:lpstr>EXP_AdminOfficeSupplies</vt:lpstr>
      <vt:lpstr>EXP_AdminTelephone</vt:lpstr>
      <vt:lpstr>EXP_OMDecoratingPayrollorContract</vt:lpstr>
      <vt:lpstr>EXP_OMDecoratingSupplies</vt:lpstr>
      <vt:lpstr>EXP_OMElevatorMaintenanceorContract</vt:lpstr>
      <vt:lpstr>EXP_OMExterminatingPayrollorContract</vt:lpstr>
      <vt:lpstr>EXP_OMExterminatingSupplies</vt:lpstr>
      <vt:lpstr>EXP_OMGarbageandTrashRemoval</vt:lpstr>
      <vt:lpstr>EXP_OMGroundsContract</vt:lpstr>
      <vt:lpstr>EXP_OMGroundsPayroll</vt:lpstr>
      <vt:lpstr>EXP_OMGroundsSupplies</vt:lpstr>
      <vt:lpstr>EXP_OMHeatingACMaintenanceorContract</vt:lpstr>
      <vt:lpstr>EXP_OMJanitorandCleaningContract</vt:lpstr>
      <vt:lpstr>EXP_OMJanitorandCleaningPayroll</vt:lpstr>
      <vt:lpstr>EXP_OMJanitorandCleaningSupplies</vt:lpstr>
      <vt:lpstr>EXP_OMMiscOMExpenses</vt:lpstr>
      <vt:lpstr>EXP_OMMiscOMExpensesDescribe</vt:lpstr>
      <vt:lpstr>EXP_OMOtherOMExpenses</vt:lpstr>
      <vt:lpstr>EXP_OMOtherOMExpensesDescribe</vt:lpstr>
      <vt:lpstr>EXP_OMPoolMaintenanceorContract</vt:lpstr>
      <vt:lpstr>EXP_OMRepairsContract</vt:lpstr>
      <vt:lpstr>EXP_OMRepairsMaterial</vt:lpstr>
      <vt:lpstr>EXP_OMRepairsPayroll</vt:lpstr>
      <vt:lpstr>EXP_OMSecurityPayrollorContract</vt:lpstr>
      <vt:lpstr>EXP_OMSnowRemoval</vt:lpstr>
      <vt:lpstr>EXP_RRReserveforReplacement</vt:lpstr>
      <vt:lpstr>EXP_TaxInsFidelityBondInsurance</vt:lpstr>
      <vt:lpstr>EXP_TaxInsHealthInsurance</vt:lpstr>
      <vt:lpstr>EXP_TaxInsLiabilityInsurance</vt:lpstr>
      <vt:lpstr>EXP_TaxInsMiscTaxesLicensesandPermits</vt:lpstr>
      <vt:lpstr>EXP_TaxInsOtherInsurance</vt:lpstr>
      <vt:lpstr>EXP_TaxInsOtherInsuranceDescribe</vt:lpstr>
      <vt:lpstr>EXP_TaxInsPaymentTaxesAnnual</vt:lpstr>
      <vt:lpstr>EXP_TaxInsPaymentTaxesTotal</vt:lpstr>
      <vt:lpstr>EXP_TaxInsPaymentTaxesYears</vt:lpstr>
      <vt:lpstr>EXP_TaxInsPayrollTaxes</vt:lpstr>
      <vt:lpstr>EXP_TaxInsPropertyInsurance</vt:lpstr>
      <vt:lpstr>EXP_TaxInsRealEstateTaxes</vt:lpstr>
      <vt:lpstr>EXP_TaxInsWorkmenCompensation</vt:lpstr>
      <vt:lpstr>EXP_UTILElectricity</vt:lpstr>
      <vt:lpstr>EXP_UTILFuelOil</vt:lpstr>
      <vt:lpstr>EXP_UTILGas</vt:lpstr>
      <vt:lpstr>EXP_UTILSewer</vt:lpstr>
      <vt:lpstr>EXP_UTILWater</vt:lpstr>
      <vt:lpstr>GEN_Acquisition</vt:lpstr>
      <vt:lpstr>GEN_Address1</vt:lpstr>
      <vt:lpstr>GEN_AmenitiesCableAccess</vt:lpstr>
      <vt:lpstr>GEN_AmenitiesCarpet</vt:lpstr>
      <vt:lpstr>GEN_AmenitiesDishwasher</vt:lpstr>
      <vt:lpstr>GEN_AmenitiesDisposal</vt:lpstr>
      <vt:lpstr>GEN_AmenitiesInternetAccess</vt:lpstr>
      <vt:lpstr>GEN_AmenitiesLaundryFacilities</vt:lpstr>
      <vt:lpstr>GEN_AmenitiesMicrowave</vt:lpstr>
      <vt:lpstr>GEN_AmenitiesOther1</vt:lpstr>
      <vt:lpstr>GEN_AmenitiesOther1Describe</vt:lpstr>
      <vt:lpstr>GEN_AmenitiesOther2</vt:lpstr>
      <vt:lpstr>GEN_AmenitiesOther2Describe</vt:lpstr>
      <vt:lpstr>GEN_AmenitiesOther3</vt:lpstr>
      <vt:lpstr>GEN_AmenitiesOther3Describe</vt:lpstr>
      <vt:lpstr>GEN_AmenitiesTransportationServices</vt:lpstr>
      <vt:lpstr>GEN_AmenitiesWDHookup</vt:lpstr>
      <vt:lpstr>GEN_AppType</vt:lpstr>
      <vt:lpstr>GEN_AreaCirculation</vt:lpstr>
      <vt:lpstr>GEN_AreaCommercial</vt:lpstr>
      <vt:lpstr>GEN_AreaCommercialDescr</vt:lpstr>
      <vt:lpstr>GEN_AreaCommonSpace</vt:lpstr>
      <vt:lpstr>GEN_AreaOther1</vt:lpstr>
      <vt:lpstr>GEN_AreaOther1Descr</vt:lpstr>
      <vt:lpstr>GEN_AreaOther2</vt:lpstr>
      <vt:lpstr>GEN_AreaOther2Descr</vt:lpstr>
      <vt:lpstr>GEN_AreaOther3</vt:lpstr>
      <vt:lpstr>GEN_AreaOther3Descr</vt:lpstr>
      <vt:lpstr>GEN_AreaOther4</vt:lpstr>
      <vt:lpstr>GEN_AreaOther4Descr</vt:lpstr>
      <vt:lpstr>GEN_AreaOther5</vt:lpstr>
      <vt:lpstr>GEN_AreaOther5Descr</vt:lpstr>
      <vt:lpstr>GEN_AreaRecreation</vt:lpstr>
      <vt:lpstr>GEN_AreaResUnitsLowIncome</vt:lpstr>
      <vt:lpstr>GEN_AreaResUnitsMarket</vt:lpstr>
      <vt:lpstr>GEN_AreaResUnitsNonResStaff</vt:lpstr>
      <vt:lpstr>GEN_BasisBoost</vt:lpstr>
      <vt:lpstr>GEN_CensusTract</vt:lpstr>
      <vt:lpstr>GEN_City</vt:lpstr>
      <vt:lpstr>GEN_CommercialUnit</vt:lpstr>
      <vt:lpstr>GEN_CongressionalDistrict</vt:lpstr>
      <vt:lpstr>GEN_Contact</vt:lpstr>
      <vt:lpstr>GEN_Contractextensionperiod</vt:lpstr>
      <vt:lpstr>GEN_County</vt:lpstr>
      <vt:lpstr>GEN_CreditEnhancement</vt:lpstr>
      <vt:lpstr>GEN_CurrentZoningClassification</vt:lpstr>
      <vt:lpstr>GEN_DatesiteAcquired</vt:lpstr>
      <vt:lpstr>GEN_DescribeCurrentClassification</vt:lpstr>
      <vt:lpstr>GEN_DevFeeFundedReserve</vt:lpstr>
      <vt:lpstr>GEN_DHCDDebtYN1</vt:lpstr>
      <vt:lpstr>GEN_DHCDDebtYN2</vt:lpstr>
      <vt:lpstr>GEN_DHCDDebtYN3</vt:lpstr>
      <vt:lpstr>GEN_DHCDDebtYN4</vt:lpstr>
      <vt:lpstr>GEN_DHCDDebtYN5</vt:lpstr>
      <vt:lpstr>GEN_DHCDDebtYN6</vt:lpstr>
      <vt:lpstr>GEN_DHCDDebtYN7</vt:lpstr>
      <vt:lpstr>GEN_DHCDDebtYN8</vt:lpstr>
      <vt:lpstr>GEN_Elderly</vt:lpstr>
      <vt:lpstr>GEN_Email</vt:lpstr>
      <vt:lpstr>GEN_Extension1</vt:lpstr>
      <vt:lpstr>GEN_Extension2</vt:lpstr>
      <vt:lpstr>GEN_Extension3</vt:lpstr>
      <vt:lpstr>GEN_GeneralOccupancy</vt:lpstr>
      <vt:lpstr>GEN_HistoricRehab</vt:lpstr>
      <vt:lpstr>GEN_HomeownershipTransition</vt:lpstr>
      <vt:lpstr>GEN_HUDProj</vt:lpstr>
      <vt:lpstr>GEN_Identityofinterest</vt:lpstr>
      <vt:lpstr>GEN_LegislativeDistrict</vt:lpstr>
      <vt:lpstr>GEN_Lot</vt:lpstr>
      <vt:lpstr>GEN_NewConstruction</vt:lpstr>
      <vt:lpstr>GEN_OwnerName</vt:lpstr>
      <vt:lpstr>GEN_OwnerTaxpayerID</vt:lpstr>
      <vt:lpstr>GEN_OwnerTypeCorporation</vt:lpstr>
      <vt:lpstr>GEN_OwnerTypeGP</vt:lpstr>
      <vt:lpstr>GEN_OwnerTypeIndividual</vt:lpstr>
      <vt:lpstr>GEN_OwnerTypeLLC</vt:lpstr>
      <vt:lpstr>GEN_OwnerTypeLocalGov</vt:lpstr>
      <vt:lpstr>GEN_OwnerTypeLP</vt:lpstr>
      <vt:lpstr>GEN_OwnerTypeOther</vt:lpstr>
      <vt:lpstr>GEN_OwnerTypeOtherDescribe</vt:lpstr>
      <vt:lpstr>GEN_Parcel</vt:lpstr>
      <vt:lpstr>GEN_PercentOccupied</vt:lpstr>
      <vt:lpstr>GEN_PermanentRelocation</vt:lpstr>
      <vt:lpstr>GEN_Phone</vt:lpstr>
      <vt:lpstr>GEN_PrincipalsName1</vt:lpstr>
      <vt:lpstr>GEN_PrincipalsName2</vt:lpstr>
      <vt:lpstr>GEN_PrincipalsName3</vt:lpstr>
      <vt:lpstr>GEN_PrincipalsNonprofit1</vt:lpstr>
      <vt:lpstr>GEN_PrincipalsNonprofit2</vt:lpstr>
      <vt:lpstr>GEN_PrincipalsNonprofit3</vt:lpstr>
      <vt:lpstr>GEN_PrincipalsOwnershipInterest1</vt:lpstr>
      <vt:lpstr>GEN_PrincipalsOwnershipInterest2</vt:lpstr>
      <vt:lpstr>GEN_PrincipalsOwnershipInterest3</vt:lpstr>
      <vt:lpstr>GEN_PrincipalsTaxpayerID1</vt:lpstr>
      <vt:lpstr>GEN_PrincipalsTaxpayerID2</vt:lpstr>
      <vt:lpstr>GEN_PrincipalsTaxpayerID3</vt:lpstr>
      <vt:lpstr>GEN_ProjCity</vt:lpstr>
      <vt:lpstr>GEN_ProjectDescription</vt:lpstr>
      <vt:lpstr>GEN_ProjZip</vt:lpstr>
      <vt:lpstr>GEN_Refinance</vt:lpstr>
      <vt:lpstr>GEN_Rehabilitation</vt:lpstr>
      <vt:lpstr>GEN_RelatedParty</vt:lpstr>
      <vt:lpstr>GEN_SiteControlExpire1</vt:lpstr>
      <vt:lpstr>GEN_SiteControlExpire2</vt:lpstr>
      <vt:lpstr>GEN_SiteControlExpire3</vt:lpstr>
      <vt:lpstr>GEN_SiteControlType</vt:lpstr>
      <vt:lpstr>GEN_SiteControlYN</vt:lpstr>
      <vt:lpstr>GEN_SpecialNeeds</vt:lpstr>
      <vt:lpstr>GEN_SponsorCompanyName</vt:lpstr>
      <vt:lpstr>GEN_State</vt:lpstr>
      <vt:lpstr>GEN_StreetAddress</vt:lpstr>
      <vt:lpstr>GEN_Subsidy</vt:lpstr>
      <vt:lpstr>GEN_TargetPop1</vt:lpstr>
      <vt:lpstr>GEN_TargetPop2</vt:lpstr>
      <vt:lpstr>GEN_TargetPop3</vt:lpstr>
      <vt:lpstr>GEN_TargetPop4</vt:lpstr>
      <vt:lpstr>GEN_TargetPopType1</vt:lpstr>
      <vt:lpstr>GEN_TargetPopType2</vt:lpstr>
      <vt:lpstr>GEN_TargetPopType4</vt:lpstr>
      <vt:lpstr>GEN_TaxMap</vt:lpstr>
      <vt:lpstr>GEN_TemporaryRelocation</vt:lpstr>
      <vt:lpstr>GEN_Title</vt:lpstr>
      <vt:lpstr>GEN_TotalLandArea</vt:lpstr>
      <vt:lpstr>GEN_UFASUnits1BR</vt:lpstr>
      <vt:lpstr>GEN_UFASUnits2BR</vt:lpstr>
      <vt:lpstr>GEN_UFASUnits3BR</vt:lpstr>
      <vt:lpstr>GEN_UFASUnits4BR</vt:lpstr>
      <vt:lpstr>GEN_UFASUnits5BR</vt:lpstr>
      <vt:lpstr>GEN_UFASUnits6BR</vt:lpstr>
      <vt:lpstr>GEN_UnitNC</vt:lpstr>
      <vt:lpstr>GEN_UnitRehab</vt:lpstr>
      <vt:lpstr>GEN_Zip</vt:lpstr>
      <vt:lpstr>GEN_Zoningchange</vt:lpstr>
      <vt:lpstr>GEN_ZoningchangeDateApplication</vt:lpstr>
      <vt:lpstr>GEN_ZoningchangeDateApproval</vt:lpstr>
      <vt:lpstr>GEN_ZoningchangeDateHearing</vt:lpstr>
      <vt:lpstr>INC_AirConditioning</vt:lpstr>
      <vt:lpstr>INC_CommercialIncomeDescribe</vt:lpstr>
      <vt:lpstr>INC_CommercialIncomeMonthlyIncome</vt:lpstr>
      <vt:lpstr>INC_CommercialIncomeSquarefootage</vt:lpstr>
      <vt:lpstr>INC_Cooking</vt:lpstr>
      <vt:lpstr>INC_Heat</vt:lpstr>
      <vt:lpstr>INC_HotWater</vt:lpstr>
      <vt:lpstr>INC_HouseholdElectric</vt:lpstr>
      <vt:lpstr>INC_LIHTCBaths1</vt:lpstr>
      <vt:lpstr>INC_LIHTCBaths10</vt:lpstr>
      <vt:lpstr>INC_LIHTCBaths11</vt:lpstr>
      <vt:lpstr>INC_LIHTCBaths12</vt:lpstr>
      <vt:lpstr>INC_LIHTCBaths13</vt:lpstr>
      <vt:lpstr>INC_LIHTCBaths14</vt:lpstr>
      <vt:lpstr>INC_LIHTCBaths15</vt:lpstr>
      <vt:lpstr>INC_LIHTCBaths16</vt:lpstr>
      <vt:lpstr>INC_LIHTCBaths17</vt:lpstr>
      <vt:lpstr>INC_LIHTCBaths18</vt:lpstr>
      <vt:lpstr>INC_LIHTCBaths19</vt:lpstr>
      <vt:lpstr>INC_LIHTCBaths2</vt:lpstr>
      <vt:lpstr>INC_LIHTCBaths20</vt:lpstr>
      <vt:lpstr>INC_LIHTCBaths21</vt:lpstr>
      <vt:lpstr>INC_LIHTCBaths22</vt:lpstr>
      <vt:lpstr>INC_LIHTCBaths23</vt:lpstr>
      <vt:lpstr>INC_LIHTCBaths24</vt:lpstr>
      <vt:lpstr>INC_LIHTCBaths25</vt:lpstr>
      <vt:lpstr>INC_LIHTCBaths26</vt:lpstr>
      <vt:lpstr>INC_LIHTCBaths27</vt:lpstr>
      <vt:lpstr>INC_LIHTCBaths28</vt:lpstr>
      <vt:lpstr>INC_LIHTCBaths29</vt:lpstr>
      <vt:lpstr>INC_LIHTCBaths3</vt:lpstr>
      <vt:lpstr>INC_LIHTCBaths30</vt:lpstr>
      <vt:lpstr>INC_LIHTCBaths4</vt:lpstr>
      <vt:lpstr>INC_LIHTCBaths5</vt:lpstr>
      <vt:lpstr>INC_LIHTCBaths6</vt:lpstr>
      <vt:lpstr>INC_LIHTCBaths7</vt:lpstr>
      <vt:lpstr>INC_LIHTCBaths8</vt:lpstr>
      <vt:lpstr>INC_LIHTCBaths9</vt:lpstr>
      <vt:lpstr>INC_LIHTCBedrooms1</vt:lpstr>
      <vt:lpstr>INC_LIHTCBedrooms10</vt:lpstr>
      <vt:lpstr>INC_LIHTCBedrooms11</vt:lpstr>
      <vt:lpstr>INC_LIHTCBedrooms12</vt:lpstr>
      <vt:lpstr>INC_LIHTCBedrooms13</vt:lpstr>
      <vt:lpstr>INC_LIHTCBedrooms14</vt:lpstr>
      <vt:lpstr>INC_LIHTCBedrooms15</vt:lpstr>
      <vt:lpstr>INC_LIHTCBedrooms16</vt:lpstr>
      <vt:lpstr>INC_LIHTCBedrooms17</vt:lpstr>
      <vt:lpstr>INC_LIHTCBedrooms18</vt:lpstr>
      <vt:lpstr>INC_LIHTCBedrooms19</vt:lpstr>
      <vt:lpstr>INC_LIHTCBedrooms2</vt:lpstr>
      <vt:lpstr>INC_LIHTCBedrooms20</vt:lpstr>
      <vt:lpstr>INC_LIHTCBedrooms21</vt:lpstr>
      <vt:lpstr>INC_LIHTCBedrooms22</vt:lpstr>
      <vt:lpstr>INC_LIHTCBedrooms23</vt:lpstr>
      <vt:lpstr>INC_LIHTCBedrooms24</vt:lpstr>
      <vt:lpstr>INC_LIHTCBedrooms25</vt:lpstr>
      <vt:lpstr>INC_LIHTCBedrooms26</vt:lpstr>
      <vt:lpstr>INC_LIHTCBedrooms27</vt:lpstr>
      <vt:lpstr>INC_LIHTCBedrooms28</vt:lpstr>
      <vt:lpstr>INC_LIHTCBedrooms29</vt:lpstr>
      <vt:lpstr>INC_LIHTCBedrooms3</vt:lpstr>
      <vt:lpstr>INC_LIHTCBedrooms30</vt:lpstr>
      <vt:lpstr>INC_LIHTCBedrooms4</vt:lpstr>
      <vt:lpstr>INC_LIHTCBedrooms5</vt:lpstr>
      <vt:lpstr>INC_LIHTCBedrooms6</vt:lpstr>
      <vt:lpstr>INC_LIHTCBedrooms7</vt:lpstr>
      <vt:lpstr>INC_LIHTCBedrooms8</vt:lpstr>
      <vt:lpstr>INC_LIHTCBedrooms9</vt:lpstr>
      <vt:lpstr>INC_LIHTCIncomePerUnit1</vt:lpstr>
      <vt:lpstr>INC_LIHTCIncomePerUnit10</vt:lpstr>
      <vt:lpstr>INC_LIHTCIncomePerUnit11</vt:lpstr>
      <vt:lpstr>INC_LIHTCIncomePerUnit12</vt:lpstr>
      <vt:lpstr>INC_LIHTCIncomePerUnit13</vt:lpstr>
      <vt:lpstr>INC_LIHTCIncomePerUnit14</vt:lpstr>
      <vt:lpstr>INC_LIHTCIncomePerUnit15</vt:lpstr>
      <vt:lpstr>INC_LIHTCIncomePerUnit16</vt:lpstr>
      <vt:lpstr>INC_LIHTCIncomePerUnit17</vt:lpstr>
      <vt:lpstr>INC_LIHTCIncomePerUnit18</vt:lpstr>
      <vt:lpstr>INC_LIHTCIncomePerUnit19</vt:lpstr>
      <vt:lpstr>INC_LIHTCIncomePerUnit2</vt:lpstr>
      <vt:lpstr>INC_LIHTCIncomePerUnit20</vt:lpstr>
      <vt:lpstr>INC_LIHTCIncomePerUnit21</vt:lpstr>
      <vt:lpstr>INC_LIHTCIncomePerUnit22</vt:lpstr>
      <vt:lpstr>INC_LIHTCIncomePerUnit23</vt:lpstr>
      <vt:lpstr>INC_LIHTCIncomePerUnit24</vt:lpstr>
      <vt:lpstr>INC_LIHTCIncomePerUnit25</vt:lpstr>
      <vt:lpstr>INC_LIHTCIncomePerUnit26</vt:lpstr>
      <vt:lpstr>INC_LIHTCIncomePerUnit27</vt:lpstr>
      <vt:lpstr>INC_LIHTCIncomePerUnit28</vt:lpstr>
      <vt:lpstr>INC_LIHTCIncomePerUnit29</vt:lpstr>
      <vt:lpstr>INC_LIHTCIncomePerUnit3</vt:lpstr>
      <vt:lpstr>INC_LIHTCIncomePerUnit30</vt:lpstr>
      <vt:lpstr>INC_LIHTCIncomePerUnit4</vt:lpstr>
      <vt:lpstr>INC_LIHTCIncomePerUnit5</vt:lpstr>
      <vt:lpstr>INC_LIHTCIncomePerUnit6</vt:lpstr>
      <vt:lpstr>INC_LIHTCIncomePerUnit7</vt:lpstr>
      <vt:lpstr>INC_LIHTCIncomePerUnit8</vt:lpstr>
      <vt:lpstr>INC_LIHTCIncomePerUnit9</vt:lpstr>
      <vt:lpstr>INC_LIHTCMedianIncome1</vt:lpstr>
      <vt:lpstr>INC_LIHTCMedianIncome10</vt:lpstr>
      <vt:lpstr>INC_LIHTCMedianIncome11</vt:lpstr>
      <vt:lpstr>INC_LIHTCMedianIncome12</vt:lpstr>
      <vt:lpstr>INC_LIHTCMedianIncome13</vt:lpstr>
      <vt:lpstr>INC_LIHTCMedianIncome14</vt:lpstr>
      <vt:lpstr>INC_LIHTCMedianIncome15</vt:lpstr>
      <vt:lpstr>INC_LIHTCMedianIncome16</vt:lpstr>
      <vt:lpstr>INC_LIHTCMedianIncome17</vt:lpstr>
      <vt:lpstr>INC_LIHTCMedianIncome18</vt:lpstr>
      <vt:lpstr>INC_LIHTCMedianIncome19</vt:lpstr>
      <vt:lpstr>INC_LIHTCMedianIncome2</vt:lpstr>
      <vt:lpstr>INC_LIHTCMedianIncome20</vt:lpstr>
      <vt:lpstr>INC_LIHTCMedianIncome21</vt:lpstr>
      <vt:lpstr>INC_LIHTCMedianIncome22</vt:lpstr>
      <vt:lpstr>INC_LIHTCMedianIncome23</vt:lpstr>
      <vt:lpstr>INC_LIHTCMedianIncome24</vt:lpstr>
      <vt:lpstr>INC_LIHTCMedianIncome25</vt:lpstr>
      <vt:lpstr>INC_LIHTCMedianIncome26</vt:lpstr>
      <vt:lpstr>INC_LIHTCMedianIncome27</vt:lpstr>
      <vt:lpstr>INC_LIHTCMedianIncome28</vt:lpstr>
      <vt:lpstr>INC_LIHTCMedianIncome29</vt:lpstr>
      <vt:lpstr>INC_LIHTCMedianIncome3</vt:lpstr>
      <vt:lpstr>INC_LIHTCMedianIncome30</vt:lpstr>
      <vt:lpstr>INC_LIHTCMedianIncome4</vt:lpstr>
      <vt:lpstr>INC_LIHTCMedianIncome5</vt:lpstr>
      <vt:lpstr>INC_LIHTCMedianIncome6</vt:lpstr>
      <vt:lpstr>INC_LIHTCMedianIncome7</vt:lpstr>
      <vt:lpstr>INC_LIHTCMedianIncome8</vt:lpstr>
      <vt:lpstr>INC_LIHTCMedianIncome9</vt:lpstr>
      <vt:lpstr>INC_LIHTCNumberofUnits1</vt:lpstr>
      <vt:lpstr>INC_LIHTCNumberofUnits10</vt:lpstr>
      <vt:lpstr>INC_LIHTCNumberofUnits11</vt:lpstr>
      <vt:lpstr>INC_LIHTCNumberofUnits12</vt:lpstr>
      <vt:lpstr>INC_LIHTCNumberofUnits13</vt:lpstr>
      <vt:lpstr>INC_LIHTCNumberofUnits14</vt:lpstr>
      <vt:lpstr>INC_LIHTCNumberofUnits15</vt:lpstr>
      <vt:lpstr>INC_LIHTCNumberofUnits16</vt:lpstr>
      <vt:lpstr>INC_LIHTCNumberofUnits17</vt:lpstr>
      <vt:lpstr>INC_LIHTCNumberofUnits18</vt:lpstr>
      <vt:lpstr>INC_LIHTCNumberofUnits19</vt:lpstr>
      <vt:lpstr>INC_LIHTCNumberofUnits2</vt:lpstr>
      <vt:lpstr>INC_LIHTCNumberofUnits20</vt:lpstr>
      <vt:lpstr>INC_LIHTCNumberofUnits21</vt:lpstr>
      <vt:lpstr>INC_LIHTCNumberofUnits22</vt:lpstr>
      <vt:lpstr>INC_LIHTCNumberofUnits23</vt:lpstr>
      <vt:lpstr>INC_LIHTCNumberofUnits24</vt:lpstr>
      <vt:lpstr>INC_LIHTCNumberofUnits25</vt:lpstr>
      <vt:lpstr>INC_LIHTCNumberofUnits26</vt:lpstr>
      <vt:lpstr>INC_LIHTCNumberofUnits27</vt:lpstr>
      <vt:lpstr>INC_LIHTCNumberofUnits28</vt:lpstr>
      <vt:lpstr>INC_LIHTCNumberofUnits29</vt:lpstr>
      <vt:lpstr>INC_LIHTCNumberofUnits3</vt:lpstr>
      <vt:lpstr>INC_LIHTCNumberofUnits30</vt:lpstr>
      <vt:lpstr>INC_LIHTCNumberofUnits4</vt:lpstr>
      <vt:lpstr>INC_LIHTCNumberofUnits5</vt:lpstr>
      <vt:lpstr>INC_LIHTCNumberofUnits6</vt:lpstr>
      <vt:lpstr>INC_LIHTCNumberofUnits7</vt:lpstr>
      <vt:lpstr>INC_LIHTCNumberofUnits8</vt:lpstr>
      <vt:lpstr>INC_LIHTCNumberofUnits9</vt:lpstr>
      <vt:lpstr>INC_LIHTCRentSubsidy1</vt:lpstr>
      <vt:lpstr>INC_LIHTCRentSubsidy10</vt:lpstr>
      <vt:lpstr>INC_LIHTCRentSubsidy11</vt:lpstr>
      <vt:lpstr>INC_LIHTCRentSubsidy12</vt:lpstr>
      <vt:lpstr>INC_LIHTCRentSubsidy13</vt:lpstr>
      <vt:lpstr>INC_LIHTCRentSubsidy14</vt:lpstr>
      <vt:lpstr>INC_LIHTCRentSubsidy15</vt:lpstr>
      <vt:lpstr>INC_LIHTCRentSubsidy16</vt:lpstr>
      <vt:lpstr>INC_LIHTCRentSubsidy17</vt:lpstr>
      <vt:lpstr>INC_LIHTCRentSubsidy18</vt:lpstr>
      <vt:lpstr>INC_LIHTCRentSubsidy19</vt:lpstr>
      <vt:lpstr>INC_LIHTCRentSubsidy2</vt:lpstr>
      <vt:lpstr>INC_LIHTCRentSubsidy20</vt:lpstr>
      <vt:lpstr>INC_LIHTCRentSubsidy21</vt:lpstr>
      <vt:lpstr>INC_LIHTCRentSubsidy22</vt:lpstr>
      <vt:lpstr>INC_LIHTCRentSubsidy23</vt:lpstr>
      <vt:lpstr>INC_LIHTCRentSubsidy24</vt:lpstr>
      <vt:lpstr>INC_LIHTCRentSubsidy25</vt:lpstr>
      <vt:lpstr>INC_LIHTCRentSubsidy26</vt:lpstr>
      <vt:lpstr>INC_LIHTCRentSubsidy27</vt:lpstr>
      <vt:lpstr>INC_LIHTCRentSubsidy28</vt:lpstr>
      <vt:lpstr>INC_LIHTCRentSubsidy29</vt:lpstr>
      <vt:lpstr>INC_LIHTCRentSubsidy3</vt:lpstr>
      <vt:lpstr>INC_LIHTCRentSubsidy30</vt:lpstr>
      <vt:lpstr>INC_LIHTCRentSubsidy4</vt:lpstr>
      <vt:lpstr>INC_LIHTCRentSubsidy5</vt:lpstr>
      <vt:lpstr>INC_LIHTCRentSubsidy6</vt:lpstr>
      <vt:lpstr>INC_LIHTCRentSubsidy7</vt:lpstr>
      <vt:lpstr>INC_LIHTCRentSubsidy8</vt:lpstr>
      <vt:lpstr>INC_LIHTCRentSubsidy9</vt:lpstr>
      <vt:lpstr>INC_LIHTCRentSubsidySource1</vt:lpstr>
      <vt:lpstr>INC_LIHTCRentSubsidySource10</vt:lpstr>
      <vt:lpstr>INC_LIHTCRentSubsidySource11</vt:lpstr>
      <vt:lpstr>INC_LIHTCRentSubsidySource12</vt:lpstr>
      <vt:lpstr>INC_LIHTCRentSubsidySource13</vt:lpstr>
      <vt:lpstr>INC_LIHTCRentSubsidySource14</vt:lpstr>
      <vt:lpstr>INC_LIHTCRentSubsidySource15</vt:lpstr>
      <vt:lpstr>INC_LIHTCRentSubsidySource16</vt:lpstr>
      <vt:lpstr>INC_LIHTCRentSubsidySource17</vt:lpstr>
      <vt:lpstr>INC_LIHTCRentSubsidySource18</vt:lpstr>
      <vt:lpstr>INC_LIHTCRentSubsidySource19</vt:lpstr>
      <vt:lpstr>INC_LIHTCRentSubsidySource2</vt:lpstr>
      <vt:lpstr>INC_LIHTCRentSubsidySource20</vt:lpstr>
      <vt:lpstr>INC_LIHTCRentSubsidySource21</vt:lpstr>
      <vt:lpstr>INC_LIHTCRentSubsidySource22</vt:lpstr>
      <vt:lpstr>INC_LIHTCRentSubsidySource23</vt:lpstr>
      <vt:lpstr>INC_LIHTCRentSubsidySource24</vt:lpstr>
      <vt:lpstr>INC_LIHTCRentSubsidySource25</vt:lpstr>
      <vt:lpstr>INC_LIHTCRentSubsidySource26</vt:lpstr>
      <vt:lpstr>INC_LIHTCRentSubsidySource27</vt:lpstr>
      <vt:lpstr>INC_LIHTCRentSubsidySource28</vt:lpstr>
      <vt:lpstr>INC_LIHTCRentSubsidySource29</vt:lpstr>
      <vt:lpstr>INC_LIHTCRentSubsidySource3</vt:lpstr>
      <vt:lpstr>INC_LIHTCRentSubsidySource30</vt:lpstr>
      <vt:lpstr>INC_LIHTCRentSubsidySource4</vt:lpstr>
      <vt:lpstr>INC_LIHTCRentSubsidySource5</vt:lpstr>
      <vt:lpstr>INC_LIHTCRentSubsidySource6</vt:lpstr>
      <vt:lpstr>INC_LIHTCRentSubsidySource7</vt:lpstr>
      <vt:lpstr>INC_LIHTCRentSubsidySource8</vt:lpstr>
      <vt:lpstr>INC_LIHTCRentSubsidySource9</vt:lpstr>
      <vt:lpstr>INC_LIHTCResidentPaidRent1</vt:lpstr>
      <vt:lpstr>INC_LIHTCResidentPaidRent10</vt:lpstr>
      <vt:lpstr>INC_LIHTCResidentPaidRent11</vt:lpstr>
      <vt:lpstr>INC_LIHTCResidentPaidRent12</vt:lpstr>
      <vt:lpstr>INC_LIHTCResidentPaidRent13</vt:lpstr>
      <vt:lpstr>INC_LIHTCResidentPaidRent14</vt:lpstr>
      <vt:lpstr>INC_LIHTCResidentPaidRent15</vt:lpstr>
      <vt:lpstr>INC_LIHTCResidentPaidRent16</vt:lpstr>
      <vt:lpstr>INC_LIHTCResidentPaidRent17</vt:lpstr>
      <vt:lpstr>INC_LIHTCResidentPaidRent18</vt:lpstr>
      <vt:lpstr>INC_LIHTCResidentPaidRent19</vt:lpstr>
      <vt:lpstr>INC_LIHTCResidentPaidRent2</vt:lpstr>
      <vt:lpstr>INC_LIHTCResidentPaidRent20</vt:lpstr>
      <vt:lpstr>INC_LIHTCResidentPaidRent21</vt:lpstr>
      <vt:lpstr>INC_LIHTCResidentPaidRent22</vt:lpstr>
      <vt:lpstr>INC_LIHTCResidentPaidRent23</vt:lpstr>
      <vt:lpstr>INC_LIHTCResidentPaidRent24</vt:lpstr>
      <vt:lpstr>INC_LIHTCResidentPaidRent25</vt:lpstr>
      <vt:lpstr>INC_LIHTCResidentPaidRent26</vt:lpstr>
      <vt:lpstr>INC_LIHTCResidentPaidRent27</vt:lpstr>
      <vt:lpstr>INC_LIHTCResidentPaidRent28</vt:lpstr>
      <vt:lpstr>INC_LIHTCResidentPaidRent29</vt:lpstr>
      <vt:lpstr>INC_LIHTCResidentPaidRent3</vt:lpstr>
      <vt:lpstr>INC_LIHTCResidentPaidRent30</vt:lpstr>
      <vt:lpstr>INC_LIHTCResidentPaidRent4</vt:lpstr>
      <vt:lpstr>INC_LIHTCResidentPaidRent5</vt:lpstr>
      <vt:lpstr>INC_LIHTCResidentPaidRent6</vt:lpstr>
      <vt:lpstr>INC_LIHTCResidentPaidRent7</vt:lpstr>
      <vt:lpstr>INC_LIHTCResidentPaidRent8</vt:lpstr>
      <vt:lpstr>INC_LIHTCResidentPaidRent9</vt:lpstr>
      <vt:lpstr>INC_LIHTCTenantUtilities1</vt:lpstr>
      <vt:lpstr>INC_LIHTCTenantUtilities10</vt:lpstr>
      <vt:lpstr>INC_LIHTCTenantUtilities11</vt:lpstr>
      <vt:lpstr>INC_LIHTCTenantUtilities12</vt:lpstr>
      <vt:lpstr>INC_LIHTCTenantUtilities13</vt:lpstr>
      <vt:lpstr>INC_LIHTCTenantUtilities14</vt:lpstr>
      <vt:lpstr>INC_LIHTCTenantUtilities15</vt:lpstr>
      <vt:lpstr>INC_LIHTCTenantUtilities16</vt:lpstr>
      <vt:lpstr>INC_LIHTCTenantUtilities17</vt:lpstr>
      <vt:lpstr>INC_LIHTCTenantUtilities18</vt:lpstr>
      <vt:lpstr>INC_LIHTCTenantUtilities19</vt:lpstr>
      <vt:lpstr>INC_LIHTCTenantUtilities2</vt:lpstr>
      <vt:lpstr>INC_LIHTCTenantUtilities20</vt:lpstr>
      <vt:lpstr>INC_LIHTCTenantUtilities21</vt:lpstr>
      <vt:lpstr>INC_LIHTCTenantUtilities22</vt:lpstr>
      <vt:lpstr>INC_LIHTCTenantUtilities23</vt:lpstr>
      <vt:lpstr>INC_LIHTCTenantUtilities24</vt:lpstr>
      <vt:lpstr>INC_LIHTCTenantUtilities25</vt:lpstr>
      <vt:lpstr>INC_LIHTCTenantUtilities26</vt:lpstr>
      <vt:lpstr>INC_LIHTCTenantUtilities27</vt:lpstr>
      <vt:lpstr>INC_LIHTCTenantUtilities28</vt:lpstr>
      <vt:lpstr>INC_LIHTCTenantUtilities29</vt:lpstr>
      <vt:lpstr>INC_LIHTCTenantUtilities3</vt:lpstr>
      <vt:lpstr>INC_LIHTCTenantUtilities30</vt:lpstr>
      <vt:lpstr>INC_LIHTCTenantUtilities4</vt:lpstr>
      <vt:lpstr>INC_LIHTCTenantUtilities5</vt:lpstr>
      <vt:lpstr>INC_LIHTCTenantUtilities6</vt:lpstr>
      <vt:lpstr>INC_LIHTCTenantUtilities7</vt:lpstr>
      <vt:lpstr>INC_LIHTCTenantUtilities8</vt:lpstr>
      <vt:lpstr>INC_LIHTCTenantUtilities9</vt:lpstr>
      <vt:lpstr>INC_LIHTCUnitSize1</vt:lpstr>
      <vt:lpstr>INC_LIHTCUnitSize10</vt:lpstr>
      <vt:lpstr>INC_LIHTCUnitSize11</vt:lpstr>
      <vt:lpstr>INC_LIHTCUnitSize12</vt:lpstr>
      <vt:lpstr>INC_LIHTCUnitSize13</vt:lpstr>
      <vt:lpstr>INC_LIHTCUnitSize14</vt:lpstr>
      <vt:lpstr>INC_LIHTCUnitSize15</vt:lpstr>
      <vt:lpstr>INC_LIHTCUnitSize16</vt:lpstr>
      <vt:lpstr>INC_LIHTCUnitSize17</vt:lpstr>
      <vt:lpstr>INC_LIHTCUnitSize18</vt:lpstr>
      <vt:lpstr>INC_LIHTCUnitSize19</vt:lpstr>
      <vt:lpstr>INC_LIHTCUnitSize2</vt:lpstr>
      <vt:lpstr>INC_LIHTCUnitSize20</vt:lpstr>
      <vt:lpstr>INC_LIHTCUnitSize21</vt:lpstr>
      <vt:lpstr>INC_LIHTCUnitSize22</vt:lpstr>
      <vt:lpstr>INC_LIHTCUnitSize23</vt:lpstr>
      <vt:lpstr>INC_LIHTCUnitSize24</vt:lpstr>
      <vt:lpstr>INC_LIHTCUnitSize25</vt:lpstr>
      <vt:lpstr>INC_LIHTCUnitSize26</vt:lpstr>
      <vt:lpstr>INC_LIHTCUnitSize27</vt:lpstr>
      <vt:lpstr>INC_LIHTCUnitSize28</vt:lpstr>
      <vt:lpstr>INC_LIHTCUnitSize29</vt:lpstr>
      <vt:lpstr>INC_LIHTCUnitSize3</vt:lpstr>
      <vt:lpstr>INC_LIHTCUnitSize30</vt:lpstr>
      <vt:lpstr>INC_LIHTCUnitSize4</vt:lpstr>
      <vt:lpstr>INC_LIHTCUnitSize5</vt:lpstr>
      <vt:lpstr>INC_LIHTCUnitSize6</vt:lpstr>
      <vt:lpstr>INC_LIHTCUnitSize7</vt:lpstr>
      <vt:lpstr>INC_LIHTCUnitSize8</vt:lpstr>
      <vt:lpstr>INC_LIHTCUnitSize9</vt:lpstr>
      <vt:lpstr>INC_LIHTCVacancyAllowance</vt:lpstr>
      <vt:lpstr>INC_MiscIncome1Describe</vt:lpstr>
      <vt:lpstr>INC_MiscIncome1MonthlyIncome</vt:lpstr>
      <vt:lpstr>INC_MiscIncome1Squarefootage</vt:lpstr>
      <vt:lpstr>INC_MiscIncome2Describe</vt:lpstr>
      <vt:lpstr>INC_MiscIncome2MonthlyIncome</vt:lpstr>
      <vt:lpstr>INC_MiscIncome2Squarefootage</vt:lpstr>
      <vt:lpstr>INC_MKTBaths1</vt:lpstr>
      <vt:lpstr>INC_MKTBaths10</vt:lpstr>
      <vt:lpstr>INC_MKTBaths11</vt:lpstr>
      <vt:lpstr>INC_MKTBaths2</vt:lpstr>
      <vt:lpstr>INC_MKTBaths3</vt:lpstr>
      <vt:lpstr>INC_MKTBaths4</vt:lpstr>
      <vt:lpstr>INC_MKTBaths5</vt:lpstr>
      <vt:lpstr>INC_MKTBaths6</vt:lpstr>
      <vt:lpstr>INC_MKTBaths7</vt:lpstr>
      <vt:lpstr>INC_MKTBaths8</vt:lpstr>
      <vt:lpstr>INC_MKTBaths9</vt:lpstr>
      <vt:lpstr>INC_MKTBedrooms1</vt:lpstr>
      <vt:lpstr>INC_MKTBedrooms10</vt:lpstr>
      <vt:lpstr>INC_MKTBedrooms11</vt:lpstr>
      <vt:lpstr>INC_MKTBedrooms2</vt:lpstr>
      <vt:lpstr>INC_MKTBedrooms3</vt:lpstr>
      <vt:lpstr>INC_MKTBedrooms4</vt:lpstr>
      <vt:lpstr>INC_MKTBedrooms5</vt:lpstr>
      <vt:lpstr>INC_MKTBedrooms6</vt:lpstr>
      <vt:lpstr>INC_MKTBedrooms7</vt:lpstr>
      <vt:lpstr>INC_MKTBedrooms8</vt:lpstr>
      <vt:lpstr>INC_MKTBedrooms9</vt:lpstr>
      <vt:lpstr>INC_MKTNumberofUnits1</vt:lpstr>
      <vt:lpstr>INC_MKTNumberofUnits10</vt:lpstr>
      <vt:lpstr>INC_MKTNumberofUnits11</vt:lpstr>
      <vt:lpstr>INC_MKTNumberofUnits2</vt:lpstr>
      <vt:lpstr>INC_MKTNumberofUnits3</vt:lpstr>
      <vt:lpstr>INC_MKTNumberofUnits4</vt:lpstr>
      <vt:lpstr>INC_MKTNumberofUnits5</vt:lpstr>
      <vt:lpstr>INC_MKTNumberofUnits6</vt:lpstr>
      <vt:lpstr>INC_MKTNumberofUnits7</vt:lpstr>
      <vt:lpstr>INC_MKTNumberofUnits8</vt:lpstr>
      <vt:lpstr>INC_MKTNumberofUnits9</vt:lpstr>
      <vt:lpstr>INC_MKTResidentPaidRent1</vt:lpstr>
      <vt:lpstr>INC_MKTResidentPaidRent10</vt:lpstr>
      <vt:lpstr>INC_MKTResidentPaidRent11</vt:lpstr>
      <vt:lpstr>INC_MKTResidentPaidRent2</vt:lpstr>
      <vt:lpstr>INC_MKTResidentPaidRent3</vt:lpstr>
      <vt:lpstr>INC_MKTResidentPaidRent4</vt:lpstr>
      <vt:lpstr>INC_MKTResidentPaidRent5</vt:lpstr>
      <vt:lpstr>INC_MKTResidentPaidRent6</vt:lpstr>
      <vt:lpstr>INC_MKTResidentPaidRent7</vt:lpstr>
      <vt:lpstr>INC_MKTResidentPaidRent8</vt:lpstr>
      <vt:lpstr>INC_MKTResidentPaidRent9</vt:lpstr>
      <vt:lpstr>INC_MKTUnitSize1</vt:lpstr>
      <vt:lpstr>INC_MKTUnitSize10</vt:lpstr>
      <vt:lpstr>INC_MKTUnitSize11</vt:lpstr>
      <vt:lpstr>INC_MKTUnitSize2</vt:lpstr>
      <vt:lpstr>INC_MKTUnitSize3</vt:lpstr>
      <vt:lpstr>INC_MKTUnitSize4</vt:lpstr>
      <vt:lpstr>INC_MKTUnitSize5</vt:lpstr>
      <vt:lpstr>INC_MKTUnitSize6</vt:lpstr>
      <vt:lpstr>INC_MKTUnitSize7</vt:lpstr>
      <vt:lpstr>INC_MKTUnitSize8</vt:lpstr>
      <vt:lpstr>INC_MKTUnitSize9</vt:lpstr>
      <vt:lpstr>INC_MKTVacancyAllowance</vt:lpstr>
      <vt:lpstr>INC_NonIncDescription1</vt:lpstr>
      <vt:lpstr>INC_NonIncDescription2</vt:lpstr>
      <vt:lpstr>INC_NonIncDescription3</vt:lpstr>
      <vt:lpstr>INC_NonIncDescription4</vt:lpstr>
      <vt:lpstr>INC_NonIncDescription5</vt:lpstr>
      <vt:lpstr>INC_NonIncNumberofUnits1</vt:lpstr>
      <vt:lpstr>INC_NonIncNumberofUnits2</vt:lpstr>
      <vt:lpstr>INC_NonIncNumberofUnits3</vt:lpstr>
      <vt:lpstr>INC_NonIncNumberofUnits4</vt:lpstr>
      <vt:lpstr>INC_NonIncNumberofUnits5</vt:lpstr>
      <vt:lpstr>INC_NonIncSquareFootage1</vt:lpstr>
      <vt:lpstr>INC_NonIncSquareFootage2</vt:lpstr>
      <vt:lpstr>INC_NonIncSquareFootage3</vt:lpstr>
      <vt:lpstr>INC_NonIncSquareFootage4</vt:lpstr>
      <vt:lpstr>INC_NonIncSquareFootage5</vt:lpstr>
      <vt:lpstr>INC_Other</vt:lpstr>
      <vt:lpstr>INC_Other1Describe</vt:lpstr>
      <vt:lpstr>INC_Other1MonthlyIncome</vt:lpstr>
      <vt:lpstr>INC_Other1Squarefootage</vt:lpstr>
      <vt:lpstr>INC_Other2Describe</vt:lpstr>
      <vt:lpstr>INC_Other2MonthlyIncome</vt:lpstr>
      <vt:lpstr>INC_Other2Squarefootage</vt:lpstr>
      <vt:lpstr>INC_OtherDescribe</vt:lpstr>
      <vt:lpstr>INC_VacancyAllowanceCommercialIncome</vt:lpstr>
      <vt:lpstr>INC_VacancyAllowanceNonresidential</vt:lpstr>
      <vt:lpstr>MAP_1</vt:lpstr>
      <vt:lpstr>MAP_10</vt:lpstr>
      <vt:lpstr>MAP_11</vt:lpstr>
      <vt:lpstr>MAP_12</vt:lpstr>
      <vt:lpstr>MAP_13</vt:lpstr>
      <vt:lpstr>MAP_14</vt:lpstr>
      <vt:lpstr>MAP_15</vt:lpstr>
      <vt:lpstr>MAP_16</vt:lpstr>
      <vt:lpstr>MAP_17</vt:lpstr>
      <vt:lpstr>MAP_18</vt:lpstr>
      <vt:lpstr>MAP_2</vt:lpstr>
      <vt:lpstr>MAP_3</vt:lpstr>
      <vt:lpstr>MAP_4</vt:lpstr>
      <vt:lpstr>MAP_5</vt:lpstr>
      <vt:lpstr>MAP_6</vt:lpstr>
      <vt:lpstr>MAP_7</vt:lpstr>
      <vt:lpstr>MAP_8</vt:lpstr>
      <vt:lpstr>MAP_9</vt:lpstr>
      <vt:lpstr>PFM_DeferredDeveloperFee</vt:lpstr>
      <vt:lpstr>PFM_DeferredDeveloperFeeYR16</vt:lpstr>
      <vt:lpstr>PFM_DHCDLoans</vt:lpstr>
      <vt:lpstr>PFM_DHCDLoansYR16</vt:lpstr>
      <vt:lpstr>PFM_LocalGovt</vt:lpstr>
      <vt:lpstr>PFM_LocalGovtYR16</vt:lpstr>
      <vt:lpstr>PFM_RemainingCashFlow</vt:lpstr>
      <vt:lpstr>PFM_RemainingCashFlowYR16</vt:lpstr>
      <vt:lpstr>'202 Instructions'!Print_Area</vt:lpstr>
      <vt:lpstr>BUILDING!Print_Area</vt:lpstr>
      <vt:lpstr>'CURR FIN &amp; ACQUISITION'!Print_Area</vt:lpstr>
      <vt:lpstr>'DEV TEAM'!Print_Area</vt:lpstr>
      <vt:lpstr>'DRAW SCHEDULE'!Print_Area</vt:lpstr>
      <vt:lpstr>EXPENSES!Print_Area</vt:lpstr>
      <vt:lpstr>'FIN CAP'!Print_Area</vt:lpstr>
      <vt:lpstr>'FINAL BUDGET'!Print_Area</vt:lpstr>
      <vt:lpstr>GENERAL!Print_Area</vt:lpstr>
      <vt:lpstr>INCOME!Print_Area</vt:lpstr>
      <vt:lpstr>'INCOME TARGETING'!Print_Area</vt:lpstr>
      <vt:lpstr>'LEV &amp; COST EFFECTIVENESS'!Print_Area</vt:lpstr>
      <vt:lpstr>'SELF-SCORE'!Print_Area</vt:lpstr>
      <vt:lpstr>SOURCES!Print_Area</vt:lpstr>
      <vt:lpstr>SUMMARY!Print_Area</vt:lpstr>
      <vt:lpstr>'TAX CREDIT'!Print_Area</vt:lpstr>
      <vt:lpstr>USES!Print_Area</vt:lpstr>
      <vt:lpstr>'VISUALS (Examples)'!Print_Area</vt:lpstr>
      <vt:lpstr>'PRO FORMA'!Print_Titles</vt:lpstr>
      <vt:lpstr>projname</vt:lpstr>
      <vt:lpstr>MAPPING!SD_133_B_1</vt:lpstr>
      <vt:lpstr>MAPPING!SD_138_B_1</vt:lpstr>
      <vt:lpstr>MAPPING!SD_161x1_102_B_0</vt:lpstr>
      <vt:lpstr>MAPPING!SD_161x1_119_B_0</vt:lpstr>
      <vt:lpstr>MAPPING!SD_161x1_127_B_0</vt:lpstr>
      <vt:lpstr>MAPPING!SD_161x1_129_B_0</vt:lpstr>
      <vt:lpstr>MAPPING!SD_161x1_130_B_0</vt:lpstr>
      <vt:lpstr>MAPPING!SD_161x1_131_B_0</vt:lpstr>
      <vt:lpstr>MAPPING!SD_161x1_132_B_0</vt:lpstr>
      <vt:lpstr>MAPPING!SD_161x1_136_B_0</vt:lpstr>
      <vt:lpstr>MAPPING!SD_161x1_154_B_0</vt:lpstr>
      <vt:lpstr>MAPPING!SD_161x1_155_B_0</vt:lpstr>
      <vt:lpstr>MAPPING!SD_161x1_156_B_0</vt:lpstr>
      <vt:lpstr>MAPPING!SD_161x1_157_B_0</vt:lpstr>
      <vt:lpstr>MAPPING!SD_161x1_158_B_0</vt:lpstr>
      <vt:lpstr>MAPPING!SD_161x1_159_B_0</vt:lpstr>
      <vt:lpstr>MAPPING!SD_161x1_160_B_0</vt:lpstr>
      <vt:lpstr>MAPPING!SD_161x1_161_B_0</vt:lpstr>
      <vt:lpstr>MAPPING!SD_161x1_17_B_0</vt:lpstr>
      <vt:lpstr>MAPPING!SD_161x1_19_B_0</vt:lpstr>
      <vt:lpstr>MAPPING!SD_161x1_21_B_0</vt:lpstr>
      <vt:lpstr>MAPPING!SD_161x1_26_B_0</vt:lpstr>
      <vt:lpstr>MAPPING!SD_161x1_28_B_0</vt:lpstr>
      <vt:lpstr>MAPPING!SD_161x1_2935x1_108_B_0</vt:lpstr>
      <vt:lpstr>MAPPING!SD_161x1_2935x1_13_B_0</vt:lpstr>
      <vt:lpstr>MAPPING!SD_161x1_2935x1_15_B_0</vt:lpstr>
      <vt:lpstr>MAPPING!SD_161x1_2935x1_17_B_0</vt:lpstr>
      <vt:lpstr>MAPPING!SD_161x1_2935x1_18_B_0</vt:lpstr>
      <vt:lpstr>MAPPING!SD_161x1_2935x1_19_B_0</vt:lpstr>
      <vt:lpstr>MAPPING!SD_161x1_2935x1_27_B_0</vt:lpstr>
      <vt:lpstr>MAPPING!SD_161x1_2935x1_29_B_0</vt:lpstr>
      <vt:lpstr>MAPPING!SD_161x1_2935x1_2951x1_107_B_0</vt:lpstr>
      <vt:lpstr>MAPPING!SD_161x1_2935x1_2951x1_109_B_1</vt:lpstr>
      <vt:lpstr>MAPPING!SD_161x1_2935x1_2951x1_52_B_0</vt:lpstr>
      <vt:lpstr>MAPPING!SD_161x1_2935x1_2951x1_53_B_0</vt:lpstr>
      <vt:lpstr>MAPPING!SD_161x1_2935x1_2951x1_54_B_0</vt:lpstr>
      <vt:lpstr>MAPPING!SD_161x1_2935x1_2951x1_57_B_0</vt:lpstr>
      <vt:lpstr>MAPPING!SD_161x1_2935x1_2951x1_91_B_1</vt:lpstr>
      <vt:lpstr>MAPPING!SD_161x1_2935x1_2951x1_9600x1_100_B_0</vt:lpstr>
      <vt:lpstr>MAPPING!SD_161x1_2935x1_2951x1_9600x1_101_B_0</vt:lpstr>
      <vt:lpstr>MAPPING!SD_161x1_2935x1_2951x1_9600x1_436_B_1</vt:lpstr>
      <vt:lpstr>MAPPING!SD_161x1_2935x1_2951x1_9600x1_437_B_1</vt:lpstr>
      <vt:lpstr>MAPPING!SD_161x1_2935x1_2951x1_9600x1_438_B_1</vt:lpstr>
      <vt:lpstr>MAPPING!SD_161x1_2935x1_2951x10_107_B_0</vt:lpstr>
      <vt:lpstr>MAPPING!SD_161x1_2935x1_2951x10_109_B_1</vt:lpstr>
      <vt:lpstr>MAPPING!SD_161x1_2935x1_2951x10_52_B_0</vt:lpstr>
      <vt:lpstr>MAPPING!SD_161x1_2935x1_2951x10_53_B_0</vt:lpstr>
      <vt:lpstr>MAPPING!SD_161x1_2935x1_2951x10_54_B_0</vt:lpstr>
      <vt:lpstr>MAPPING!SD_161x1_2935x1_2951x10_57_B_0</vt:lpstr>
      <vt:lpstr>MAPPING!SD_161x1_2935x1_2951x10_91_B_1</vt:lpstr>
      <vt:lpstr>MAPPING!SD_161x1_2935x1_2951x10_9600x1_100_B_0</vt:lpstr>
      <vt:lpstr>MAPPING!SD_161x1_2935x1_2951x10_9600x1_101_B_0</vt:lpstr>
      <vt:lpstr>MAPPING!SD_161x1_2935x1_2951x10_9600x1_436_B_1</vt:lpstr>
      <vt:lpstr>MAPPING!SD_161x1_2935x1_2951x10_9600x1_437_B_1</vt:lpstr>
      <vt:lpstr>MAPPING!SD_161x1_2935x1_2951x10_9600x1_438_B_1</vt:lpstr>
      <vt:lpstr>MAPPING!SD_161x1_2935x1_2951x11_107_B_0</vt:lpstr>
      <vt:lpstr>MAPPING!SD_161x1_2935x1_2951x11_109_B_1</vt:lpstr>
      <vt:lpstr>MAPPING!SD_161x1_2935x1_2951x11_52_B_0</vt:lpstr>
      <vt:lpstr>MAPPING!SD_161x1_2935x1_2951x11_53_B_0</vt:lpstr>
      <vt:lpstr>MAPPING!SD_161x1_2935x1_2951x11_54_B_0</vt:lpstr>
      <vt:lpstr>MAPPING!SD_161x1_2935x1_2951x11_57_B_0</vt:lpstr>
      <vt:lpstr>MAPPING!SD_161x1_2935x1_2951x11_91_B_1</vt:lpstr>
      <vt:lpstr>MAPPING!SD_161x1_2935x1_2951x11_9600x1_100_B_0</vt:lpstr>
      <vt:lpstr>MAPPING!SD_161x1_2935x1_2951x11_9600x1_101_B_0</vt:lpstr>
      <vt:lpstr>MAPPING!SD_161x1_2935x1_2951x11_9600x1_436_B_1</vt:lpstr>
      <vt:lpstr>MAPPING!SD_161x1_2935x1_2951x11_9600x1_437_B_1</vt:lpstr>
      <vt:lpstr>MAPPING!SD_161x1_2935x1_2951x11_9600x1_438_B_1</vt:lpstr>
      <vt:lpstr>MAPPING!SD_161x1_2935x1_2951x12_107_B_0</vt:lpstr>
      <vt:lpstr>MAPPING!SD_161x1_2935x1_2951x12_109_B_1</vt:lpstr>
      <vt:lpstr>MAPPING!SD_161x1_2935x1_2951x12_52_B_0</vt:lpstr>
      <vt:lpstr>MAPPING!SD_161x1_2935x1_2951x12_53_B_0</vt:lpstr>
      <vt:lpstr>MAPPING!SD_161x1_2935x1_2951x12_54_B_0</vt:lpstr>
      <vt:lpstr>MAPPING!SD_161x1_2935x1_2951x12_57_B_0</vt:lpstr>
      <vt:lpstr>MAPPING!SD_161x1_2935x1_2951x12_91_B_1</vt:lpstr>
      <vt:lpstr>MAPPING!SD_161x1_2935x1_2951x12_9600x1_100_B_0</vt:lpstr>
      <vt:lpstr>MAPPING!SD_161x1_2935x1_2951x12_9600x1_101_B_0</vt:lpstr>
      <vt:lpstr>MAPPING!SD_161x1_2935x1_2951x12_9600x1_436_B_1</vt:lpstr>
      <vt:lpstr>MAPPING!SD_161x1_2935x1_2951x12_9600x1_437_B_1</vt:lpstr>
      <vt:lpstr>MAPPING!SD_161x1_2935x1_2951x12_9600x1_438_B_1</vt:lpstr>
      <vt:lpstr>MAPPING!SD_161x1_2935x1_2951x13_107_B_0</vt:lpstr>
      <vt:lpstr>MAPPING!SD_161x1_2935x1_2951x13_109_B_1</vt:lpstr>
      <vt:lpstr>MAPPING!SD_161x1_2935x1_2951x13_52_B_0</vt:lpstr>
      <vt:lpstr>MAPPING!SD_161x1_2935x1_2951x13_53_B_0</vt:lpstr>
      <vt:lpstr>MAPPING!SD_161x1_2935x1_2951x13_54_B_0</vt:lpstr>
      <vt:lpstr>MAPPING!SD_161x1_2935x1_2951x13_57_B_0</vt:lpstr>
      <vt:lpstr>MAPPING!SD_161x1_2935x1_2951x13_91_B_1</vt:lpstr>
      <vt:lpstr>MAPPING!SD_161x1_2935x1_2951x13_9600x1_100_B_0</vt:lpstr>
      <vt:lpstr>MAPPING!SD_161x1_2935x1_2951x13_9600x1_101_B_0</vt:lpstr>
      <vt:lpstr>MAPPING!SD_161x1_2935x1_2951x13_9600x1_436_B_1</vt:lpstr>
      <vt:lpstr>MAPPING!SD_161x1_2935x1_2951x13_9600x1_437_B_1</vt:lpstr>
      <vt:lpstr>MAPPING!SD_161x1_2935x1_2951x13_9600x1_438_B_1</vt:lpstr>
      <vt:lpstr>MAPPING!SD_161x1_2935x1_2951x14_107_B_0</vt:lpstr>
      <vt:lpstr>MAPPING!SD_161x1_2935x1_2951x14_109_B_1</vt:lpstr>
      <vt:lpstr>MAPPING!SD_161x1_2935x1_2951x14_52_B_0</vt:lpstr>
      <vt:lpstr>MAPPING!SD_161x1_2935x1_2951x14_53_B_0</vt:lpstr>
      <vt:lpstr>MAPPING!SD_161x1_2935x1_2951x14_54_B_0</vt:lpstr>
      <vt:lpstr>MAPPING!SD_161x1_2935x1_2951x14_57_B_0</vt:lpstr>
      <vt:lpstr>MAPPING!SD_161x1_2935x1_2951x14_91_B_1</vt:lpstr>
      <vt:lpstr>MAPPING!SD_161x1_2935x1_2951x14_9600x1_100_B_0</vt:lpstr>
      <vt:lpstr>MAPPING!SD_161x1_2935x1_2951x14_9600x1_101_B_0</vt:lpstr>
      <vt:lpstr>MAPPING!SD_161x1_2935x1_2951x14_9600x1_436_B_1</vt:lpstr>
      <vt:lpstr>MAPPING!SD_161x1_2935x1_2951x14_9600x1_437_B_1</vt:lpstr>
      <vt:lpstr>MAPPING!SD_161x1_2935x1_2951x14_9600x1_438_B_1</vt:lpstr>
      <vt:lpstr>MAPPING!SD_161x1_2935x1_2951x15_107_B_0</vt:lpstr>
      <vt:lpstr>MAPPING!SD_161x1_2935x1_2951x15_109_B_1</vt:lpstr>
      <vt:lpstr>MAPPING!SD_161x1_2935x1_2951x15_52_B_0</vt:lpstr>
      <vt:lpstr>MAPPING!SD_161x1_2935x1_2951x15_53_B_0</vt:lpstr>
      <vt:lpstr>MAPPING!SD_161x1_2935x1_2951x15_54_B_0</vt:lpstr>
      <vt:lpstr>MAPPING!SD_161x1_2935x1_2951x15_57_B_0</vt:lpstr>
      <vt:lpstr>MAPPING!SD_161x1_2935x1_2951x15_91_B_1</vt:lpstr>
      <vt:lpstr>MAPPING!SD_161x1_2935x1_2951x15_9600x1_100_B_0</vt:lpstr>
      <vt:lpstr>MAPPING!SD_161x1_2935x1_2951x15_9600x1_101_B_0</vt:lpstr>
      <vt:lpstr>MAPPING!SD_161x1_2935x1_2951x15_9600x1_436_B_1</vt:lpstr>
      <vt:lpstr>MAPPING!SD_161x1_2935x1_2951x15_9600x1_437_B_1</vt:lpstr>
      <vt:lpstr>MAPPING!SD_161x1_2935x1_2951x15_9600x1_438_B_1</vt:lpstr>
      <vt:lpstr>MAPPING!SD_161x1_2935x1_2951x16_107_B_0</vt:lpstr>
      <vt:lpstr>MAPPING!SD_161x1_2935x1_2951x16_109_B_1</vt:lpstr>
      <vt:lpstr>MAPPING!SD_161x1_2935x1_2951x16_52_B_0</vt:lpstr>
      <vt:lpstr>MAPPING!SD_161x1_2935x1_2951x16_53_B_0</vt:lpstr>
      <vt:lpstr>MAPPING!SD_161x1_2935x1_2951x16_54_B_0</vt:lpstr>
      <vt:lpstr>MAPPING!SD_161x1_2935x1_2951x16_57_B_0</vt:lpstr>
      <vt:lpstr>MAPPING!SD_161x1_2935x1_2951x16_91_B_1</vt:lpstr>
      <vt:lpstr>MAPPING!SD_161x1_2935x1_2951x16_9600x1_100_B_0</vt:lpstr>
      <vt:lpstr>MAPPING!SD_161x1_2935x1_2951x16_9600x1_101_B_0</vt:lpstr>
      <vt:lpstr>MAPPING!SD_161x1_2935x1_2951x16_9600x1_436_B_1</vt:lpstr>
      <vt:lpstr>MAPPING!SD_161x1_2935x1_2951x16_9600x1_437_B_1</vt:lpstr>
      <vt:lpstr>MAPPING!SD_161x1_2935x1_2951x16_9600x1_438_B_1</vt:lpstr>
      <vt:lpstr>MAPPING!SD_161x1_2935x1_2951x17_107_B_0</vt:lpstr>
      <vt:lpstr>MAPPING!SD_161x1_2935x1_2951x17_109_B_1</vt:lpstr>
      <vt:lpstr>MAPPING!SD_161x1_2935x1_2951x17_52_B_0</vt:lpstr>
      <vt:lpstr>MAPPING!SD_161x1_2935x1_2951x17_53_B_0</vt:lpstr>
      <vt:lpstr>MAPPING!SD_161x1_2935x1_2951x17_54_B_0</vt:lpstr>
      <vt:lpstr>MAPPING!SD_161x1_2935x1_2951x17_57_B_0</vt:lpstr>
      <vt:lpstr>MAPPING!SD_161x1_2935x1_2951x17_91_B_1</vt:lpstr>
      <vt:lpstr>MAPPING!SD_161x1_2935x1_2951x17_9600x1_100_B_0</vt:lpstr>
      <vt:lpstr>MAPPING!SD_161x1_2935x1_2951x17_9600x1_101_B_0</vt:lpstr>
      <vt:lpstr>MAPPING!SD_161x1_2935x1_2951x17_9600x1_436_B_1</vt:lpstr>
      <vt:lpstr>MAPPING!SD_161x1_2935x1_2951x17_9600x1_437_B_1</vt:lpstr>
      <vt:lpstr>MAPPING!SD_161x1_2935x1_2951x17_9600x1_438_B_1</vt:lpstr>
      <vt:lpstr>MAPPING!SD_161x1_2935x1_2951x18_107_B_0</vt:lpstr>
      <vt:lpstr>MAPPING!SD_161x1_2935x1_2951x18_109_B_1</vt:lpstr>
      <vt:lpstr>MAPPING!SD_161x1_2935x1_2951x18_52_B_0</vt:lpstr>
      <vt:lpstr>MAPPING!SD_161x1_2935x1_2951x18_53_B_0</vt:lpstr>
      <vt:lpstr>MAPPING!SD_161x1_2935x1_2951x18_54_B_0</vt:lpstr>
      <vt:lpstr>MAPPING!SD_161x1_2935x1_2951x18_57_B_0</vt:lpstr>
      <vt:lpstr>MAPPING!SD_161x1_2935x1_2951x18_91_B_1</vt:lpstr>
      <vt:lpstr>MAPPING!SD_161x1_2935x1_2951x18_9600x1_100_B_0</vt:lpstr>
      <vt:lpstr>MAPPING!SD_161x1_2935x1_2951x18_9600x1_101_B_0</vt:lpstr>
      <vt:lpstr>MAPPING!SD_161x1_2935x1_2951x18_9600x1_436_B_1</vt:lpstr>
      <vt:lpstr>MAPPING!SD_161x1_2935x1_2951x18_9600x1_437_B_1</vt:lpstr>
      <vt:lpstr>MAPPING!SD_161x1_2935x1_2951x18_9600x1_438_B_1</vt:lpstr>
      <vt:lpstr>MAPPING!SD_161x1_2935x1_2951x19_107_B_0</vt:lpstr>
      <vt:lpstr>MAPPING!SD_161x1_2935x1_2951x19_109_B_1</vt:lpstr>
      <vt:lpstr>MAPPING!SD_161x1_2935x1_2951x19_52_B_0</vt:lpstr>
      <vt:lpstr>MAPPING!SD_161x1_2935x1_2951x19_53_B_0</vt:lpstr>
      <vt:lpstr>MAPPING!SD_161x1_2935x1_2951x19_54_B_0</vt:lpstr>
      <vt:lpstr>MAPPING!SD_161x1_2935x1_2951x19_57_B_0</vt:lpstr>
      <vt:lpstr>MAPPING!SD_161x1_2935x1_2951x19_91_B_1</vt:lpstr>
      <vt:lpstr>MAPPING!SD_161x1_2935x1_2951x19_9600x1_100_B_0</vt:lpstr>
      <vt:lpstr>MAPPING!SD_161x1_2935x1_2951x19_9600x1_101_B_0</vt:lpstr>
      <vt:lpstr>MAPPING!SD_161x1_2935x1_2951x19_9600x1_436_B_1</vt:lpstr>
      <vt:lpstr>MAPPING!SD_161x1_2935x1_2951x19_9600x1_437_B_1</vt:lpstr>
      <vt:lpstr>MAPPING!SD_161x1_2935x1_2951x19_9600x1_438_B_1</vt:lpstr>
      <vt:lpstr>MAPPING!SD_161x1_2935x1_2951x2_107_B_0</vt:lpstr>
      <vt:lpstr>MAPPING!SD_161x1_2935x1_2951x2_109_B_1</vt:lpstr>
      <vt:lpstr>MAPPING!SD_161x1_2935x1_2951x2_52_B_0</vt:lpstr>
      <vt:lpstr>MAPPING!SD_161x1_2935x1_2951x2_53_B_0</vt:lpstr>
      <vt:lpstr>MAPPING!SD_161x1_2935x1_2951x2_54_B_0</vt:lpstr>
      <vt:lpstr>MAPPING!SD_161x1_2935x1_2951x2_57_B_0</vt:lpstr>
      <vt:lpstr>MAPPING!SD_161x1_2935x1_2951x2_91_B_1</vt:lpstr>
      <vt:lpstr>MAPPING!SD_161x1_2935x1_2951x2_9600x1_100_B_0</vt:lpstr>
      <vt:lpstr>MAPPING!SD_161x1_2935x1_2951x2_9600x1_101_B_0</vt:lpstr>
      <vt:lpstr>MAPPING!SD_161x1_2935x1_2951x2_9600x1_436_B_1</vt:lpstr>
      <vt:lpstr>MAPPING!SD_161x1_2935x1_2951x2_9600x1_437_B_1</vt:lpstr>
      <vt:lpstr>MAPPING!SD_161x1_2935x1_2951x2_9600x1_438_B_1</vt:lpstr>
      <vt:lpstr>MAPPING!SD_161x1_2935x1_2951x20_107_B_0</vt:lpstr>
      <vt:lpstr>MAPPING!SD_161x1_2935x1_2951x20_109_B_1</vt:lpstr>
      <vt:lpstr>MAPPING!SD_161x1_2935x1_2951x20_52_B_0</vt:lpstr>
      <vt:lpstr>MAPPING!SD_161x1_2935x1_2951x20_53_B_0</vt:lpstr>
      <vt:lpstr>MAPPING!SD_161x1_2935x1_2951x20_54_B_0</vt:lpstr>
      <vt:lpstr>MAPPING!SD_161x1_2935x1_2951x20_57_B_0</vt:lpstr>
      <vt:lpstr>MAPPING!SD_161x1_2935x1_2951x20_91_B_1</vt:lpstr>
      <vt:lpstr>MAPPING!SD_161x1_2935x1_2951x20_9600x1_100_B_0</vt:lpstr>
      <vt:lpstr>MAPPING!SD_161x1_2935x1_2951x20_9600x1_101_B_0</vt:lpstr>
      <vt:lpstr>MAPPING!SD_161x1_2935x1_2951x20_9600x1_436_B_1</vt:lpstr>
      <vt:lpstr>MAPPING!SD_161x1_2935x1_2951x20_9600x1_437_B_1</vt:lpstr>
      <vt:lpstr>MAPPING!SD_161x1_2935x1_2951x20_9600x1_438_B_1</vt:lpstr>
      <vt:lpstr>MAPPING!SD_161x1_2935x1_2951x21_107_B_0</vt:lpstr>
      <vt:lpstr>MAPPING!SD_161x1_2935x1_2951x21_109_B_1</vt:lpstr>
      <vt:lpstr>MAPPING!SD_161x1_2935x1_2951x21_52_B_0</vt:lpstr>
      <vt:lpstr>MAPPING!SD_161x1_2935x1_2951x21_53_B_0</vt:lpstr>
      <vt:lpstr>MAPPING!SD_161x1_2935x1_2951x21_54_B_0</vt:lpstr>
      <vt:lpstr>MAPPING!SD_161x1_2935x1_2951x21_57_B_0</vt:lpstr>
      <vt:lpstr>MAPPING!SD_161x1_2935x1_2951x21_91_B_1</vt:lpstr>
      <vt:lpstr>MAPPING!SD_161x1_2935x1_2951x21_9600x1_100_B_0</vt:lpstr>
      <vt:lpstr>MAPPING!SD_161x1_2935x1_2951x21_9600x1_101_B_0</vt:lpstr>
      <vt:lpstr>MAPPING!SD_161x1_2935x1_2951x21_9600x1_436_B_1</vt:lpstr>
      <vt:lpstr>MAPPING!SD_161x1_2935x1_2951x21_9600x1_437_B_1</vt:lpstr>
      <vt:lpstr>MAPPING!SD_161x1_2935x1_2951x21_9600x1_438_B_1</vt:lpstr>
      <vt:lpstr>MAPPING!SD_161x1_2935x1_2951x22_107_B_0</vt:lpstr>
      <vt:lpstr>MAPPING!SD_161x1_2935x1_2951x22_109_B_1</vt:lpstr>
      <vt:lpstr>MAPPING!SD_161x1_2935x1_2951x22_52_B_0</vt:lpstr>
      <vt:lpstr>MAPPING!SD_161x1_2935x1_2951x22_53_B_0</vt:lpstr>
      <vt:lpstr>MAPPING!SD_161x1_2935x1_2951x22_54_B_0</vt:lpstr>
      <vt:lpstr>MAPPING!SD_161x1_2935x1_2951x22_57_B_0</vt:lpstr>
      <vt:lpstr>MAPPING!SD_161x1_2935x1_2951x22_91_B_1</vt:lpstr>
      <vt:lpstr>MAPPING!SD_161x1_2935x1_2951x22_9600x1_100_B_0</vt:lpstr>
      <vt:lpstr>MAPPING!SD_161x1_2935x1_2951x22_9600x1_101_B_0</vt:lpstr>
      <vt:lpstr>MAPPING!SD_161x1_2935x1_2951x22_9600x1_436_B_1</vt:lpstr>
      <vt:lpstr>MAPPING!SD_161x1_2935x1_2951x22_9600x1_437_B_1</vt:lpstr>
      <vt:lpstr>MAPPING!SD_161x1_2935x1_2951x22_9600x1_438_B_1</vt:lpstr>
      <vt:lpstr>MAPPING!SD_161x1_2935x1_2951x23_107_B_0</vt:lpstr>
      <vt:lpstr>MAPPING!SD_161x1_2935x1_2951x23_109_B_1</vt:lpstr>
      <vt:lpstr>MAPPING!SD_161x1_2935x1_2951x23_52_B_0</vt:lpstr>
      <vt:lpstr>MAPPING!SD_161x1_2935x1_2951x23_53_B_0</vt:lpstr>
      <vt:lpstr>MAPPING!SD_161x1_2935x1_2951x23_54_B_0</vt:lpstr>
      <vt:lpstr>MAPPING!SD_161x1_2935x1_2951x23_57_B_0</vt:lpstr>
      <vt:lpstr>MAPPING!SD_161x1_2935x1_2951x23_91_B_1</vt:lpstr>
      <vt:lpstr>MAPPING!SD_161x1_2935x1_2951x23_9600x1_100_B_0</vt:lpstr>
      <vt:lpstr>MAPPING!SD_161x1_2935x1_2951x23_9600x1_101_B_0</vt:lpstr>
      <vt:lpstr>MAPPING!SD_161x1_2935x1_2951x23_9600x1_436_B_1</vt:lpstr>
      <vt:lpstr>MAPPING!SD_161x1_2935x1_2951x23_9600x1_437_B_1</vt:lpstr>
      <vt:lpstr>MAPPING!SD_161x1_2935x1_2951x23_9600x1_438_B_1</vt:lpstr>
      <vt:lpstr>MAPPING!SD_161x1_2935x1_2951x24_107_B_0</vt:lpstr>
      <vt:lpstr>MAPPING!SD_161x1_2935x1_2951x24_109_B_1</vt:lpstr>
      <vt:lpstr>MAPPING!SD_161x1_2935x1_2951x24_52_B_0</vt:lpstr>
      <vt:lpstr>MAPPING!SD_161x1_2935x1_2951x24_53_B_0</vt:lpstr>
      <vt:lpstr>MAPPING!SD_161x1_2935x1_2951x24_54_B_0</vt:lpstr>
      <vt:lpstr>MAPPING!SD_161x1_2935x1_2951x24_57_B_0</vt:lpstr>
      <vt:lpstr>MAPPING!SD_161x1_2935x1_2951x24_91_B_1</vt:lpstr>
      <vt:lpstr>MAPPING!SD_161x1_2935x1_2951x24_9600x1_100_B_0</vt:lpstr>
      <vt:lpstr>MAPPING!SD_161x1_2935x1_2951x24_9600x1_101_B_0</vt:lpstr>
      <vt:lpstr>MAPPING!SD_161x1_2935x1_2951x24_9600x1_436_B_1</vt:lpstr>
      <vt:lpstr>MAPPING!SD_161x1_2935x1_2951x24_9600x1_437_B_1</vt:lpstr>
      <vt:lpstr>MAPPING!SD_161x1_2935x1_2951x24_9600x1_438_B_1</vt:lpstr>
      <vt:lpstr>MAPPING!SD_161x1_2935x1_2951x25_107_B_0</vt:lpstr>
      <vt:lpstr>MAPPING!SD_161x1_2935x1_2951x25_109_B_1</vt:lpstr>
      <vt:lpstr>MAPPING!SD_161x1_2935x1_2951x25_52_B_0</vt:lpstr>
      <vt:lpstr>MAPPING!SD_161x1_2935x1_2951x25_53_B_0</vt:lpstr>
      <vt:lpstr>MAPPING!SD_161x1_2935x1_2951x25_54_B_0</vt:lpstr>
      <vt:lpstr>MAPPING!SD_161x1_2935x1_2951x25_57_B_0</vt:lpstr>
      <vt:lpstr>MAPPING!SD_161x1_2935x1_2951x25_91_B_1</vt:lpstr>
      <vt:lpstr>MAPPING!SD_161x1_2935x1_2951x25_9600x1_100_B_0</vt:lpstr>
      <vt:lpstr>MAPPING!SD_161x1_2935x1_2951x25_9600x1_101_B_0</vt:lpstr>
      <vt:lpstr>MAPPING!SD_161x1_2935x1_2951x25_9600x1_436_B_1</vt:lpstr>
      <vt:lpstr>MAPPING!SD_161x1_2935x1_2951x25_9600x1_437_B_1</vt:lpstr>
      <vt:lpstr>MAPPING!SD_161x1_2935x1_2951x25_9600x1_438_B_1</vt:lpstr>
      <vt:lpstr>MAPPING!SD_161x1_2935x1_2951x26_107_B_0</vt:lpstr>
      <vt:lpstr>MAPPING!SD_161x1_2935x1_2951x26_109_B_1</vt:lpstr>
      <vt:lpstr>MAPPING!SD_161x1_2935x1_2951x26_52_B_0</vt:lpstr>
      <vt:lpstr>MAPPING!SD_161x1_2935x1_2951x26_53_B_0</vt:lpstr>
      <vt:lpstr>MAPPING!SD_161x1_2935x1_2951x26_54_B_0</vt:lpstr>
      <vt:lpstr>MAPPING!SD_161x1_2935x1_2951x26_57_B_0</vt:lpstr>
      <vt:lpstr>MAPPING!SD_161x1_2935x1_2951x26_91_B_1</vt:lpstr>
      <vt:lpstr>MAPPING!SD_161x1_2935x1_2951x26_9600x1_100_B_0</vt:lpstr>
      <vt:lpstr>MAPPING!SD_161x1_2935x1_2951x26_9600x1_101_B_0</vt:lpstr>
      <vt:lpstr>MAPPING!SD_161x1_2935x1_2951x26_9600x1_436_B_1</vt:lpstr>
      <vt:lpstr>MAPPING!SD_161x1_2935x1_2951x26_9600x1_437_B_1</vt:lpstr>
      <vt:lpstr>MAPPING!SD_161x1_2935x1_2951x26_9600x1_438_B_1</vt:lpstr>
      <vt:lpstr>MAPPING!SD_161x1_2935x1_2951x27_107_B_0</vt:lpstr>
      <vt:lpstr>MAPPING!SD_161x1_2935x1_2951x27_109_B_1</vt:lpstr>
      <vt:lpstr>MAPPING!SD_161x1_2935x1_2951x27_52_B_0</vt:lpstr>
      <vt:lpstr>MAPPING!SD_161x1_2935x1_2951x27_53_B_0</vt:lpstr>
      <vt:lpstr>MAPPING!SD_161x1_2935x1_2951x27_54_B_0</vt:lpstr>
      <vt:lpstr>MAPPING!SD_161x1_2935x1_2951x27_57_B_0</vt:lpstr>
      <vt:lpstr>MAPPING!SD_161x1_2935x1_2951x27_91_B_1</vt:lpstr>
      <vt:lpstr>MAPPING!SD_161x1_2935x1_2951x27_9600x1_100_B_0</vt:lpstr>
      <vt:lpstr>MAPPING!SD_161x1_2935x1_2951x27_9600x1_101_B_0</vt:lpstr>
      <vt:lpstr>MAPPING!SD_161x1_2935x1_2951x27_9600x1_436_B_1</vt:lpstr>
      <vt:lpstr>MAPPING!SD_161x1_2935x1_2951x27_9600x1_437_B_1</vt:lpstr>
      <vt:lpstr>MAPPING!SD_161x1_2935x1_2951x27_9600x1_438_B_1</vt:lpstr>
      <vt:lpstr>MAPPING!SD_161x1_2935x1_2951x28_107_B_0</vt:lpstr>
      <vt:lpstr>MAPPING!SD_161x1_2935x1_2951x28_109_B_1</vt:lpstr>
      <vt:lpstr>MAPPING!SD_161x1_2935x1_2951x28_52_B_0</vt:lpstr>
      <vt:lpstr>MAPPING!SD_161x1_2935x1_2951x28_53_B_0</vt:lpstr>
      <vt:lpstr>MAPPING!SD_161x1_2935x1_2951x28_54_B_0</vt:lpstr>
      <vt:lpstr>MAPPING!SD_161x1_2935x1_2951x28_57_B_0</vt:lpstr>
      <vt:lpstr>MAPPING!SD_161x1_2935x1_2951x28_91_B_1</vt:lpstr>
      <vt:lpstr>MAPPING!SD_161x1_2935x1_2951x28_9600x1_100_B_0</vt:lpstr>
      <vt:lpstr>MAPPING!SD_161x1_2935x1_2951x28_9600x1_101_B_0</vt:lpstr>
      <vt:lpstr>MAPPING!SD_161x1_2935x1_2951x28_9600x1_436_B_1</vt:lpstr>
      <vt:lpstr>MAPPING!SD_161x1_2935x1_2951x28_9600x1_437_B_1</vt:lpstr>
      <vt:lpstr>MAPPING!SD_161x1_2935x1_2951x28_9600x1_438_B_1</vt:lpstr>
      <vt:lpstr>MAPPING!SD_161x1_2935x1_2951x29_107_B_0</vt:lpstr>
      <vt:lpstr>MAPPING!SD_161x1_2935x1_2951x29_109_B_1</vt:lpstr>
      <vt:lpstr>MAPPING!SD_161x1_2935x1_2951x29_52_B_0</vt:lpstr>
      <vt:lpstr>MAPPING!SD_161x1_2935x1_2951x29_53_B_0</vt:lpstr>
      <vt:lpstr>MAPPING!SD_161x1_2935x1_2951x29_54_B_0</vt:lpstr>
      <vt:lpstr>MAPPING!SD_161x1_2935x1_2951x29_57_B_0</vt:lpstr>
      <vt:lpstr>MAPPING!SD_161x1_2935x1_2951x29_91_B_1</vt:lpstr>
      <vt:lpstr>MAPPING!SD_161x1_2935x1_2951x29_9600x1_100_B_0</vt:lpstr>
      <vt:lpstr>MAPPING!SD_161x1_2935x1_2951x29_9600x1_101_B_0</vt:lpstr>
      <vt:lpstr>MAPPING!SD_161x1_2935x1_2951x29_9600x1_436_B_1</vt:lpstr>
      <vt:lpstr>MAPPING!SD_161x1_2935x1_2951x29_9600x1_437_B_1</vt:lpstr>
      <vt:lpstr>MAPPING!SD_161x1_2935x1_2951x29_9600x1_438_B_1</vt:lpstr>
      <vt:lpstr>MAPPING!SD_161x1_2935x1_2951x3_107_B_0</vt:lpstr>
      <vt:lpstr>MAPPING!SD_161x1_2935x1_2951x3_109_B_1</vt:lpstr>
      <vt:lpstr>MAPPING!SD_161x1_2935x1_2951x3_52_B_0</vt:lpstr>
      <vt:lpstr>MAPPING!SD_161x1_2935x1_2951x3_53_B_0</vt:lpstr>
      <vt:lpstr>MAPPING!SD_161x1_2935x1_2951x3_54_B_0</vt:lpstr>
      <vt:lpstr>MAPPING!SD_161x1_2935x1_2951x3_57_B_0</vt:lpstr>
      <vt:lpstr>MAPPING!SD_161x1_2935x1_2951x3_91_B_1</vt:lpstr>
      <vt:lpstr>MAPPING!SD_161x1_2935x1_2951x3_9600x1_100_B_0</vt:lpstr>
      <vt:lpstr>MAPPING!SD_161x1_2935x1_2951x3_9600x1_101_B_0</vt:lpstr>
      <vt:lpstr>MAPPING!SD_161x1_2935x1_2951x3_9600x1_436_B_1</vt:lpstr>
      <vt:lpstr>MAPPING!SD_161x1_2935x1_2951x3_9600x1_437_B_1</vt:lpstr>
      <vt:lpstr>MAPPING!SD_161x1_2935x1_2951x3_9600x1_438_B_1</vt:lpstr>
      <vt:lpstr>MAPPING!SD_161x1_2935x1_2951x30_107_B_0</vt:lpstr>
      <vt:lpstr>MAPPING!SD_161x1_2935x1_2951x30_109_B_1</vt:lpstr>
      <vt:lpstr>MAPPING!SD_161x1_2935x1_2951x30_52_B_0</vt:lpstr>
      <vt:lpstr>MAPPING!SD_161x1_2935x1_2951x30_53_B_0</vt:lpstr>
      <vt:lpstr>MAPPING!SD_161x1_2935x1_2951x30_54_B_0</vt:lpstr>
      <vt:lpstr>MAPPING!SD_161x1_2935x1_2951x30_57_B_0</vt:lpstr>
      <vt:lpstr>MAPPING!SD_161x1_2935x1_2951x30_91_B_1</vt:lpstr>
      <vt:lpstr>MAPPING!SD_161x1_2935x1_2951x30_9600x1_100_B_0</vt:lpstr>
      <vt:lpstr>MAPPING!SD_161x1_2935x1_2951x30_9600x1_101_B_0</vt:lpstr>
      <vt:lpstr>MAPPING!SD_161x1_2935x1_2951x30_9600x1_436_B_1</vt:lpstr>
      <vt:lpstr>MAPPING!SD_161x1_2935x1_2951x30_9600x1_437_B_1</vt:lpstr>
      <vt:lpstr>MAPPING!SD_161x1_2935x1_2951x30_9600x1_438_B_1</vt:lpstr>
      <vt:lpstr>MAPPING!SD_161x1_2935x1_2951x31_109_B_1</vt:lpstr>
      <vt:lpstr>MAPPING!SD_161x1_2935x1_2951x31_52_B_0</vt:lpstr>
      <vt:lpstr>MAPPING!SD_161x1_2935x1_2951x31_53_B_0</vt:lpstr>
      <vt:lpstr>MAPPING!SD_161x1_2935x1_2951x31_54_B_0</vt:lpstr>
      <vt:lpstr>MAPPING!SD_161x1_2935x1_2951x31_91_B_1</vt:lpstr>
      <vt:lpstr>MAPPING!SD_161x1_2935x1_2951x31_9600x1_438_B_1</vt:lpstr>
      <vt:lpstr>MAPPING!SD_161x1_2935x1_2951x32_109_B_1</vt:lpstr>
      <vt:lpstr>MAPPING!SD_161x1_2935x1_2951x32_52_B_0</vt:lpstr>
      <vt:lpstr>MAPPING!SD_161x1_2935x1_2951x32_53_B_0</vt:lpstr>
      <vt:lpstr>MAPPING!SD_161x1_2935x1_2951x32_54_B_0</vt:lpstr>
      <vt:lpstr>MAPPING!SD_161x1_2935x1_2951x32_91_B_1</vt:lpstr>
      <vt:lpstr>MAPPING!SD_161x1_2935x1_2951x32_9600x1_438_B_1</vt:lpstr>
      <vt:lpstr>MAPPING!SD_161x1_2935x1_2951x33_109_B_1</vt:lpstr>
      <vt:lpstr>MAPPING!SD_161x1_2935x1_2951x33_52_B_0</vt:lpstr>
      <vt:lpstr>MAPPING!SD_161x1_2935x1_2951x33_53_B_0</vt:lpstr>
      <vt:lpstr>MAPPING!SD_161x1_2935x1_2951x33_54_B_0</vt:lpstr>
      <vt:lpstr>MAPPING!SD_161x1_2935x1_2951x33_91_B_1</vt:lpstr>
      <vt:lpstr>MAPPING!SD_161x1_2935x1_2951x33_9600x1_438_B_1</vt:lpstr>
      <vt:lpstr>MAPPING!SD_161x1_2935x1_2951x34_109_B_1</vt:lpstr>
      <vt:lpstr>MAPPING!SD_161x1_2935x1_2951x34_52_B_0</vt:lpstr>
      <vt:lpstr>MAPPING!SD_161x1_2935x1_2951x34_53_B_0</vt:lpstr>
      <vt:lpstr>MAPPING!SD_161x1_2935x1_2951x34_54_B_0</vt:lpstr>
      <vt:lpstr>MAPPING!SD_161x1_2935x1_2951x34_91_B_1</vt:lpstr>
      <vt:lpstr>MAPPING!SD_161x1_2935x1_2951x34_9600x1_438_B_1</vt:lpstr>
      <vt:lpstr>MAPPING!SD_161x1_2935x1_2951x35_109_B_1</vt:lpstr>
      <vt:lpstr>MAPPING!SD_161x1_2935x1_2951x35_52_B_0</vt:lpstr>
      <vt:lpstr>MAPPING!SD_161x1_2935x1_2951x35_53_B_0</vt:lpstr>
      <vt:lpstr>MAPPING!SD_161x1_2935x1_2951x35_54_B_0</vt:lpstr>
      <vt:lpstr>MAPPING!SD_161x1_2935x1_2951x35_91_B_1</vt:lpstr>
      <vt:lpstr>MAPPING!SD_161x1_2935x1_2951x35_9600x1_438_B_1</vt:lpstr>
      <vt:lpstr>MAPPING!SD_161x1_2935x1_2951x36_109_B_1</vt:lpstr>
      <vt:lpstr>MAPPING!SD_161x1_2935x1_2951x36_52_B_0</vt:lpstr>
      <vt:lpstr>MAPPING!SD_161x1_2935x1_2951x36_53_B_0</vt:lpstr>
      <vt:lpstr>MAPPING!SD_161x1_2935x1_2951x36_54_B_0</vt:lpstr>
      <vt:lpstr>MAPPING!SD_161x1_2935x1_2951x36_91_B_1</vt:lpstr>
      <vt:lpstr>MAPPING!SD_161x1_2935x1_2951x36_9600x1_438_B_1</vt:lpstr>
      <vt:lpstr>MAPPING!SD_161x1_2935x1_2951x37_109_B_1</vt:lpstr>
      <vt:lpstr>MAPPING!SD_161x1_2935x1_2951x37_52_B_0</vt:lpstr>
      <vt:lpstr>MAPPING!SD_161x1_2935x1_2951x37_53_B_0</vt:lpstr>
      <vt:lpstr>MAPPING!SD_161x1_2935x1_2951x37_54_B_0</vt:lpstr>
      <vt:lpstr>MAPPING!SD_161x1_2935x1_2951x37_91_B_1</vt:lpstr>
      <vt:lpstr>MAPPING!SD_161x1_2935x1_2951x37_9600x1_438_B_1</vt:lpstr>
      <vt:lpstr>MAPPING!SD_161x1_2935x1_2951x38_109_B_1</vt:lpstr>
      <vt:lpstr>MAPPING!SD_161x1_2935x1_2951x38_52_B_0</vt:lpstr>
      <vt:lpstr>MAPPING!SD_161x1_2935x1_2951x38_53_B_0</vt:lpstr>
      <vt:lpstr>MAPPING!SD_161x1_2935x1_2951x38_54_B_0</vt:lpstr>
      <vt:lpstr>MAPPING!SD_161x1_2935x1_2951x38_91_B_1</vt:lpstr>
      <vt:lpstr>MAPPING!SD_161x1_2935x1_2951x38_9600x1_438_B_1</vt:lpstr>
      <vt:lpstr>MAPPING!SD_161x1_2935x1_2951x39_109_B_1</vt:lpstr>
      <vt:lpstr>MAPPING!SD_161x1_2935x1_2951x39_52_B_0</vt:lpstr>
      <vt:lpstr>MAPPING!SD_161x1_2935x1_2951x39_53_B_0</vt:lpstr>
      <vt:lpstr>MAPPING!SD_161x1_2935x1_2951x39_54_B_0</vt:lpstr>
      <vt:lpstr>MAPPING!SD_161x1_2935x1_2951x39_91_B_1</vt:lpstr>
      <vt:lpstr>MAPPING!SD_161x1_2935x1_2951x39_9600x1_438_B_1</vt:lpstr>
      <vt:lpstr>MAPPING!SD_161x1_2935x1_2951x4_107_B_0</vt:lpstr>
      <vt:lpstr>MAPPING!SD_161x1_2935x1_2951x4_109_B_1</vt:lpstr>
      <vt:lpstr>MAPPING!SD_161x1_2935x1_2951x4_52_B_0</vt:lpstr>
      <vt:lpstr>MAPPING!SD_161x1_2935x1_2951x4_53_B_0</vt:lpstr>
      <vt:lpstr>MAPPING!SD_161x1_2935x1_2951x4_54_B_0</vt:lpstr>
      <vt:lpstr>MAPPING!SD_161x1_2935x1_2951x4_57_B_0</vt:lpstr>
      <vt:lpstr>MAPPING!SD_161x1_2935x1_2951x4_91_B_1</vt:lpstr>
      <vt:lpstr>MAPPING!SD_161x1_2935x1_2951x4_9600x1_100_B_0</vt:lpstr>
      <vt:lpstr>MAPPING!SD_161x1_2935x1_2951x4_9600x1_101_B_0</vt:lpstr>
      <vt:lpstr>MAPPING!SD_161x1_2935x1_2951x4_9600x1_436_B_1</vt:lpstr>
      <vt:lpstr>MAPPING!SD_161x1_2935x1_2951x4_9600x1_437_B_1</vt:lpstr>
      <vt:lpstr>MAPPING!SD_161x1_2935x1_2951x4_9600x1_438_B_1</vt:lpstr>
      <vt:lpstr>MAPPING!SD_161x1_2935x1_2951x40_109_B_1</vt:lpstr>
      <vt:lpstr>MAPPING!SD_161x1_2935x1_2951x40_52_B_0</vt:lpstr>
      <vt:lpstr>MAPPING!SD_161x1_2935x1_2951x40_53_B_0</vt:lpstr>
      <vt:lpstr>MAPPING!SD_161x1_2935x1_2951x40_54_B_0</vt:lpstr>
      <vt:lpstr>MAPPING!SD_161x1_2935x1_2951x40_91_B_1</vt:lpstr>
      <vt:lpstr>MAPPING!SD_161x1_2935x1_2951x40_9600x1_438_B_1</vt:lpstr>
      <vt:lpstr>MAPPING!SD_161x1_2935x1_2951x41_109_B_1</vt:lpstr>
      <vt:lpstr>MAPPING!SD_161x1_2935x1_2951x41_52_B_0</vt:lpstr>
      <vt:lpstr>MAPPING!SD_161x1_2935x1_2951x41_53_B_0</vt:lpstr>
      <vt:lpstr>MAPPING!SD_161x1_2935x1_2951x41_54_B_0</vt:lpstr>
      <vt:lpstr>MAPPING!SD_161x1_2935x1_2951x41_91_B_1</vt:lpstr>
      <vt:lpstr>MAPPING!SD_161x1_2935x1_2951x41_9600x1_438_B_1</vt:lpstr>
      <vt:lpstr>MAPPING!SD_161x1_2935x1_2951x5_107_B_0</vt:lpstr>
      <vt:lpstr>MAPPING!SD_161x1_2935x1_2951x5_109_B_1</vt:lpstr>
      <vt:lpstr>MAPPING!SD_161x1_2935x1_2951x5_52_B_0</vt:lpstr>
      <vt:lpstr>MAPPING!SD_161x1_2935x1_2951x5_53_B_0</vt:lpstr>
      <vt:lpstr>MAPPING!SD_161x1_2935x1_2951x5_54_B_0</vt:lpstr>
      <vt:lpstr>MAPPING!SD_161x1_2935x1_2951x5_57_B_0</vt:lpstr>
      <vt:lpstr>MAPPING!SD_161x1_2935x1_2951x5_91_B_1</vt:lpstr>
      <vt:lpstr>MAPPING!SD_161x1_2935x1_2951x5_9600x1_100_B_0</vt:lpstr>
      <vt:lpstr>MAPPING!SD_161x1_2935x1_2951x5_9600x1_101_B_0</vt:lpstr>
      <vt:lpstr>MAPPING!SD_161x1_2935x1_2951x5_9600x1_436_B_1</vt:lpstr>
      <vt:lpstr>MAPPING!SD_161x1_2935x1_2951x5_9600x1_437_B_1</vt:lpstr>
      <vt:lpstr>MAPPING!SD_161x1_2935x1_2951x5_9600x1_438_B_1</vt:lpstr>
      <vt:lpstr>MAPPING!SD_161x1_2935x1_2951x6_107_B_0</vt:lpstr>
      <vt:lpstr>MAPPING!SD_161x1_2935x1_2951x6_109_B_1</vt:lpstr>
      <vt:lpstr>MAPPING!SD_161x1_2935x1_2951x6_52_B_0</vt:lpstr>
      <vt:lpstr>MAPPING!SD_161x1_2935x1_2951x6_53_B_0</vt:lpstr>
      <vt:lpstr>MAPPING!SD_161x1_2935x1_2951x6_54_B_0</vt:lpstr>
      <vt:lpstr>MAPPING!SD_161x1_2935x1_2951x6_57_B_0</vt:lpstr>
      <vt:lpstr>MAPPING!SD_161x1_2935x1_2951x6_91_B_1</vt:lpstr>
      <vt:lpstr>MAPPING!SD_161x1_2935x1_2951x6_9600x1_100_B_0</vt:lpstr>
      <vt:lpstr>MAPPING!SD_161x1_2935x1_2951x6_9600x1_101_B_0</vt:lpstr>
      <vt:lpstr>MAPPING!SD_161x1_2935x1_2951x6_9600x1_436_B_1</vt:lpstr>
      <vt:lpstr>MAPPING!SD_161x1_2935x1_2951x6_9600x1_437_B_1</vt:lpstr>
      <vt:lpstr>MAPPING!SD_161x1_2935x1_2951x6_9600x1_438_B_1</vt:lpstr>
      <vt:lpstr>MAPPING!SD_161x1_2935x1_2951x7_107_B_0</vt:lpstr>
      <vt:lpstr>MAPPING!SD_161x1_2935x1_2951x7_109_B_1</vt:lpstr>
      <vt:lpstr>MAPPING!SD_161x1_2935x1_2951x7_52_B_0</vt:lpstr>
      <vt:lpstr>MAPPING!SD_161x1_2935x1_2951x7_53_B_0</vt:lpstr>
      <vt:lpstr>MAPPING!SD_161x1_2935x1_2951x7_54_B_0</vt:lpstr>
      <vt:lpstr>MAPPING!SD_161x1_2935x1_2951x7_57_B_0</vt:lpstr>
      <vt:lpstr>MAPPING!SD_161x1_2935x1_2951x7_91_B_1</vt:lpstr>
      <vt:lpstr>MAPPING!SD_161x1_2935x1_2951x7_9600x1_100_B_0</vt:lpstr>
      <vt:lpstr>MAPPING!SD_161x1_2935x1_2951x7_9600x1_101_B_0</vt:lpstr>
      <vt:lpstr>MAPPING!SD_161x1_2935x1_2951x7_9600x1_436_B_1</vt:lpstr>
      <vt:lpstr>MAPPING!SD_161x1_2935x1_2951x7_9600x1_437_B_1</vt:lpstr>
      <vt:lpstr>MAPPING!SD_161x1_2935x1_2951x7_9600x1_438_B_1</vt:lpstr>
      <vt:lpstr>MAPPING!SD_161x1_2935x1_2951x8_107_B_0</vt:lpstr>
      <vt:lpstr>MAPPING!SD_161x1_2935x1_2951x8_109_B_1</vt:lpstr>
      <vt:lpstr>MAPPING!SD_161x1_2935x1_2951x8_52_B_0</vt:lpstr>
      <vt:lpstr>MAPPING!SD_161x1_2935x1_2951x8_53_B_0</vt:lpstr>
      <vt:lpstr>MAPPING!SD_161x1_2935x1_2951x8_54_B_0</vt:lpstr>
      <vt:lpstr>MAPPING!SD_161x1_2935x1_2951x8_57_B_0</vt:lpstr>
      <vt:lpstr>MAPPING!SD_161x1_2935x1_2951x8_91_B_1</vt:lpstr>
      <vt:lpstr>MAPPING!SD_161x1_2935x1_2951x8_9600x1_100_B_0</vt:lpstr>
      <vt:lpstr>MAPPING!SD_161x1_2935x1_2951x8_9600x1_101_B_0</vt:lpstr>
      <vt:lpstr>MAPPING!SD_161x1_2935x1_2951x8_9600x1_436_B_1</vt:lpstr>
      <vt:lpstr>MAPPING!SD_161x1_2935x1_2951x8_9600x1_437_B_1</vt:lpstr>
      <vt:lpstr>MAPPING!SD_161x1_2935x1_2951x8_9600x1_438_B_1</vt:lpstr>
      <vt:lpstr>MAPPING!SD_161x1_2935x1_2951x9_107_B_0</vt:lpstr>
      <vt:lpstr>MAPPING!SD_161x1_2935x1_2951x9_109_B_1</vt:lpstr>
      <vt:lpstr>MAPPING!SD_161x1_2935x1_2951x9_52_B_0</vt:lpstr>
      <vt:lpstr>MAPPING!SD_161x1_2935x1_2951x9_53_B_0</vt:lpstr>
      <vt:lpstr>MAPPING!SD_161x1_2935x1_2951x9_54_B_0</vt:lpstr>
      <vt:lpstr>MAPPING!SD_161x1_2935x1_2951x9_57_B_0</vt:lpstr>
      <vt:lpstr>MAPPING!SD_161x1_2935x1_2951x9_91_B_1</vt:lpstr>
      <vt:lpstr>MAPPING!SD_161x1_2935x1_2951x9_9600x1_100_B_0</vt:lpstr>
      <vt:lpstr>MAPPING!SD_161x1_2935x1_2951x9_9600x1_101_B_0</vt:lpstr>
      <vt:lpstr>MAPPING!SD_161x1_2935x1_2951x9_9600x1_436_B_1</vt:lpstr>
      <vt:lpstr>MAPPING!SD_161x1_2935x1_2951x9_9600x1_437_B_1</vt:lpstr>
      <vt:lpstr>MAPPING!SD_161x1_2935x1_2951x9_9600x1_438_B_1</vt:lpstr>
      <vt:lpstr>MAPPING!SD_161x1_2935x1_30_B_0</vt:lpstr>
      <vt:lpstr>MAPPING!SD_161x1_2935x1_31_B_0</vt:lpstr>
      <vt:lpstr>MAPPING!SD_161x1_2935x1_32_B_0</vt:lpstr>
      <vt:lpstr>MAPPING!SD_161x1_2935x1_54_B_0</vt:lpstr>
      <vt:lpstr>MAPPING!SD_161x1_2935x1_56_B_0</vt:lpstr>
      <vt:lpstr>MAPPING!SD_161x1_2935x1_57_B_0</vt:lpstr>
      <vt:lpstr>MAPPING!SD_161x1_2935x1_58_B_0</vt:lpstr>
      <vt:lpstr>MAPPING!SD_161x1_2935x1_59_B_0</vt:lpstr>
      <vt:lpstr>MAPPING!SD_161x1_2935x1_60_B_0</vt:lpstr>
      <vt:lpstr>MAPPING!SD_161x1_2935x1_61_B_0</vt:lpstr>
      <vt:lpstr>MAPPING!SD_161x1_2935x1_62_B_0</vt:lpstr>
      <vt:lpstr>MAPPING!SD_161x1_2935x1_63_B_0</vt:lpstr>
      <vt:lpstr>MAPPING!SD_161x1_2935x1_86_B_1</vt:lpstr>
      <vt:lpstr>MAPPING!SD_161x1_2935x1_87_B_1</vt:lpstr>
      <vt:lpstr>MAPPING!SD_161x1_2935x1_94_B_0</vt:lpstr>
      <vt:lpstr>MAPPING!SD_161x1_36_B_0</vt:lpstr>
      <vt:lpstr>MAPPING!SD_161x1_41_B_0</vt:lpstr>
      <vt:lpstr>MAPPING!SD_161x1_5330x1_127_B_1</vt:lpstr>
      <vt:lpstr>MAPPING!SD_161x1_5330x1_128_B_1</vt:lpstr>
      <vt:lpstr>MAPPING!SD_161x1_5330x1_159_B_1</vt:lpstr>
      <vt:lpstr>MAPPING!SD_161x1_5330x1_160_B_1</vt:lpstr>
      <vt:lpstr>MAPPING!SD_161x1_5330x1_161_B_1</vt:lpstr>
      <vt:lpstr>MAPPING!SD_161x1_5330x1_162_B_1</vt:lpstr>
      <vt:lpstr>MAPPING!SD_161x1_5330x1_163_B_1</vt:lpstr>
      <vt:lpstr>MAPPING!SD_161x1_5330x1_164_B_1</vt:lpstr>
      <vt:lpstr>MAPPING!SD_161x1_5330x1_165_B_1</vt:lpstr>
      <vt:lpstr>MAPPING!SD_161x1_5330x1_166_B_0</vt:lpstr>
      <vt:lpstr>MAPPING!SD_161x1_5330x1_167_B_0</vt:lpstr>
      <vt:lpstr>MAPPING!SD_161x1_5330x1_168_B_0</vt:lpstr>
      <vt:lpstr>MAPPING!SD_161x1_5330x1_169_B_0</vt:lpstr>
      <vt:lpstr>MAPPING!SD_161x1_5330x1_170_B_0</vt:lpstr>
      <vt:lpstr>MAPPING!SD_161x1_5330x1_171_B_0</vt:lpstr>
      <vt:lpstr>MAPPING!SD_161x1_5330x1_172_B_0</vt:lpstr>
      <vt:lpstr>MAPPING!SD_161x1_5330x1_173_B_0</vt:lpstr>
      <vt:lpstr>MAPPING!SD_161x1_5330x1_174_B_0</vt:lpstr>
      <vt:lpstr>MAPPING!SD_161x1_5330x1_177_B_0</vt:lpstr>
      <vt:lpstr>MAPPING!SD_161x1_5330x1_178_B_0</vt:lpstr>
      <vt:lpstr>MAPPING!SD_161x1_5330x1_179_B_0</vt:lpstr>
      <vt:lpstr>MAPPING!SD_161x1_5330x1_180_B_0</vt:lpstr>
      <vt:lpstr>MAPPING!SD_161x1_5330x1_181_B_0</vt:lpstr>
      <vt:lpstr>MAPPING!SD_161x1_5330x1_182_B_0</vt:lpstr>
      <vt:lpstr>MAPPING!SD_161x1_5330x1_183_B_0</vt:lpstr>
      <vt:lpstr>MAPPING!SD_161x1_5330x1_184_B_0</vt:lpstr>
      <vt:lpstr>MAPPING!SD_161x1_5330x1_185_B_0</vt:lpstr>
      <vt:lpstr>MAPPING!SD_161x1_5330x1_186_B_0</vt:lpstr>
      <vt:lpstr>MAPPING!SD_161x1_5330x1_187_B_0</vt:lpstr>
      <vt:lpstr>MAPPING!SD_161x1_5330x1_188_B_0</vt:lpstr>
      <vt:lpstr>MAPPING!SD_161x1_5330x1_189_B_0</vt:lpstr>
      <vt:lpstr>MAPPING!SD_161x1_5330x1_190_B_0</vt:lpstr>
      <vt:lpstr>MAPPING!SD_161x1_5330x1_191_B_0</vt:lpstr>
      <vt:lpstr>MAPPING!SD_161x1_5330x1_192_B_0</vt:lpstr>
      <vt:lpstr>MAPPING!SD_161x1_5330x1_193_B_0</vt:lpstr>
      <vt:lpstr>MAPPING!SD_161x1_5330x1_222_B_1</vt:lpstr>
      <vt:lpstr>MAPPING!SD_161x1_5330x1_223_B_1</vt:lpstr>
      <vt:lpstr>MAPPING!SD_161x1_5330x1_224_B_1</vt:lpstr>
      <vt:lpstr>MAPPING!SD_161x1_5330x1_225_B_1</vt:lpstr>
      <vt:lpstr>MAPPING!SD_161x1_5330x1_228_B_0</vt:lpstr>
      <vt:lpstr>MAPPING!SD_161x1_5330x1_229_B_0</vt:lpstr>
      <vt:lpstr>MAPPING!SD_161x1_5330x1_230_B_0</vt:lpstr>
      <vt:lpstr>MAPPING!SD_161x1_5330x1_231_B_0</vt:lpstr>
      <vt:lpstr>MAPPING!SD_161x1_5330x1_232_B_0</vt:lpstr>
      <vt:lpstr>MAPPING!SD_161x1_5330x1_233_B_0</vt:lpstr>
      <vt:lpstr>MAPPING!SD_161x1_5330x1_234_B_0</vt:lpstr>
      <vt:lpstr>MAPPING!SD_161x1_5330x1_235_B_0</vt:lpstr>
      <vt:lpstr>MAPPING!SD_161x1_5330x1_236_B_0</vt:lpstr>
      <vt:lpstr>MAPPING!SD_161x1_5330x1_237_B_0</vt:lpstr>
      <vt:lpstr>MAPPING!SD_161x1_5330x1_238_B_0</vt:lpstr>
      <vt:lpstr>MAPPING!SD_161x1_5330x1_239_B_0</vt:lpstr>
      <vt:lpstr>MAPPING!SD_161x1_5330x1_240_B_0</vt:lpstr>
      <vt:lpstr>MAPPING!SD_161x1_5330x1_241_B_0</vt:lpstr>
      <vt:lpstr>MAPPING!SD_161x1_5330x1_242_B_0</vt:lpstr>
      <vt:lpstr>MAPPING!SD_161x1_5330x1_243_B_0</vt:lpstr>
      <vt:lpstr>MAPPING!SD_161x1_5330x1_244_B_0</vt:lpstr>
      <vt:lpstr>MAPPING!SD_161x1_5330x1_245_B_0</vt:lpstr>
      <vt:lpstr>MAPPING!SD_161x1_5330x1_246_B_0</vt:lpstr>
      <vt:lpstr>MAPPING!SD_161x1_5330x1_247_B_0</vt:lpstr>
      <vt:lpstr>MAPPING!SD_161x1_5330x1_248_B_0</vt:lpstr>
      <vt:lpstr>MAPPING!SD_161x1_5330x1_249_B_0</vt:lpstr>
      <vt:lpstr>MAPPING!SD_161x1_5330x1_430_B_0</vt:lpstr>
      <vt:lpstr>MAPPING!SD_161x1_5330x1_431_B_0</vt:lpstr>
      <vt:lpstr>MAPPING!SD_161x1_5330x1_432_B_0</vt:lpstr>
      <vt:lpstr>MAPPING!SD_161x1_5330x1_433_B_0</vt:lpstr>
      <vt:lpstr>MAPPING!SD_161x1_81_B_1</vt:lpstr>
      <vt:lpstr>MAPPING!SD_161x1_86_B_1</vt:lpstr>
      <vt:lpstr>MAPPING!SD_21_B_0</vt:lpstr>
      <vt:lpstr>MAPPING!SD_2357x1_10_B_0</vt:lpstr>
      <vt:lpstr>MAPPING!SD_2357x1_39_B_1</vt:lpstr>
      <vt:lpstr>MAPPING!SD_2357x1_5_B_0</vt:lpstr>
      <vt:lpstr>MAPPING!SD_2357x1_5824x1_157_B_0</vt:lpstr>
      <vt:lpstr>MAPPING!SD_2357x1_5824x1_158_B_0</vt:lpstr>
      <vt:lpstr>MAPPING!SD_2357x1_6_B_0</vt:lpstr>
      <vt:lpstr>MAPPING!SD_2357x1_7_B_0</vt:lpstr>
      <vt:lpstr>MAPPING!SD_2357x1_71_B_1</vt:lpstr>
      <vt:lpstr>MAPPING!SD_2357x1_8_B_0</vt:lpstr>
      <vt:lpstr>MAPPING!SD_2357x1_9_B_0</vt:lpstr>
      <vt:lpstr>MAPPING!SD_2357x10_10_B_0</vt:lpstr>
      <vt:lpstr>MAPPING!SD_2357x10_39_B_1</vt:lpstr>
      <vt:lpstr>MAPPING!SD_2357x10_5_B_0</vt:lpstr>
      <vt:lpstr>MAPPING!SD_2357x10_5824x1_156_B_1</vt:lpstr>
      <vt:lpstr>MAPPING!SD_2357x10_5824x1_158_B_0</vt:lpstr>
      <vt:lpstr>MAPPING!SD_2357x10_6_B_0</vt:lpstr>
      <vt:lpstr>MAPPING!SD_2357x10_7_B_0</vt:lpstr>
      <vt:lpstr>MAPPING!SD_2357x10_71_B_1</vt:lpstr>
      <vt:lpstr>MAPPING!SD_2357x10_9_B_0</vt:lpstr>
      <vt:lpstr>MAPPING!SD_2357x11_10_B_0</vt:lpstr>
      <vt:lpstr>MAPPING!SD_2357x11_39_B_1</vt:lpstr>
      <vt:lpstr>MAPPING!SD_2357x11_5_B_0</vt:lpstr>
      <vt:lpstr>MAPPING!SD_2357x11_5824x1_156_B_1</vt:lpstr>
      <vt:lpstr>MAPPING!SD_2357x11_5824x1_158_B_0</vt:lpstr>
      <vt:lpstr>MAPPING!SD_2357x11_6_B_0</vt:lpstr>
      <vt:lpstr>MAPPING!SD_2357x11_7_B_0</vt:lpstr>
      <vt:lpstr>MAPPING!SD_2357x11_71_B_1</vt:lpstr>
      <vt:lpstr>MAPPING!SD_2357x11_9_B_0</vt:lpstr>
      <vt:lpstr>MAPPING!SD_2357x12_10_B_0</vt:lpstr>
      <vt:lpstr>MAPPING!SD_2357x12_39_B_1</vt:lpstr>
      <vt:lpstr>MAPPING!SD_2357x12_5_B_0</vt:lpstr>
      <vt:lpstr>MAPPING!SD_2357x12_5824x1_156_B_1</vt:lpstr>
      <vt:lpstr>MAPPING!SD_2357x12_5824x1_158_B_0</vt:lpstr>
      <vt:lpstr>MAPPING!SD_2357x12_6_B_0</vt:lpstr>
      <vt:lpstr>MAPPING!SD_2357x12_7_B_0</vt:lpstr>
      <vt:lpstr>MAPPING!SD_2357x12_71_B_1</vt:lpstr>
      <vt:lpstr>MAPPING!SD_2357x12_9_B_0</vt:lpstr>
      <vt:lpstr>MAPPING!SD_2357x13_10_B_0</vt:lpstr>
      <vt:lpstr>MAPPING!SD_2357x13_39_B_1</vt:lpstr>
      <vt:lpstr>MAPPING!SD_2357x13_5_B_0</vt:lpstr>
      <vt:lpstr>MAPPING!SD_2357x13_5824x1_156_B_1</vt:lpstr>
      <vt:lpstr>MAPPING!SD_2357x13_5824x1_158_B_0</vt:lpstr>
      <vt:lpstr>MAPPING!SD_2357x13_6_B_0</vt:lpstr>
      <vt:lpstr>MAPPING!SD_2357x13_7_B_0</vt:lpstr>
      <vt:lpstr>MAPPING!SD_2357x13_71_B_1</vt:lpstr>
      <vt:lpstr>MAPPING!SD_2357x13_9_B_0</vt:lpstr>
      <vt:lpstr>MAPPING!SD_2357x14_10_B_0</vt:lpstr>
      <vt:lpstr>MAPPING!SD_2357x14_39_B_1</vt:lpstr>
      <vt:lpstr>MAPPING!SD_2357x14_5_B_0</vt:lpstr>
      <vt:lpstr>MAPPING!SD_2357x14_5824x1_156_B_1</vt:lpstr>
      <vt:lpstr>MAPPING!SD_2357x14_5824x1_158_B_0</vt:lpstr>
      <vt:lpstr>MAPPING!SD_2357x14_6_B_0</vt:lpstr>
      <vt:lpstr>MAPPING!SD_2357x14_7_B_0</vt:lpstr>
      <vt:lpstr>MAPPING!SD_2357x14_71_B_1</vt:lpstr>
      <vt:lpstr>MAPPING!SD_2357x14_9_B_0</vt:lpstr>
      <vt:lpstr>MAPPING!SD_2357x15_10_B_0</vt:lpstr>
      <vt:lpstr>MAPPING!SD_2357x15_39_B_1</vt:lpstr>
      <vt:lpstr>MAPPING!SD_2357x15_5824x1_156_B_1</vt:lpstr>
      <vt:lpstr>MAPPING!SD_2357x15_6_B_0</vt:lpstr>
      <vt:lpstr>MAPPING!SD_2357x15_71_B_1</vt:lpstr>
      <vt:lpstr>MAPPING!SD_2357x15_9_B_0</vt:lpstr>
      <vt:lpstr>MAPPING!SD_2357x16_10_B_0</vt:lpstr>
      <vt:lpstr>MAPPING!SD_2357x16_39_B_1</vt:lpstr>
      <vt:lpstr>MAPPING!SD_2357x16_6_B_0</vt:lpstr>
      <vt:lpstr>MAPPING!SD_2357x16_71_B_1</vt:lpstr>
      <vt:lpstr>MAPPING!SD_2357x16_9_B_0</vt:lpstr>
      <vt:lpstr>MAPPING!SD_2357x17_10_B_0</vt:lpstr>
      <vt:lpstr>MAPPING!SD_2357x17_39_B_1</vt:lpstr>
      <vt:lpstr>MAPPING!SD_2357x17_6_B_0</vt:lpstr>
      <vt:lpstr>MAPPING!SD_2357x17_71_B_1</vt:lpstr>
      <vt:lpstr>MAPPING!SD_2357x17_9_B_0</vt:lpstr>
      <vt:lpstr>MAPPING!SD_2357x18_10_B_0</vt:lpstr>
      <vt:lpstr>MAPPING!SD_2357x18_39_B_1</vt:lpstr>
      <vt:lpstr>MAPPING!SD_2357x18_5824x1_156_B_1</vt:lpstr>
      <vt:lpstr>MAPPING!SD_2357x18_6_B_0</vt:lpstr>
      <vt:lpstr>MAPPING!SD_2357x18_71_B_1</vt:lpstr>
      <vt:lpstr>MAPPING!SD_2357x18_9_B_0</vt:lpstr>
      <vt:lpstr>MAPPING!SD_2357x19_10_B_0</vt:lpstr>
      <vt:lpstr>MAPPING!SD_2357x19_39_B_1</vt:lpstr>
      <vt:lpstr>MAPPING!SD_2357x19_5824x1_156_B_1</vt:lpstr>
      <vt:lpstr>MAPPING!SD_2357x19_6_B_0</vt:lpstr>
      <vt:lpstr>MAPPING!SD_2357x19_71_B_1</vt:lpstr>
      <vt:lpstr>MAPPING!SD_2357x19_9_B_0</vt:lpstr>
      <vt:lpstr>MAPPING!SD_2357x2_10_B_0</vt:lpstr>
      <vt:lpstr>MAPPING!SD_2357x2_39_B_1</vt:lpstr>
      <vt:lpstr>MAPPING!SD_2357x2_5_B_0</vt:lpstr>
      <vt:lpstr>MAPPING!SD_2357x2_5824x1_157_B_0</vt:lpstr>
      <vt:lpstr>MAPPING!SD_2357x2_5824x1_158_B_0</vt:lpstr>
      <vt:lpstr>MAPPING!SD_2357x2_6_B_0</vt:lpstr>
      <vt:lpstr>MAPPING!SD_2357x2_7_B_0</vt:lpstr>
      <vt:lpstr>MAPPING!SD_2357x2_71_B_1</vt:lpstr>
      <vt:lpstr>MAPPING!SD_2357x2_8_B_0</vt:lpstr>
      <vt:lpstr>MAPPING!SD_2357x2_9_B_0</vt:lpstr>
      <vt:lpstr>MAPPING!SD_2357x20_10_B_0</vt:lpstr>
      <vt:lpstr>MAPPING!SD_2357x20_39_B_1</vt:lpstr>
      <vt:lpstr>MAPPING!SD_2357x20_5_B_0</vt:lpstr>
      <vt:lpstr>MAPPING!SD_2357x20_5824x1_158_B_0</vt:lpstr>
      <vt:lpstr>MAPPING!SD_2357x20_6_B_0</vt:lpstr>
      <vt:lpstr>MAPPING!SD_2357x20_7_B_0</vt:lpstr>
      <vt:lpstr>MAPPING!SD_2357x20_71_B_1</vt:lpstr>
      <vt:lpstr>MAPPING!SD_2357x20_9_B_0</vt:lpstr>
      <vt:lpstr>MAPPING!SD_2357x21_10_B_0</vt:lpstr>
      <vt:lpstr>MAPPING!SD_2357x21_39_B_1</vt:lpstr>
      <vt:lpstr>MAPPING!SD_2357x21_5_B_0</vt:lpstr>
      <vt:lpstr>MAPPING!SD_2357x21_5824x1_158_B_0</vt:lpstr>
      <vt:lpstr>MAPPING!SD_2357x21_6_B_0</vt:lpstr>
      <vt:lpstr>MAPPING!SD_2357x21_7_B_0</vt:lpstr>
      <vt:lpstr>MAPPING!SD_2357x21_71_B_1</vt:lpstr>
      <vt:lpstr>MAPPING!SD_2357x21_9_B_0</vt:lpstr>
      <vt:lpstr>MAPPING!SD_2357x22_10_B_0</vt:lpstr>
      <vt:lpstr>MAPPING!SD_2357x22_39_B_1</vt:lpstr>
      <vt:lpstr>MAPPING!SD_2357x22_5_B_0</vt:lpstr>
      <vt:lpstr>MAPPING!SD_2357x22_5824x1_158_B_0</vt:lpstr>
      <vt:lpstr>MAPPING!SD_2357x22_6_B_0</vt:lpstr>
      <vt:lpstr>MAPPING!SD_2357x22_7_B_0</vt:lpstr>
      <vt:lpstr>MAPPING!SD_2357x22_71_B_1</vt:lpstr>
      <vt:lpstr>MAPPING!SD_2357x22_9_B_0</vt:lpstr>
      <vt:lpstr>MAPPING!SD_2357x23_10_B_0</vt:lpstr>
      <vt:lpstr>MAPPING!SD_2357x23_39_B_1</vt:lpstr>
      <vt:lpstr>MAPPING!SD_2357x23_5_B_0</vt:lpstr>
      <vt:lpstr>MAPPING!SD_2357x23_5824x1_158_B_0</vt:lpstr>
      <vt:lpstr>MAPPING!SD_2357x23_6_B_0</vt:lpstr>
      <vt:lpstr>MAPPING!SD_2357x23_7_B_0</vt:lpstr>
      <vt:lpstr>MAPPING!SD_2357x23_71_B_1</vt:lpstr>
      <vt:lpstr>MAPPING!SD_2357x23_9_B_0</vt:lpstr>
      <vt:lpstr>MAPPING!SD_2357x24_10_B_0</vt:lpstr>
      <vt:lpstr>MAPPING!SD_2357x24_39_B_1</vt:lpstr>
      <vt:lpstr>MAPPING!SD_2357x24_5_B_0</vt:lpstr>
      <vt:lpstr>MAPPING!SD_2357x24_5824x1_158_B_0</vt:lpstr>
      <vt:lpstr>MAPPING!SD_2357x24_6_B_0</vt:lpstr>
      <vt:lpstr>MAPPING!SD_2357x24_7_B_0</vt:lpstr>
      <vt:lpstr>MAPPING!SD_2357x24_71_B_1</vt:lpstr>
      <vt:lpstr>MAPPING!SD_2357x24_9_B_0</vt:lpstr>
      <vt:lpstr>MAPPING!SD_2357x25_10_B_0</vt:lpstr>
      <vt:lpstr>MAPPING!SD_2357x25_39_B_1</vt:lpstr>
      <vt:lpstr>MAPPING!SD_2357x25_5_B_0</vt:lpstr>
      <vt:lpstr>MAPPING!SD_2357x25_5824x1_158_B_0</vt:lpstr>
      <vt:lpstr>MAPPING!SD_2357x25_6_B_0</vt:lpstr>
      <vt:lpstr>MAPPING!SD_2357x25_7_B_0</vt:lpstr>
      <vt:lpstr>MAPPING!SD_2357x25_71_B_1</vt:lpstr>
      <vt:lpstr>MAPPING!SD_2357x25_9_B_0</vt:lpstr>
      <vt:lpstr>MAPPING!SD_2357x26_10_B_0</vt:lpstr>
      <vt:lpstr>MAPPING!SD_2357x26_39_B_1</vt:lpstr>
      <vt:lpstr>MAPPING!SD_2357x26_5_B_0</vt:lpstr>
      <vt:lpstr>MAPPING!SD_2357x26_5824x1_158_B_0</vt:lpstr>
      <vt:lpstr>MAPPING!SD_2357x26_6_B_0</vt:lpstr>
      <vt:lpstr>MAPPING!SD_2357x26_7_B_0</vt:lpstr>
      <vt:lpstr>MAPPING!SD_2357x26_71_B_1</vt:lpstr>
      <vt:lpstr>MAPPING!SD_2357x26_9_B_0</vt:lpstr>
      <vt:lpstr>MAPPING!SD_2357x27_10_B_0</vt:lpstr>
      <vt:lpstr>MAPPING!SD_2357x27_39_B_1</vt:lpstr>
      <vt:lpstr>MAPPING!SD_2357x27_5_B_0</vt:lpstr>
      <vt:lpstr>MAPPING!SD_2357x27_5824x1_158_B_0</vt:lpstr>
      <vt:lpstr>MAPPING!SD_2357x27_6_B_0</vt:lpstr>
      <vt:lpstr>MAPPING!SD_2357x27_7_B_0</vt:lpstr>
      <vt:lpstr>MAPPING!SD_2357x27_71_B_1</vt:lpstr>
      <vt:lpstr>MAPPING!SD_2357x27_9_B_0</vt:lpstr>
      <vt:lpstr>MAPPING!SD_2357x28_10_B_0</vt:lpstr>
      <vt:lpstr>MAPPING!SD_2357x28_39_B_1</vt:lpstr>
      <vt:lpstr>MAPPING!SD_2357x28_5_B_0</vt:lpstr>
      <vt:lpstr>MAPPING!SD_2357x28_5824x1_158_B_0</vt:lpstr>
      <vt:lpstr>MAPPING!SD_2357x28_6_B_0</vt:lpstr>
      <vt:lpstr>MAPPING!SD_2357x28_7_B_0</vt:lpstr>
      <vt:lpstr>MAPPING!SD_2357x28_71_B_1</vt:lpstr>
      <vt:lpstr>MAPPING!SD_2357x28_9_B_0</vt:lpstr>
      <vt:lpstr>MAPPING!SD_2357x29_10_B_0</vt:lpstr>
      <vt:lpstr>MAPPING!SD_2357x29_39_B_1</vt:lpstr>
      <vt:lpstr>MAPPING!SD_2357x29_5_B_0</vt:lpstr>
      <vt:lpstr>MAPPING!SD_2357x29_5824x1_158_B_0</vt:lpstr>
      <vt:lpstr>MAPPING!SD_2357x29_6_B_0</vt:lpstr>
      <vt:lpstr>MAPPING!SD_2357x29_7_B_0</vt:lpstr>
      <vt:lpstr>MAPPING!SD_2357x29_71_B_1</vt:lpstr>
      <vt:lpstr>MAPPING!SD_2357x29_9_B_0</vt:lpstr>
      <vt:lpstr>MAPPING!SD_2357x3_10_B_0</vt:lpstr>
      <vt:lpstr>MAPPING!SD_2357x3_39_B_1</vt:lpstr>
      <vt:lpstr>MAPPING!SD_2357x3_5_B_0</vt:lpstr>
      <vt:lpstr>MAPPING!SD_2357x3_5824x1_157_B_0</vt:lpstr>
      <vt:lpstr>MAPPING!SD_2357x3_5824x1_158_B_0</vt:lpstr>
      <vt:lpstr>MAPPING!SD_2357x3_6_B_0</vt:lpstr>
      <vt:lpstr>MAPPING!SD_2357x3_7_B_0</vt:lpstr>
      <vt:lpstr>MAPPING!SD_2357x3_71_B_1</vt:lpstr>
      <vt:lpstr>MAPPING!SD_2357x3_8_B_0</vt:lpstr>
      <vt:lpstr>MAPPING!SD_2357x3_9_B_0</vt:lpstr>
      <vt:lpstr>MAPPING!SD_2357x30_10_B_0</vt:lpstr>
      <vt:lpstr>MAPPING!SD_2357x30_39_B_1</vt:lpstr>
      <vt:lpstr>MAPPING!SD_2357x30_5_B_0</vt:lpstr>
      <vt:lpstr>MAPPING!SD_2357x30_5824x1_158_B_0</vt:lpstr>
      <vt:lpstr>MAPPING!SD_2357x30_6_B_0</vt:lpstr>
      <vt:lpstr>MAPPING!SD_2357x30_7_B_0</vt:lpstr>
      <vt:lpstr>MAPPING!SD_2357x30_71_B_1</vt:lpstr>
      <vt:lpstr>MAPPING!SD_2357x30_9_B_0</vt:lpstr>
      <vt:lpstr>MAPPING!SD_2357x31_10_B_0</vt:lpstr>
      <vt:lpstr>MAPPING!SD_2357x31_39_B_1</vt:lpstr>
      <vt:lpstr>MAPPING!SD_2357x31_5_B_0</vt:lpstr>
      <vt:lpstr>MAPPING!SD_2357x31_5824x1_158_B_0</vt:lpstr>
      <vt:lpstr>MAPPING!SD_2357x31_6_B_0</vt:lpstr>
      <vt:lpstr>MAPPING!SD_2357x31_7_B_0</vt:lpstr>
      <vt:lpstr>MAPPING!SD_2357x31_71_B_1</vt:lpstr>
      <vt:lpstr>MAPPING!SD_2357x31_9_B_0</vt:lpstr>
      <vt:lpstr>MAPPING!SD_2357x32_10_B_0</vt:lpstr>
      <vt:lpstr>MAPPING!SD_2357x32_39_B_1</vt:lpstr>
      <vt:lpstr>MAPPING!SD_2357x32_5_B_0</vt:lpstr>
      <vt:lpstr>MAPPING!SD_2357x32_5824x1_158_B_0</vt:lpstr>
      <vt:lpstr>MAPPING!SD_2357x32_6_B_0</vt:lpstr>
      <vt:lpstr>MAPPING!SD_2357x32_7_B_0</vt:lpstr>
      <vt:lpstr>MAPPING!SD_2357x32_71_B_1</vt:lpstr>
      <vt:lpstr>MAPPING!SD_2357x32_9_B_0</vt:lpstr>
      <vt:lpstr>MAPPING!SD_2357x33_10_B_0</vt:lpstr>
      <vt:lpstr>MAPPING!SD_2357x33_39_B_1</vt:lpstr>
      <vt:lpstr>MAPPING!SD_2357x33_6_B_0</vt:lpstr>
      <vt:lpstr>MAPPING!SD_2357x33_71_B_1</vt:lpstr>
      <vt:lpstr>MAPPING!SD_2357x34_10_B_0</vt:lpstr>
      <vt:lpstr>MAPPING!SD_2357x34_39_B_1</vt:lpstr>
      <vt:lpstr>MAPPING!SD_2357x34_6_B_0</vt:lpstr>
      <vt:lpstr>MAPPING!SD_2357x34_71_B_1</vt:lpstr>
      <vt:lpstr>MAPPING!SD_2357x35_10_B_0</vt:lpstr>
      <vt:lpstr>MAPPING!SD_2357x35_39_B_1</vt:lpstr>
      <vt:lpstr>MAPPING!SD_2357x35_6_B_0</vt:lpstr>
      <vt:lpstr>MAPPING!SD_2357x35_71_B_1</vt:lpstr>
      <vt:lpstr>MAPPING!SD_2357x36_39_B_1</vt:lpstr>
      <vt:lpstr>MAPPING!SD_2357x36_6_B_0</vt:lpstr>
      <vt:lpstr>MAPPING!SD_2357x36_71_B_1</vt:lpstr>
      <vt:lpstr>MAPPING!SD_2357x37_39_B_1</vt:lpstr>
      <vt:lpstr>MAPPING!SD_2357x37_6_B_0</vt:lpstr>
      <vt:lpstr>MAPPING!SD_2357x37_71_B_1</vt:lpstr>
      <vt:lpstr>MAPPING!SD_2357x38_39_B_1</vt:lpstr>
      <vt:lpstr>MAPPING!SD_2357x38_6_B_0</vt:lpstr>
      <vt:lpstr>MAPPING!SD_2357x38_71_B_1</vt:lpstr>
      <vt:lpstr>MAPPING!SD_2357x39_10_B_0</vt:lpstr>
      <vt:lpstr>MAPPING!SD_2357x39_39_B_1</vt:lpstr>
      <vt:lpstr>MAPPING!SD_2357x39_6_B_0</vt:lpstr>
      <vt:lpstr>MAPPING!SD_2357x39_71_B_1</vt:lpstr>
      <vt:lpstr>MAPPING!SD_2357x4_10_B_0</vt:lpstr>
      <vt:lpstr>MAPPING!SD_2357x4_39_B_1</vt:lpstr>
      <vt:lpstr>MAPPING!SD_2357x4_5_B_0</vt:lpstr>
      <vt:lpstr>MAPPING!SD_2357x4_5824x1_157_B_0</vt:lpstr>
      <vt:lpstr>MAPPING!SD_2357x4_5824x1_158_B_0</vt:lpstr>
      <vt:lpstr>MAPPING!SD_2357x4_6_B_0</vt:lpstr>
      <vt:lpstr>MAPPING!SD_2357x4_7_B_0</vt:lpstr>
      <vt:lpstr>MAPPING!SD_2357x4_71_B_1</vt:lpstr>
      <vt:lpstr>MAPPING!SD_2357x4_8_B_0</vt:lpstr>
      <vt:lpstr>MAPPING!SD_2357x4_9_B_0</vt:lpstr>
      <vt:lpstr>MAPPING!SD_2357x40_10_B_0</vt:lpstr>
      <vt:lpstr>MAPPING!SD_2357x40_39_B_1</vt:lpstr>
      <vt:lpstr>MAPPING!SD_2357x40_6_B_0</vt:lpstr>
      <vt:lpstr>MAPPING!SD_2357x40_71_B_1</vt:lpstr>
      <vt:lpstr>MAPPING!SD_2357x41_10_B_0</vt:lpstr>
      <vt:lpstr>MAPPING!SD_2357x41_39_B_1</vt:lpstr>
      <vt:lpstr>MAPPING!SD_2357x41_6_B_0</vt:lpstr>
      <vt:lpstr>MAPPING!SD_2357x41_71_B_1</vt:lpstr>
      <vt:lpstr>MAPPING!SD_2357x42_10_B_0</vt:lpstr>
      <vt:lpstr>MAPPING!SD_2357x42_39_B_1</vt:lpstr>
      <vt:lpstr>MAPPING!SD_2357x42_6_B_0</vt:lpstr>
      <vt:lpstr>MAPPING!SD_2357x42_71_B_1</vt:lpstr>
      <vt:lpstr>MAPPING!SD_2357x43_10_B_0</vt:lpstr>
      <vt:lpstr>MAPPING!SD_2357x43_39_B_1</vt:lpstr>
      <vt:lpstr>MAPPING!SD_2357x43_6_B_0</vt:lpstr>
      <vt:lpstr>MAPPING!SD_2357x43_71_B_1</vt:lpstr>
      <vt:lpstr>MAPPING!SD_2357x44_10_B_0</vt:lpstr>
      <vt:lpstr>MAPPING!SD_2357x44_39_B_1</vt:lpstr>
      <vt:lpstr>MAPPING!SD_2357x44_6_B_0</vt:lpstr>
      <vt:lpstr>MAPPING!SD_2357x44_71_B_1</vt:lpstr>
      <vt:lpstr>MAPPING!SD_2357x45_10_B_0</vt:lpstr>
      <vt:lpstr>MAPPING!SD_2357x45_39_B_1</vt:lpstr>
      <vt:lpstr>MAPPING!SD_2357x45_6_B_0</vt:lpstr>
      <vt:lpstr>MAPPING!SD_2357x45_71_B_1</vt:lpstr>
      <vt:lpstr>MAPPING!SD_2357x46_10_B_0</vt:lpstr>
      <vt:lpstr>MAPPING!SD_2357x46_39_B_1</vt:lpstr>
      <vt:lpstr>MAPPING!SD_2357x46_6_B_0</vt:lpstr>
      <vt:lpstr>MAPPING!SD_2357x46_71_B_1</vt:lpstr>
      <vt:lpstr>MAPPING!SD_2357x47_10_B_0</vt:lpstr>
      <vt:lpstr>MAPPING!SD_2357x47_39_B_1</vt:lpstr>
      <vt:lpstr>MAPPING!SD_2357x47_6_B_0</vt:lpstr>
      <vt:lpstr>MAPPING!SD_2357x47_71_B_1</vt:lpstr>
      <vt:lpstr>MAPPING!SD_2357x48_10_B_0</vt:lpstr>
      <vt:lpstr>MAPPING!SD_2357x48_39_B_1</vt:lpstr>
      <vt:lpstr>MAPPING!SD_2357x48_6_B_0</vt:lpstr>
      <vt:lpstr>MAPPING!SD_2357x48_71_B_1</vt:lpstr>
      <vt:lpstr>MAPPING!SD_2357x49_10_B_0</vt:lpstr>
      <vt:lpstr>MAPPING!SD_2357x49_39_B_1</vt:lpstr>
      <vt:lpstr>MAPPING!SD_2357x49_6_B_0</vt:lpstr>
      <vt:lpstr>MAPPING!SD_2357x49_71_B_1</vt:lpstr>
      <vt:lpstr>MAPPING!SD_2357x5_10_B_0</vt:lpstr>
      <vt:lpstr>MAPPING!SD_2357x5_39_B_1</vt:lpstr>
      <vt:lpstr>MAPPING!SD_2357x5_5_B_0</vt:lpstr>
      <vt:lpstr>MAPPING!SD_2357x5_5824x1_157_B_0</vt:lpstr>
      <vt:lpstr>MAPPING!SD_2357x5_5824x1_158_B_0</vt:lpstr>
      <vt:lpstr>MAPPING!SD_2357x5_6_B_0</vt:lpstr>
      <vt:lpstr>MAPPING!SD_2357x5_7_B_0</vt:lpstr>
      <vt:lpstr>MAPPING!SD_2357x5_71_B_1</vt:lpstr>
      <vt:lpstr>MAPPING!SD_2357x5_8_B_0</vt:lpstr>
      <vt:lpstr>MAPPING!SD_2357x5_9_B_0</vt:lpstr>
      <vt:lpstr>MAPPING!SD_2357x6_10_B_0</vt:lpstr>
      <vt:lpstr>MAPPING!SD_2357x6_39_B_1</vt:lpstr>
      <vt:lpstr>MAPPING!SD_2357x6_5_B_0</vt:lpstr>
      <vt:lpstr>MAPPING!SD_2357x6_5824x1_157_B_0</vt:lpstr>
      <vt:lpstr>MAPPING!SD_2357x6_5824x1_158_B_0</vt:lpstr>
      <vt:lpstr>MAPPING!SD_2357x6_6_B_0</vt:lpstr>
      <vt:lpstr>MAPPING!SD_2357x6_7_B_0</vt:lpstr>
      <vt:lpstr>MAPPING!SD_2357x6_71_B_1</vt:lpstr>
      <vt:lpstr>MAPPING!SD_2357x6_8_B_0</vt:lpstr>
      <vt:lpstr>MAPPING!SD_2357x6_9_B_0</vt:lpstr>
      <vt:lpstr>MAPPING!SD_2357x7_10_B_0</vt:lpstr>
      <vt:lpstr>MAPPING!SD_2357x7_39_B_1</vt:lpstr>
      <vt:lpstr>MAPPING!SD_2357x7_5_B_0</vt:lpstr>
      <vt:lpstr>MAPPING!SD_2357x7_5824x1_157_B_0</vt:lpstr>
      <vt:lpstr>MAPPING!SD_2357x7_5824x1_158_B_0</vt:lpstr>
      <vt:lpstr>MAPPING!SD_2357x7_6_B_0</vt:lpstr>
      <vt:lpstr>MAPPING!SD_2357x7_7_B_0</vt:lpstr>
      <vt:lpstr>MAPPING!SD_2357x7_71_B_1</vt:lpstr>
      <vt:lpstr>MAPPING!SD_2357x7_8_B_0</vt:lpstr>
      <vt:lpstr>MAPPING!SD_2357x7_9_B_0</vt:lpstr>
      <vt:lpstr>MAPPING!SD_2357x8_10_B_0</vt:lpstr>
      <vt:lpstr>MAPPING!SD_2357x8_39_B_1</vt:lpstr>
      <vt:lpstr>MAPPING!SD_2357x8_5_B_0</vt:lpstr>
      <vt:lpstr>MAPPING!SD_2357x8_5824x1_157_B_0</vt:lpstr>
      <vt:lpstr>MAPPING!SD_2357x8_5824x1_158_B_0</vt:lpstr>
      <vt:lpstr>MAPPING!SD_2357x8_6_B_0</vt:lpstr>
      <vt:lpstr>MAPPING!SD_2357x8_7_B_0</vt:lpstr>
      <vt:lpstr>MAPPING!SD_2357x8_71_B_1</vt:lpstr>
      <vt:lpstr>MAPPING!SD_2357x8_8_B_0</vt:lpstr>
      <vt:lpstr>MAPPING!SD_2357x8_9_B_0</vt:lpstr>
      <vt:lpstr>MAPPING!SD_2357x9_10_B_0</vt:lpstr>
      <vt:lpstr>MAPPING!SD_2357x9_39_B_1</vt:lpstr>
      <vt:lpstr>MAPPING!SD_2357x9_5_B_0</vt:lpstr>
      <vt:lpstr>MAPPING!SD_2357x9_5824x1_157_B_0</vt:lpstr>
      <vt:lpstr>MAPPING!SD_2357x9_5824x1_158_B_0</vt:lpstr>
      <vt:lpstr>MAPPING!SD_2357x9_6_B_0</vt:lpstr>
      <vt:lpstr>MAPPING!SD_2357x9_7_B_0</vt:lpstr>
      <vt:lpstr>MAPPING!SD_2357x9_71_B_1</vt:lpstr>
      <vt:lpstr>MAPPING!SD_2357x9_8_B_0</vt:lpstr>
      <vt:lpstr>MAPPING!SD_2357x9_9_B_0</vt:lpstr>
      <vt:lpstr>MAPPING!SD_25_B_0</vt:lpstr>
      <vt:lpstr>MAPPING!SD_3946x1_109_B_0</vt:lpstr>
      <vt:lpstr>MAPPING!SD_3946x1_110_B_0</vt:lpstr>
      <vt:lpstr>MAPPING!SD_3946x1_137_B_1</vt:lpstr>
      <vt:lpstr>MAPPING!SD_3946x1_139_B_1</vt:lpstr>
      <vt:lpstr>MAPPING!SD_3946x1_141_B_1</vt:lpstr>
      <vt:lpstr>MAPPING!SD_3946x1_143_B_1</vt:lpstr>
      <vt:lpstr>MAPPING!SD_3946x1_145_B_1</vt:lpstr>
      <vt:lpstr>MAPPING!SD_3946x1_147_B_1</vt:lpstr>
      <vt:lpstr>MAPPING!SD_3946x1_149_B_1</vt:lpstr>
      <vt:lpstr>MAPPING!SD_3946x1_151_B_1</vt:lpstr>
      <vt:lpstr>MAPPING!SD_3946x1_154_B_0</vt:lpstr>
      <vt:lpstr>MAPPING!SD_3946x1_155_B_0</vt:lpstr>
      <vt:lpstr>MAPPING!SD_3946x1_156_B_0</vt:lpstr>
      <vt:lpstr>MAPPING!SD_3946x1_157_B_0</vt:lpstr>
      <vt:lpstr>MAPPING!SD_3946x1_158_B_0</vt:lpstr>
      <vt:lpstr>MAPPING!SD_3946x1_159_B_0</vt:lpstr>
      <vt:lpstr>MAPPING!SD_3946x1_160_B_0</vt:lpstr>
      <vt:lpstr>MAPPING!SD_3946x1_161_B_0</vt:lpstr>
      <vt:lpstr>MAPPING!SD_3946x1_162_B_0</vt:lpstr>
      <vt:lpstr>MAPPING!SD_3946x1_163_B_0</vt:lpstr>
      <vt:lpstr>MAPPING!SD_3946x1_164_B_0</vt:lpstr>
      <vt:lpstr>MAPPING!SD_3946x1_165_B_0</vt:lpstr>
      <vt:lpstr>MAPPING!SD_3946x1_166_B_0</vt:lpstr>
      <vt:lpstr>MAPPING!SD_3946x1_167_B_0</vt:lpstr>
      <vt:lpstr>MAPPING!SD_3946x1_168_B_0</vt:lpstr>
      <vt:lpstr>MAPPING!SD_3946x1_169_B_0</vt:lpstr>
      <vt:lpstr>MAPPING!SD_3946x1_170_B_0</vt:lpstr>
      <vt:lpstr>MAPPING!SD_3946x1_171_B_0</vt:lpstr>
      <vt:lpstr>MAPPING!SD_3946x1_172_B_0</vt:lpstr>
      <vt:lpstr>MAPPING!SD_3946x1_173_B_0</vt:lpstr>
      <vt:lpstr>MAPPING!SD_3946x1_174_B_0</vt:lpstr>
      <vt:lpstr>MAPPING!SD_3946x1_175_B_0</vt:lpstr>
      <vt:lpstr>MAPPING!SD_3946x1_176_B_0</vt:lpstr>
      <vt:lpstr>MAPPING!SD_3946x1_177_B_0</vt:lpstr>
      <vt:lpstr>MAPPING!SD_3946x1_178_B_0</vt:lpstr>
      <vt:lpstr>MAPPING!SD_3946x1_179_B_0</vt:lpstr>
      <vt:lpstr>MAPPING!SD_3946x1_180_B_0</vt:lpstr>
      <vt:lpstr>MAPPING!SD_3946x1_181_B_0</vt:lpstr>
      <vt:lpstr>MAPPING!SD_3946x1_182_B_0</vt:lpstr>
      <vt:lpstr>MAPPING!SD_3946x1_183_B_0</vt:lpstr>
      <vt:lpstr>MAPPING!SD_3946x1_184_B_0</vt:lpstr>
      <vt:lpstr>MAPPING!SD_3946x1_185_B_0</vt:lpstr>
      <vt:lpstr>MAPPING!SD_3946x1_186_B_0</vt:lpstr>
      <vt:lpstr>MAPPING!SD_3946x1_187_B_0</vt:lpstr>
      <vt:lpstr>MAPPING!SD_3946x1_188_B_0</vt:lpstr>
      <vt:lpstr>MAPPING!SD_3946x1_197_B_0</vt:lpstr>
      <vt:lpstr>MAPPING!SD_3946x1_198_B_0</vt:lpstr>
      <vt:lpstr>MAPPING!SD_3946x1_199_B_0</vt:lpstr>
      <vt:lpstr>MAPPING!SD_3946x1_201_B_0</vt:lpstr>
      <vt:lpstr>MAPPING!SD_3946x1_202_B_0</vt:lpstr>
      <vt:lpstr>MAPPING!SD_3946x1_203_B_0</vt:lpstr>
      <vt:lpstr>MAPPING!SD_3946x1_204_B_0</vt:lpstr>
      <vt:lpstr>MAPPING!SD_3946x1_205_B_0</vt:lpstr>
      <vt:lpstr>MAPPING!SD_3946x1_207_B_0</vt:lpstr>
      <vt:lpstr>MAPPING!SD_3946x1_208_B_0</vt:lpstr>
      <vt:lpstr>MAPPING!SD_3946x1_209_B_0</vt:lpstr>
      <vt:lpstr>MAPPING!SD_3946x1_210_B_0</vt:lpstr>
      <vt:lpstr>MAPPING!SD_3946x1_211_B_0</vt:lpstr>
      <vt:lpstr>MAPPING!SD_3946x1_212_B_0</vt:lpstr>
      <vt:lpstr>MAPPING!SD_3946x1_213_B_0</vt:lpstr>
      <vt:lpstr>MAPPING!SD_3946x1_214_B_0</vt:lpstr>
      <vt:lpstr>MAPPING!SD_3946x1_215_B_0</vt:lpstr>
      <vt:lpstr>MAPPING!SD_3946x1_216_B_0</vt:lpstr>
      <vt:lpstr>MAPPING!SD_3946x1_217_B_0</vt:lpstr>
      <vt:lpstr>MAPPING!SD_3946x1_218_B_0</vt:lpstr>
      <vt:lpstr>MAPPING!SD_3946x1_219_B_0</vt:lpstr>
      <vt:lpstr>MAPPING!SD_3946x1_220_B_0</vt:lpstr>
      <vt:lpstr>MAPPING!SD_3946x1_221_B_0</vt:lpstr>
      <vt:lpstr>MAPPING!SD_3946x1_222_B_0</vt:lpstr>
      <vt:lpstr>MAPPING!SD_3946x1_223_B_0</vt:lpstr>
      <vt:lpstr>MAPPING!SD_3946x1_224_B_0</vt:lpstr>
      <vt:lpstr>MAPPING!SD_3946x1_225_B_0</vt:lpstr>
      <vt:lpstr>MAPPING!SD_3946x1_226_B_0</vt:lpstr>
      <vt:lpstr>MAPPING!SD_3946x1_227_B_0</vt:lpstr>
      <vt:lpstr>MAPPING!SD_3946x1_228_B_0</vt:lpstr>
      <vt:lpstr>MAPPING!SD_3946x1_229_B_0</vt:lpstr>
      <vt:lpstr>MAPPING!SD_3946x1_230_B_0</vt:lpstr>
      <vt:lpstr>MAPPING!SD_3946x1_231_B_0</vt:lpstr>
      <vt:lpstr>MAPPING!SD_3946x1_232_B_0</vt:lpstr>
      <vt:lpstr>MAPPING!SD_3946x1_233_B_0</vt:lpstr>
      <vt:lpstr>MAPPING!SD_3946x1_234_B_0</vt:lpstr>
      <vt:lpstr>MAPPING!SD_3946x1_235_B_0</vt:lpstr>
      <vt:lpstr>MAPPING!SD_3946x1_236_B_0</vt:lpstr>
      <vt:lpstr>MAPPING!SD_3946x1_237_B_0</vt:lpstr>
      <vt:lpstr>MAPPING!SD_3946x1_238_B_0</vt:lpstr>
      <vt:lpstr>MAPPING!SD_3946x1_239_B_0</vt:lpstr>
      <vt:lpstr>MAPPING!SD_3946x1_240_B_0</vt:lpstr>
      <vt:lpstr>MAPPING!SD_3946x1_241_B_0</vt:lpstr>
      <vt:lpstr>MAPPING!SD_3946x1_242_B_0</vt:lpstr>
      <vt:lpstr>MAPPING!SD_3946x1_243_B_0</vt:lpstr>
      <vt:lpstr>MAPPING!SD_3946x1_244_B_0</vt:lpstr>
      <vt:lpstr>MAPPING!SD_3946x1_245_B_0</vt:lpstr>
      <vt:lpstr>MAPPING!SD_3946x1_246_B_0</vt:lpstr>
      <vt:lpstr>MAPPING!SD_3946x1_247_B_0</vt:lpstr>
      <vt:lpstr>MAPPING!SD_3946x1_248_B_0</vt:lpstr>
      <vt:lpstr>MAPPING!SD_3946x1_249_B_0</vt:lpstr>
      <vt:lpstr>MAPPING!SD_3946x1_250_B_0</vt:lpstr>
      <vt:lpstr>MAPPING!SD_3946x1_251_B_0</vt:lpstr>
      <vt:lpstr>MAPPING!SD_3946x1_252_B_0</vt:lpstr>
      <vt:lpstr>MAPPING!SD_3946x1_253_B_0</vt:lpstr>
      <vt:lpstr>MAPPING!SD_3946x1_254_B_0</vt:lpstr>
      <vt:lpstr>MAPPING!SD_3946x1_255_B_0</vt:lpstr>
      <vt:lpstr>MAPPING!SD_3946x1_256_B_0</vt:lpstr>
      <vt:lpstr>MAPPING!SD_3946x1_257_B_0</vt:lpstr>
      <vt:lpstr>MAPPING!SD_3946x1_258_B_0</vt:lpstr>
      <vt:lpstr>MAPPING!SD_3946x1_259_B_0</vt:lpstr>
      <vt:lpstr>MAPPING!SD_3946x1_260_B_0</vt:lpstr>
      <vt:lpstr>MAPPING!SD_3946x1_261_B_0</vt:lpstr>
      <vt:lpstr>MAPPING!SD_3946x1_262_B_0</vt:lpstr>
      <vt:lpstr>MAPPING!SD_3946x1_263_B_0</vt:lpstr>
      <vt:lpstr>MAPPING!SD_3946x1_265_B_0</vt:lpstr>
      <vt:lpstr>MAPPING!SD_3946x1_266_B_0</vt:lpstr>
      <vt:lpstr>MAPPING!SD_3946x1_267_B_0</vt:lpstr>
      <vt:lpstr>MAPPING!SD_3946x1_268_B_0</vt:lpstr>
      <vt:lpstr>MAPPING!SD_3946x1_269_B_0</vt:lpstr>
      <vt:lpstr>MAPPING!SD_3946x1_270_B_0</vt:lpstr>
      <vt:lpstr>MAPPING!SD_3946x1_271_B_0</vt:lpstr>
      <vt:lpstr>MAPPING!SD_4270x1_149_B_0</vt:lpstr>
      <vt:lpstr>MAPPING!SD_4270x1_212_B_0</vt:lpstr>
      <vt:lpstr>MAPPING!SD_4270x1_4371x1_115_B_1</vt:lpstr>
      <vt:lpstr>MAPPING!SD_4270x1_4371x1_125_B_1</vt:lpstr>
      <vt:lpstr>MAPPING!SD_4270x1_4371x1_129_B_0</vt:lpstr>
      <vt:lpstr>MAPPING!SD_4270x1_4371x1_131_B_0</vt:lpstr>
      <vt:lpstr>MAPPING!SD_4270x1_4371x1_132_B_0</vt:lpstr>
      <vt:lpstr>MAPPING!SD_4270x1_4371x1_134_B_0</vt:lpstr>
      <vt:lpstr>MAPPING!SD_4270x1_4371x1_135_B_0</vt:lpstr>
      <vt:lpstr>MAPPING!SD_4270x1_4371x1_136_B_0</vt:lpstr>
      <vt:lpstr>MAPPING!SD_4270x1_4371x1_140_B_0</vt:lpstr>
      <vt:lpstr>MAPPING!SD_4270x1_4371x1_146_B_0</vt:lpstr>
      <vt:lpstr>MAPPING!SD_4270x1_4371x1_162_B_0</vt:lpstr>
      <vt:lpstr>MAPPING!SD_4270x1_4371x1_166_B_0</vt:lpstr>
      <vt:lpstr>MAPPING!SD_4270x1_4371x1_168_B_0</vt:lpstr>
      <vt:lpstr>MAPPING!SD_4270x1_4371x1_181_B_0</vt:lpstr>
      <vt:lpstr>MAPPING!SD_4270x1_4371x1_185_B_0</vt:lpstr>
      <vt:lpstr>MAPPING!SD_4270x1_4371x1_201_B_0</vt:lpstr>
      <vt:lpstr>MAPPING!SD_4270x1_4371x1_214_B_0</vt:lpstr>
      <vt:lpstr>MAPPING!SD_4270x1_4371x1_221_B_0</vt:lpstr>
      <vt:lpstr>MAPPING!SD_4270x1_4371x1_222_B_0</vt:lpstr>
      <vt:lpstr>MAPPING!SD_4270x1_4371x1_226_B_0</vt:lpstr>
      <vt:lpstr>MAPPING!SD_4270x1_4371x1_227_B_0</vt:lpstr>
      <vt:lpstr>MAPPING!SD_4270x1_4371x1_228_B_0</vt:lpstr>
      <vt:lpstr>MAPPING!SD_4270x1_4371x1_229_B_0</vt:lpstr>
      <vt:lpstr>MAPPING!SD_4270x1_4371x1_230_B_0</vt:lpstr>
      <vt:lpstr>MAPPING!SD_4270x1_4371x1_232_B_0</vt:lpstr>
      <vt:lpstr>MAPPING!SD_4270x1_4371x1_233_B_0</vt:lpstr>
      <vt:lpstr>MAPPING!SD_4270x1_4371x1_234_B_0</vt:lpstr>
      <vt:lpstr>MAPPING!SD_4270x1_4371x1_235_B_0</vt:lpstr>
      <vt:lpstr>MAPPING!SD_4270x1_4371x1_236_B_0</vt:lpstr>
      <vt:lpstr>MAPPING!SD_4270x1_4371x1_237_B_0</vt:lpstr>
      <vt:lpstr>MAPPING!SD_4270x1_4371x1_238_B_0</vt:lpstr>
      <vt:lpstr>MAPPING!SD_4270x1_4371x1_239_B_0</vt:lpstr>
      <vt:lpstr>MAPPING!SD_4270x1_4371x1_240_B_0</vt:lpstr>
      <vt:lpstr>MAPPING!SD_4270x1_4371x1_241_B_0</vt:lpstr>
      <vt:lpstr>MAPPING!SD_4270x1_4371x1_242_B_0</vt:lpstr>
      <vt:lpstr>MAPPING!SD_4270x1_4371x1_243_B_0</vt:lpstr>
      <vt:lpstr>MAPPING!SD_4270x1_4371x1_244_B_0</vt:lpstr>
      <vt:lpstr>MAPPING!SD_4270x1_4371x1_245_B_0</vt:lpstr>
      <vt:lpstr>MAPPING!SD_4270x1_4371x1_246_B_0</vt:lpstr>
      <vt:lpstr>MAPPING!SD_4270x1_4371x1_247_B_0</vt:lpstr>
      <vt:lpstr>MAPPING!SD_4270x1_4371x1_248_B_0</vt:lpstr>
      <vt:lpstr>MAPPING!SD_4270x1_4371x1_249_B_0</vt:lpstr>
      <vt:lpstr>MAPPING!SD_4270x1_4371x1_250_B_0</vt:lpstr>
      <vt:lpstr>MAPPING!SD_4270x1_4371x1_251_B_0</vt:lpstr>
      <vt:lpstr>MAPPING!SD_4270x1_4371x1_252_B_0</vt:lpstr>
      <vt:lpstr>MAPPING!SD_4270x1_4371x1_253_B_0</vt:lpstr>
      <vt:lpstr>MAPPING!SD_4270x1_4371x1_254_B_0</vt:lpstr>
      <vt:lpstr>MAPPING!SD_4270x1_4371x1_255_B_0</vt:lpstr>
      <vt:lpstr>MAPPING!SD_4270x1_4371x1_256_B_0</vt:lpstr>
      <vt:lpstr>MAPPING!SD_4270x1_4371x1_257_B_0</vt:lpstr>
      <vt:lpstr>MAPPING!SD_4270x1_4371x1_258_B_0</vt:lpstr>
      <vt:lpstr>MAPPING!SD_4270x1_4371x1_259_B_0</vt:lpstr>
      <vt:lpstr>MAPPING!SD_4270x1_4371x1_260_B_0</vt:lpstr>
      <vt:lpstr>MAPPING!SD_4270x1_4371x1_261_B_0</vt:lpstr>
      <vt:lpstr>MAPPING!SD_4270x1_4371x1_262_B_0</vt:lpstr>
      <vt:lpstr>MAPPING!SD_4270x1_4371x1_263_B_0</vt:lpstr>
      <vt:lpstr>MAPPING!SD_4270x1_4371x1_264_B_0</vt:lpstr>
      <vt:lpstr>MAPPING!SD_4270x1_4371x1_265_B_0</vt:lpstr>
      <vt:lpstr>MAPPING!SD_4270x1_4371x1_266_B_0</vt:lpstr>
      <vt:lpstr>MAPPING!SD_4270x1_4371x1_267_B_0</vt:lpstr>
      <vt:lpstr>MAPPING!SD_4270x1_4371x1_268_B_0</vt:lpstr>
      <vt:lpstr>MAPPING!SD_4270x1_4371x1_269_B_0</vt:lpstr>
      <vt:lpstr>MAPPING!SD_4270x1_4371x1_270_B_0</vt:lpstr>
      <vt:lpstr>MAPPING!SD_4270x1_4371x1_271_B_0</vt:lpstr>
      <vt:lpstr>MAPPING!SD_4270x1_4371x1_362_B_1</vt:lpstr>
      <vt:lpstr>MAPPING!SD_4270x1_4371x1_410_B_0</vt:lpstr>
      <vt:lpstr>MAPPING!SD_4270x1_4371x1_411_B_0</vt:lpstr>
      <vt:lpstr>MAPPING!SD_4270x1_4371x1_412_B_0</vt:lpstr>
      <vt:lpstr>MAPPING!SD_4270x1_4371x1_413_B_0</vt:lpstr>
      <vt:lpstr>MAPPING!SD_4270x1_4371x1_414_B_0</vt:lpstr>
      <vt:lpstr>MAPPING!SD_4270x1_4371x1_415_B_0</vt:lpstr>
      <vt:lpstr>MAPPING!SD_4270x1_4371x1_416_B_0</vt:lpstr>
      <vt:lpstr>MAPPING!SD_4270x1_4371x1_417_B_0</vt:lpstr>
      <vt:lpstr>MAPPING!SD_4270x1_4371x1_418_B_0</vt:lpstr>
      <vt:lpstr>MAPPING!SD_4270x1_4371x1_419_B_0</vt:lpstr>
      <vt:lpstr>MAPPING!SD_4270x1_4371x1_420_B_0</vt:lpstr>
      <vt:lpstr>MAPPING!SD_4270x1_4371x1_421_B_0</vt:lpstr>
      <vt:lpstr>MAPPING!SD_4270x1_4371x1_422_B_0</vt:lpstr>
      <vt:lpstr>MAPPING!SD_4270x1_4371x1_423_B_0</vt:lpstr>
      <vt:lpstr>MAPPING!SD_4270x1_4371x1_4546x1_22_B_0</vt:lpstr>
      <vt:lpstr>MAPPING!SD_4270x1_4371x1_4546x1_23_B_0</vt:lpstr>
      <vt:lpstr>MAPPING!SD_4270x1_4371x1_4546x1_24_B_0</vt:lpstr>
      <vt:lpstr>MAPPING!SD_4270x1_4371x1_4546x1_25_B_0</vt:lpstr>
      <vt:lpstr>MAPPING!SD_4270x1_4371x1_4546x1_26_B_0</vt:lpstr>
      <vt:lpstr>MAPPING!SD_4270x1_4371x1_4546x1_28_B_0</vt:lpstr>
      <vt:lpstr>MAPPING!SD_4270x1_4371x1_4546x1_29_B_0</vt:lpstr>
      <vt:lpstr>MAPPING!SD_4270x1_4371x1_4546x1_30_B_0</vt:lpstr>
      <vt:lpstr>MAPPING!SD_4270x1_4371x1_4546x1_32_B_0</vt:lpstr>
      <vt:lpstr>MAPPING!SD_4270x1_4371x1_4546x1_33_B_0</vt:lpstr>
      <vt:lpstr>MAPPING!SD_4270x1_4371x1_4546x1_38_B_0</vt:lpstr>
      <vt:lpstr>MAPPING!SD_4270x1_4371x1_4546x1_40_B_0</vt:lpstr>
      <vt:lpstr>MAPPING!SD_4270x1_4371x1_4546x1_41_B_0</vt:lpstr>
      <vt:lpstr>MAPPING!SD_4270x1_4371x1_4546x1_43_B_0</vt:lpstr>
      <vt:lpstr>MAPPING!SD_4270x1_4371x1_4546x1_44_B_0</vt:lpstr>
      <vt:lpstr>MAPPING!SD_4270x1_4371x1_4546x1_45_B_0</vt:lpstr>
      <vt:lpstr>MAPPING!SD_4270x1_4371x1_4546x1_47_B_0</vt:lpstr>
      <vt:lpstr>MAPPING!SD_4270x1_4371x1_4546x1_6_B_0</vt:lpstr>
      <vt:lpstr>MAPPING!SD_4270x1_4371x1_4546x1_61_B_0</vt:lpstr>
      <vt:lpstr>MAPPING!SD_4270x1_4371x1_4546x1_62_B_0</vt:lpstr>
      <vt:lpstr>MAPPING!SD_4270x1_4371x1_4546x1_63_B_0</vt:lpstr>
      <vt:lpstr>MAPPING!SD_4270x1_4371x1_4546x1_64_B_0</vt:lpstr>
      <vt:lpstr>MAPPING!SD_4270x1_4371x1_4546x1_65_B_0</vt:lpstr>
      <vt:lpstr>MAPPING!SD_4270x1_4371x1_4546x1_66_B_0</vt:lpstr>
      <vt:lpstr>MAPPING!SD_4270x1_4371x1_4546x1_67_B_0</vt:lpstr>
      <vt:lpstr>MAPPING!SD_4270x1_4371x1_4546x1_68_B_0</vt:lpstr>
      <vt:lpstr>MAPPING!SD_4270x1_4371x1_4546x1_69_B_0</vt:lpstr>
      <vt:lpstr>MAPPING!SD_4270x1_4371x1_4546x1_70_B_0</vt:lpstr>
      <vt:lpstr>MAPPING!SD_4270x1_4371x1_4546x1_71_B_0</vt:lpstr>
      <vt:lpstr>MAPPING!SD_4270x1_4371x1_4546x1_72_B_0</vt:lpstr>
      <vt:lpstr>MAPPING!SD_4270x1_4371x1_4546x1_73_B_0</vt:lpstr>
      <vt:lpstr>MAPPING!SD_4270x1_4371x1_4546x1_74_B_0</vt:lpstr>
      <vt:lpstr>MAPPING!SD_4270x1_4371x1_4546x1_87_B_0</vt:lpstr>
      <vt:lpstr>MAPPING!SD_4270x1_4371x1_4546x1_90_B_0</vt:lpstr>
      <vt:lpstr>MAPPING!SD_4270x1_4371x1_4552x1_10_B_0</vt:lpstr>
      <vt:lpstr>MAPPING!SD_4270x1_4371x1_4552x1_16_B_0</vt:lpstr>
      <vt:lpstr>MAPPING!SD_4270x1_4371x1_4552x1_17_B_0</vt:lpstr>
      <vt:lpstr>MAPPING!SD_4270x1_4371x1_4552x1_18_B_0</vt:lpstr>
      <vt:lpstr>MAPPING!SD_4270x1_4371x1_4552x1_19_B_0</vt:lpstr>
      <vt:lpstr>MAPPING!SD_4270x1_4371x1_4552x1_22_B_0</vt:lpstr>
      <vt:lpstr>MAPPING!SD_4270x1_4371x1_4552x1_23_B_0</vt:lpstr>
      <vt:lpstr>MAPPING!SD_4270x1_4371x1_4552x1_24_B_0</vt:lpstr>
      <vt:lpstr>MAPPING!SD_4270x1_4371x1_4552x1_25_B_0</vt:lpstr>
      <vt:lpstr>MAPPING!SD_4270x1_4371x1_4552x1_26_B_0</vt:lpstr>
      <vt:lpstr>MAPPING!SD_4270x1_4371x1_4552x1_28_B_0</vt:lpstr>
      <vt:lpstr>MAPPING!SD_4270x1_4371x1_4552x1_29_B_0</vt:lpstr>
      <vt:lpstr>MAPPING!SD_4270x1_4371x1_4552x1_30_B_0</vt:lpstr>
      <vt:lpstr>MAPPING!SD_4270x1_4371x1_4552x1_32_B_0</vt:lpstr>
      <vt:lpstr>MAPPING!SD_4270x1_4371x1_4552x1_33_B_0</vt:lpstr>
      <vt:lpstr>MAPPING!SD_4270x1_4371x1_4552x1_38_B_0</vt:lpstr>
      <vt:lpstr>MAPPING!SD_4270x1_4371x1_4552x1_40_B_0</vt:lpstr>
      <vt:lpstr>MAPPING!SD_4270x1_4371x1_4552x1_41_B_0</vt:lpstr>
      <vt:lpstr>MAPPING!SD_4270x1_4371x1_4552x1_42_B_0</vt:lpstr>
      <vt:lpstr>MAPPING!SD_4270x1_4371x1_4552x1_43_B_0</vt:lpstr>
      <vt:lpstr>MAPPING!SD_4270x1_4371x1_4552x1_44_B_0</vt:lpstr>
      <vt:lpstr>MAPPING!SD_4270x1_4371x1_4552x1_45_B_0</vt:lpstr>
      <vt:lpstr>MAPPING!SD_4270x1_4371x1_4552x1_46_B_0</vt:lpstr>
      <vt:lpstr>MAPPING!SD_4270x1_4371x1_4552x1_47_B_0</vt:lpstr>
      <vt:lpstr>MAPPING!SD_4270x1_4371x1_4552x1_6_B_0</vt:lpstr>
      <vt:lpstr>MAPPING!SD_4270x1_4371x1_4552x1_61_B_0</vt:lpstr>
      <vt:lpstr>MAPPING!SD_4270x1_4371x1_4552x1_62_B_0</vt:lpstr>
      <vt:lpstr>MAPPING!SD_4270x1_4371x1_4552x1_63_B_0</vt:lpstr>
      <vt:lpstr>MAPPING!SD_4270x1_4371x1_4552x1_64_B_0</vt:lpstr>
      <vt:lpstr>MAPPING!SD_4270x1_4371x1_4552x1_65_B_0</vt:lpstr>
      <vt:lpstr>MAPPING!SD_4270x1_4371x1_4552x1_66_B_0</vt:lpstr>
      <vt:lpstr>MAPPING!SD_4270x1_4371x1_4552x1_67_B_0</vt:lpstr>
      <vt:lpstr>MAPPING!SD_4270x1_4371x1_4552x1_68_B_0</vt:lpstr>
      <vt:lpstr>MAPPING!SD_4270x1_4371x1_4552x1_69_B_0</vt:lpstr>
      <vt:lpstr>MAPPING!SD_4270x1_4371x1_4552x1_70_B_0</vt:lpstr>
      <vt:lpstr>MAPPING!SD_4270x1_4371x1_4552x1_71_B_0</vt:lpstr>
      <vt:lpstr>MAPPING!SD_4270x1_4371x1_4552x1_72_B_0</vt:lpstr>
      <vt:lpstr>MAPPING!SD_4270x1_4371x1_4552x1_73_B_0</vt:lpstr>
      <vt:lpstr>MAPPING!SD_4270x1_4371x1_4552x1_74_B_0</vt:lpstr>
      <vt:lpstr>MAPPING!SD_4270x1_4371x1_4552x1_87_B_0</vt:lpstr>
      <vt:lpstr>MAPPING!SD_4270x1_4371x1_4552x1_9_B_0</vt:lpstr>
      <vt:lpstr>MAPPING!SD_4270x1_4371x1_4552x1_90_B_0</vt:lpstr>
      <vt:lpstr>MAPPING!SD_4270x1_4371x1_4552x1_91_B_0</vt:lpstr>
      <vt:lpstr>MAPPING!SD_4270x1_4371x1_4552x1_92_B_0</vt:lpstr>
      <vt:lpstr>MAPPING!SD_4270x1_4371x1_4552x1_93_B_0</vt:lpstr>
      <vt:lpstr>MAPPING!SD_4270x1_4371x1_4558x1_10_B_0</vt:lpstr>
      <vt:lpstr>MAPPING!SD_4270x1_4371x1_4558x1_11_B_0</vt:lpstr>
      <vt:lpstr>MAPPING!SD_4270x1_4371x1_4558x1_12_B_0</vt:lpstr>
      <vt:lpstr>MAPPING!SD_4270x1_4371x1_4558x1_25_B_0</vt:lpstr>
      <vt:lpstr>MAPPING!SD_4270x1_4371x1_4558x1_38_B_0</vt:lpstr>
      <vt:lpstr>MAPPING!SD_4270x1_4371x1_4558x1_43_B_0</vt:lpstr>
      <vt:lpstr>MAPPING!SD_4270x1_4371x1_4558x1_6_B_1</vt:lpstr>
      <vt:lpstr>MAPPING!SD_4270x1_4371x1_4558x1_7_B_0</vt:lpstr>
      <vt:lpstr>MAPPING!SD_4270x1_4371x1_4558x1_9_B_0</vt:lpstr>
      <vt:lpstr>MAPPING!SD_4270x1_4371x1_4558x1_9005x1_100_B_0</vt:lpstr>
      <vt:lpstr>MAPPING!SD_4270x1_4371x1_4558x1_9005x1_250_B_1</vt:lpstr>
      <vt:lpstr>MAPPING!SD_4270x1_4371x1_4558x1_9005x1_251_B_0</vt:lpstr>
      <vt:lpstr>MAPPING!SD_4270x1_4371x1_4558x1_9005x1_252_B_0</vt:lpstr>
      <vt:lpstr>MAPPING!SD_4270x1_4371x1_4558x1_9005x1_253_B_0</vt:lpstr>
      <vt:lpstr>MAPPING!SD_4270x1_4371x1_4558x1_9005x1_254_B_0</vt:lpstr>
      <vt:lpstr>MAPPING!SD_4270x1_4371x1_4558x1_9005x1_255_B_0</vt:lpstr>
      <vt:lpstr>MAPPING!SD_4270x1_4371x1_4558x10_10_B_0</vt:lpstr>
      <vt:lpstr>MAPPING!SD_4270x1_4371x1_4558x10_11_B_0</vt:lpstr>
      <vt:lpstr>MAPPING!SD_4270x1_4371x1_4558x10_12_B_0</vt:lpstr>
      <vt:lpstr>MAPPING!SD_4270x1_4371x1_4558x10_25_B_0</vt:lpstr>
      <vt:lpstr>MAPPING!SD_4270x1_4371x1_4558x10_38_B_0</vt:lpstr>
      <vt:lpstr>MAPPING!SD_4270x1_4371x1_4558x10_43_B_0</vt:lpstr>
      <vt:lpstr>MAPPING!SD_4270x1_4371x1_4558x10_6_B_1</vt:lpstr>
      <vt:lpstr>MAPPING!SD_4270x1_4371x1_4558x10_7_B_0</vt:lpstr>
      <vt:lpstr>MAPPING!SD_4270x1_4371x1_4558x10_9_B_0</vt:lpstr>
      <vt:lpstr>MAPPING!SD_4270x1_4371x1_4558x10_9005x1_100_B_0</vt:lpstr>
      <vt:lpstr>MAPPING!SD_4270x1_4371x1_4558x10_9005x1_250_B_1</vt:lpstr>
      <vt:lpstr>MAPPING!SD_4270x1_4371x1_4558x10_9005x1_251_B_0</vt:lpstr>
      <vt:lpstr>MAPPING!SD_4270x1_4371x1_4558x10_9005x1_252_B_0</vt:lpstr>
      <vt:lpstr>MAPPING!SD_4270x1_4371x1_4558x10_9005x1_253_B_0</vt:lpstr>
      <vt:lpstr>MAPPING!SD_4270x1_4371x1_4558x10_9005x1_254_B_0</vt:lpstr>
      <vt:lpstr>MAPPING!SD_4270x1_4371x1_4558x10_9005x1_255_B_0</vt:lpstr>
      <vt:lpstr>MAPPING!SD_4270x1_4371x1_4558x100_10_B_0</vt:lpstr>
      <vt:lpstr>MAPPING!SD_4270x1_4371x1_4558x100_11_B_0</vt:lpstr>
      <vt:lpstr>MAPPING!SD_4270x1_4371x1_4558x100_12_B_0</vt:lpstr>
      <vt:lpstr>MAPPING!SD_4270x1_4371x1_4558x100_25_B_0</vt:lpstr>
      <vt:lpstr>MAPPING!SD_4270x1_4371x1_4558x100_38_B_0</vt:lpstr>
      <vt:lpstr>MAPPING!SD_4270x1_4371x1_4558x100_43_B_0</vt:lpstr>
      <vt:lpstr>MAPPING!SD_4270x1_4371x1_4558x100_6_B_1</vt:lpstr>
      <vt:lpstr>MAPPING!SD_4270x1_4371x1_4558x100_7_B_0</vt:lpstr>
      <vt:lpstr>MAPPING!SD_4270x1_4371x1_4558x100_9_B_0</vt:lpstr>
      <vt:lpstr>MAPPING!SD_4270x1_4371x1_4558x100_9005x1_100_B_0</vt:lpstr>
      <vt:lpstr>MAPPING!SD_4270x1_4371x1_4558x100_9005x1_250_B_1</vt:lpstr>
      <vt:lpstr>MAPPING!SD_4270x1_4371x1_4558x100_9005x1_251_B_0</vt:lpstr>
      <vt:lpstr>MAPPING!SD_4270x1_4371x1_4558x100_9005x1_252_B_0</vt:lpstr>
      <vt:lpstr>MAPPING!SD_4270x1_4371x1_4558x100_9005x1_253_B_0</vt:lpstr>
      <vt:lpstr>MAPPING!SD_4270x1_4371x1_4558x100_9005x1_254_B_0</vt:lpstr>
      <vt:lpstr>MAPPING!SD_4270x1_4371x1_4558x100_9005x1_255_B_0</vt:lpstr>
      <vt:lpstr>MAPPING!SD_4270x1_4371x1_4558x11_10_B_0</vt:lpstr>
      <vt:lpstr>MAPPING!SD_4270x1_4371x1_4558x11_11_B_0</vt:lpstr>
      <vt:lpstr>MAPPING!SD_4270x1_4371x1_4558x11_12_B_0</vt:lpstr>
      <vt:lpstr>MAPPING!SD_4270x1_4371x1_4558x11_25_B_0</vt:lpstr>
      <vt:lpstr>MAPPING!SD_4270x1_4371x1_4558x11_38_B_0</vt:lpstr>
      <vt:lpstr>MAPPING!SD_4270x1_4371x1_4558x11_43_B_0</vt:lpstr>
      <vt:lpstr>MAPPING!SD_4270x1_4371x1_4558x11_6_B_1</vt:lpstr>
      <vt:lpstr>MAPPING!SD_4270x1_4371x1_4558x11_7_B_0</vt:lpstr>
      <vt:lpstr>MAPPING!SD_4270x1_4371x1_4558x11_9_B_0</vt:lpstr>
      <vt:lpstr>MAPPING!SD_4270x1_4371x1_4558x11_9005x1_100_B_0</vt:lpstr>
      <vt:lpstr>MAPPING!SD_4270x1_4371x1_4558x11_9005x1_250_B_1</vt:lpstr>
      <vt:lpstr>MAPPING!SD_4270x1_4371x1_4558x11_9005x1_251_B_0</vt:lpstr>
      <vt:lpstr>MAPPING!SD_4270x1_4371x1_4558x11_9005x1_252_B_0</vt:lpstr>
      <vt:lpstr>MAPPING!SD_4270x1_4371x1_4558x11_9005x1_253_B_0</vt:lpstr>
      <vt:lpstr>MAPPING!SD_4270x1_4371x1_4558x11_9005x1_254_B_0</vt:lpstr>
      <vt:lpstr>MAPPING!SD_4270x1_4371x1_4558x11_9005x1_255_B_0</vt:lpstr>
      <vt:lpstr>MAPPING!SD_4270x1_4371x1_4558x12_10_B_0</vt:lpstr>
      <vt:lpstr>MAPPING!SD_4270x1_4371x1_4558x12_11_B_0</vt:lpstr>
      <vt:lpstr>MAPPING!SD_4270x1_4371x1_4558x12_12_B_0</vt:lpstr>
      <vt:lpstr>MAPPING!SD_4270x1_4371x1_4558x12_25_B_0</vt:lpstr>
      <vt:lpstr>MAPPING!SD_4270x1_4371x1_4558x12_38_B_0</vt:lpstr>
      <vt:lpstr>MAPPING!SD_4270x1_4371x1_4558x12_43_B_0</vt:lpstr>
      <vt:lpstr>MAPPING!SD_4270x1_4371x1_4558x12_6_B_1</vt:lpstr>
      <vt:lpstr>MAPPING!SD_4270x1_4371x1_4558x12_7_B_0</vt:lpstr>
      <vt:lpstr>MAPPING!SD_4270x1_4371x1_4558x12_9_B_0</vt:lpstr>
      <vt:lpstr>MAPPING!SD_4270x1_4371x1_4558x12_9005x1_100_B_0</vt:lpstr>
      <vt:lpstr>MAPPING!SD_4270x1_4371x1_4558x12_9005x1_250_B_1</vt:lpstr>
      <vt:lpstr>MAPPING!SD_4270x1_4371x1_4558x12_9005x1_251_B_0</vt:lpstr>
      <vt:lpstr>MAPPING!SD_4270x1_4371x1_4558x12_9005x1_252_B_0</vt:lpstr>
      <vt:lpstr>MAPPING!SD_4270x1_4371x1_4558x12_9005x1_253_B_0</vt:lpstr>
      <vt:lpstr>MAPPING!SD_4270x1_4371x1_4558x12_9005x1_254_B_0</vt:lpstr>
      <vt:lpstr>MAPPING!SD_4270x1_4371x1_4558x12_9005x1_255_B_0</vt:lpstr>
      <vt:lpstr>MAPPING!SD_4270x1_4371x1_4558x13_10_B_0</vt:lpstr>
      <vt:lpstr>MAPPING!SD_4270x1_4371x1_4558x13_11_B_0</vt:lpstr>
      <vt:lpstr>MAPPING!SD_4270x1_4371x1_4558x13_12_B_0</vt:lpstr>
      <vt:lpstr>MAPPING!SD_4270x1_4371x1_4558x13_25_B_0</vt:lpstr>
      <vt:lpstr>MAPPING!SD_4270x1_4371x1_4558x13_38_B_0</vt:lpstr>
      <vt:lpstr>MAPPING!SD_4270x1_4371x1_4558x13_43_B_0</vt:lpstr>
      <vt:lpstr>MAPPING!SD_4270x1_4371x1_4558x13_6_B_1</vt:lpstr>
      <vt:lpstr>MAPPING!SD_4270x1_4371x1_4558x13_7_B_0</vt:lpstr>
      <vt:lpstr>MAPPING!SD_4270x1_4371x1_4558x13_9_B_0</vt:lpstr>
      <vt:lpstr>MAPPING!SD_4270x1_4371x1_4558x13_9005x1_100_B_0</vt:lpstr>
      <vt:lpstr>MAPPING!SD_4270x1_4371x1_4558x13_9005x1_250_B_1</vt:lpstr>
      <vt:lpstr>MAPPING!SD_4270x1_4371x1_4558x13_9005x1_251_B_0</vt:lpstr>
      <vt:lpstr>MAPPING!SD_4270x1_4371x1_4558x13_9005x1_252_B_0</vt:lpstr>
      <vt:lpstr>MAPPING!SD_4270x1_4371x1_4558x13_9005x1_253_B_0</vt:lpstr>
      <vt:lpstr>MAPPING!SD_4270x1_4371x1_4558x13_9005x1_254_B_0</vt:lpstr>
      <vt:lpstr>MAPPING!SD_4270x1_4371x1_4558x13_9005x1_255_B_0</vt:lpstr>
      <vt:lpstr>MAPPING!SD_4270x1_4371x1_4558x14_10_B_0</vt:lpstr>
      <vt:lpstr>MAPPING!SD_4270x1_4371x1_4558x14_11_B_0</vt:lpstr>
      <vt:lpstr>MAPPING!SD_4270x1_4371x1_4558x14_12_B_0</vt:lpstr>
      <vt:lpstr>MAPPING!SD_4270x1_4371x1_4558x14_25_B_0</vt:lpstr>
      <vt:lpstr>MAPPING!SD_4270x1_4371x1_4558x14_38_B_0</vt:lpstr>
      <vt:lpstr>MAPPING!SD_4270x1_4371x1_4558x14_43_B_0</vt:lpstr>
      <vt:lpstr>MAPPING!SD_4270x1_4371x1_4558x14_6_B_1</vt:lpstr>
      <vt:lpstr>MAPPING!SD_4270x1_4371x1_4558x14_7_B_0</vt:lpstr>
      <vt:lpstr>MAPPING!SD_4270x1_4371x1_4558x14_9_B_0</vt:lpstr>
      <vt:lpstr>MAPPING!SD_4270x1_4371x1_4558x14_9005x1_100_B_0</vt:lpstr>
      <vt:lpstr>MAPPING!SD_4270x1_4371x1_4558x14_9005x1_250_B_1</vt:lpstr>
      <vt:lpstr>MAPPING!SD_4270x1_4371x1_4558x14_9005x1_251_B_0</vt:lpstr>
      <vt:lpstr>MAPPING!SD_4270x1_4371x1_4558x14_9005x1_252_B_0</vt:lpstr>
      <vt:lpstr>MAPPING!SD_4270x1_4371x1_4558x14_9005x1_253_B_0</vt:lpstr>
      <vt:lpstr>MAPPING!SD_4270x1_4371x1_4558x14_9005x1_254_B_0</vt:lpstr>
      <vt:lpstr>MAPPING!SD_4270x1_4371x1_4558x14_9005x1_255_B_0</vt:lpstr>
      <vt:lpstr>MAPPING!SD_4270x1_4371x1_4558x15_10_B_0</vt:lpstr>
      <vt:lpstr>MAPPING!SD_4270x1_4371x1_4558x15_11_B_0</vt:lpstr>
      <vt:lpstr>MAPPING!SD_4270x1_4371x1_4558x15_12_B_0</vt:lpstr>
      <vt:lpstr>MAPPING!SD_4270x1_4371x1_4558x15_25_B_0</vt:lpstr>
      <vt:lpstr>MAPPING!SD_4270x1_4371x1_4558x15_38_B_0</vt:lpstr>
      <vt:lpstr>MAPPING!SD_4270x1_4371x1_4558x15_43_B_0</vt:lpstr>
      <vt:lpstr>MAPPING!SD_4270x1_4371x1_4558x15_6_B_1</vt:lpstr>
      <vt:lpstr>MAPPING!SD_4270x1_4371x1_4558x15_7_B_0</vt:lpstr>
      <vt:lpstr>MAPPING!SD_4270x1_4371x1_4558x15_9_B_0</vt:lpstr>
      <vt:lpstr>MAPPING!SD_4270x1_4371x1_4558x15_9005x1_100_B_0</vt:lpstr>
      <vt:lpstr>MAPPING!SD_4270x1_4371x1_4558x15_9005x1_250_B_1</vt:lpstr>
      <vt:lpstr>MAPPING!SD_4270x1_4371x1_4558x15_9005x1_251_B_0</vt:lpstr>
      <vt:lpstr>MAPPING!SD_4270x1_4371x1_4558x15_9005x1_252_B_0</vt:lpstr>
      <vt:lpstr>MAPPING!SD_4270x1_4371x1_4558x15_9005x1_253_B_0</vt:lpstr>
      <vt:lpstr>MAPPING!SD_4270x1_4371x1_4558x15_9005x1_254_B_0</vt:lpstr>
      <vt:lpstr>MAPPING!SD_4270x1_4371x1_4558x15_9005x1_255_B_0</vt:lpstr>
      <vt:lpstr>MAPPING!SD_4270x1_4371x1_4558x16_10_B_0</vt:lpstr>
      <vt:lpstr>MAPPING!SD_4270x1_4371x1_4558x16_11_B_0</vt:lpstr>
      <vt:lpstr>MAPPING!SD_4270x1_4371x1_4558x16_12_B_0</vt:lpstr>
      <vt:lpstr>MAPPING!SD_4270x1_4371x1_4558x16_25_B_0</vt:lpstr>
      <vt:lpstr>MAPPING!SD_4270x1_4371x1_4558x16_38_B_0</vt:lpstr>
      <vt:lpstr>MAPPING!SD_4270x1_4371x1_4558x16_43_B_0</vt:lpstr>
      <vt:lpstr>MAPPING!SD_4270x1_4371x1_4558x16_6_B_1</vt:lpstr>
      <vt:lpstr>MAPPING!SD_4270x1_4371x1_4558x16_7_B_0</vt:lpstr>
      <vt:lpstr>MAPPING!SD_4270x1_4371x1_4558x16_9_B_0</vt:lpstr>
      <vt:lpstr>MAPPING!SD_4270x1_4371x1_4558x16_9005x1_100_B_0</vt:lpstr>
      <vt:lpstr>MAPPING!SD_4270x1_4371x1_4558x16_9005x1_250_B_1</vt:lpstr>
      <vt:lpstr>MAPPING!SD_4270x1_4371x1_4558x16_9005x1_251_B_0</vt:lpstr>
      <vt:lpstr>MAPPING!SD_4270x1_4371x1_4558x16_9005x1_252_B_0</vt:lpstr>
      <vt:lpstr>MAPPING!SD_4270x1_4371x1_4558x16_9005x1_253_B_0</vt:lpstr>
      <vt:lpstr>MAPPING!SD_4270x1_4371x1_4558x16_9005x1_254_B_0</vt:lpstr>
      <vt:lpstr>MAPPING!SD_4270x1_4371x1_4558x16_9005x1_255_B_0</vt:lpstr>
      <vt:lpstr>MAPPING!SD_4270x1_4371x1_4558x17_10_B_0</vt:lpstr>
      <vt:lpstr>MAPPING!SD_4270x1_4371x1_4558x17_11_B_0</vt:lpstr>
      <vt:lpstr>MAPPING!SD_4270x1_4371x1_4558x17_12_B_0</vt:lpstr>
      <vt:lpstr>MAPPING!SD_4270x1_4371x1_4558x17_25_B_0</vt:lpstr>
      <vt:lpstr>MAPPING!SD_4270x1_4371x1_4558x17_38_B_0</vt:lpstr>
      <vt:lpstr>MAPPING!SD_4270x1_4371x1_4558x17_43_B_0</vt:lpstr>
      <vt:lpstr>MAPPING!SD_4270x1_4371x1_4558x17_6_B_1</vt:lpstr>
      <vt:lpstr>MAPPING!SD_4270x1_4371x1_4558x17_7_B_0</vt:lpstr>
      <vt:lpstr>MAPPING!SD_4270x1_4371x1_4558x17_9_B_0</vt:lpstr>
      <vt:lpstr>MAPPING!SD_4270x1_4371x1_4558x17_9005x1_100_B_0</vt:lpstr>
      <vt:lpstr>MAPPING!SD_4270x1_4371x1_4558x17_9005x1_250_B_1</vt:lpstr>
      <vt:lpstr>MAPPING!SD_4270x1_4371x1_4558x17_9005x1_251_B_0</vt:lpstr>
      <vt:lpstr>MAPPING!SD_4270x1_4371x1_4558x17_9005x1_252_B_0</vt:lpstr>
      <vt:lpstr>MAPPING!SD_4270x1_4371x1_4558x17_9005x1_253_B_0</vt:lpstr>
      <vt:lpstr>MAPPING!SD_4270x1_4371x1_4558x17_9005x1_254_B_0</vt:lpstr>
      <vt:lpstr>MAPPING!SD_4270x1_4371x1_4558x17_9005x1_255_B_0</vt:lpstr>
      <vt:lpstr>MAPPING!SD_4270x1_4371x1_4558x18_10_B_0</vt:lpstr>
      <vt:lpstr>MAPPING!SD_4270x1_4371x1_4558x18_11_B_0</vt:lpstr>
      <vt:lpstr>MAPPING!SD_4270x1_4371x1_4558x18_12_B_0</vt:lpstr>
      <vt:lpstr>MAPPING!SD_4270x1_4371x1_4558x18_25_B_0</vt:lpstr>
      <vt:lpstr>MAPPING!SD_4270x1_4371x1_4558x18_38_B_0</vt:lpstr>
      <vt:lpstr>MAPPING!SD_4270x1_4371x1_4558x18_43_B_0</vt:lpstr>
      <vt:lpstr>MAPPING!SD_4270x1_4371x1_4558x18_6_B_1</vt:lpstr>
      <vt:lpstr>MAPPING!SD_4270x1_4371x1_4558x18_7_B_0</vt:lpstr>
      <vt:lpstr>MAPPING!SD_4270x1_4371x1_4558x18_9_B_0</vt:lpstr>
      <vt:lpstr>MAPPING!SD_4270x1_4371x1_4558x18_9005x1_100_B_0</vt:lpstr>
      <vt:lpstr>MAPPING!SD_4270x1_4371x1_4558x18_9005x1_250_B_1</vt:lpstr>
      <vt:lpstr>MAPPING!SD_4270x1_4371x1_4558x18_9005x1_251_B_0</vt:lpstr>
      <vt:lpstr>MAPPING!SD_4270x1_4371x1_4558x18_9005x1_252_B_0</vt:lpstr>
      <vt:lpstr>MAPPING!SD_4270x1_4371x1_4558x18_9005x1_253_B_0</vt:lpstr>
      <vt:lpstr>MAPPING!SD_4270x1_4371x1_4558x18_9005x1_254_B_0</vt:lpstr>
      <vt:lpstr>MAPPING!SD_4270x1_4371x1_4558x18_9005x1_255_B_0</vt:lpstr>
      <vt:lpstr>MAPPING!SD_4270x1_4371x1_4558x19_10_B_0</vt:lpstr>
      <vt:lpstr>MAPPING!SD_4270x1_4371x1_4558x19_11_B_0</vt:lpstr>
      <vt:lpstr>MAPPING!SD_4270x1_4371x1_4558x19_12_B_0</vt:lpstr>
      <vt:lpstr>MAPPING!SD_4270x1_4371x1_4558x19_25_B_0</vt:lpstr>
      <vt:lpstr>MAPPING!SD_4270x1_4371x1_4558x19_38_B_0</vt:lpstr>
      <vt:lpstr>MAPPING!SD_4270x1_4371x1_4558x19_43_B_0</vt:lpstr>
      <vt:lpstr>MAPPING!SD_4270x1_4371x1_4558x19_6_B_1</vt:lpstr>
      <vt:lpstr>MAPPING!SD_4270x1_4371x1_4558x19_7_B_0</vt:lpstr>
      <vt:lpstr>MAPPING!SD_4270x1_4371x1_4558x19_9_B_0</vt:lpstr>
      <vt:lpstr>MAPPING!SD_4270x1_4371x1_4558x19_9005x1_100_B_0</vt:lpstr>
      <vt:lpstr>MAPPING!SD_4270x1_4371x1_4558x19_9005x1_250_B_1</vt:lpstr>
      <vt:lpstr>MAPPING!SD_4270x1_4371x1_4558x19_9005x1_251_B_0</vt:lpstr>
      <vt:lpstr>MAPPING!SD_4270x1_4371x1_4558x19_9005x1_252_B_0</vt:lpstr>
      <vt:lpstr>MAPPING!SD_4270x1_4371x1_4558x19_9005x1_253_B_0</vt:lpstr>
      <vt:lpstr>MAPPING!SD_4270x1_4371x1_4558x19_9005x1_254_B_0</vt:lpstr>
      <vt:lpstr>MAPPING!SD_4270x1_4371x1_4558x19_9005x1_255_B_0</vt:lpstr>
      <vt:lpstr>MAPPING!SD_4270x1_4371x1_4558x2_10_B_0</vt:lpstr>
      <vt:lpstr>MAPPING!SD_4270x1_4371x1_4558x2_11_B_0</vt:lpstr>
      <vt:lpstr>MAPPING!SD_4270x1_4371x1_4558x2_12_B_0</vt:lpstr>
      <vt:lpstr>MAPPING!SD_4270x1_4371x1_4558x2_25_B_0</vt:lpstr>
      <vt:lpstr>MAPPING!SD_4270x1_4371x1_4558x2_38_B_0</vt:lpstr>
      <vt:lpstr>MAPPING!SD_4270x1_4371x1_4558x2_43_B_0</vt:lpstr>
      <vt:lpstr>MAPPING!SD_4270x1_4371x1_4558x2_6_B_1</vt:lpstr>
      <vt:lpstr>MAPPING!SD_4270x1_4371x1_4558x2_7_B_0</vt:lpstr>
      <vt:lpstr>MAPPING!SD_4270x1_4371x1_4558x2_9_B_0</vt:lpstr>
      <vt:lpstr>MAPPING!SD_4270x1_4371x1_4558x2_9005x1_100_B_0</vt:lpstr>
      <vt:lpstr>MAPPING!SD_4270x1_4371x1_4558x2_9005x1_250_B_1</vt:lpstr>
      <vt:lpstr>MAPPING!SD_4270x1_4371x1_4558x2_9005x1_251_B_0</vt:lpstr>
      <vt:lpstr>MAPPING!SD_4270x1_4371x1_4558x2_9005x1_252_B_0</vt:lpstr>
      <vt:lpstr>MAPPING!SD_4270x1_4371x1_4558x2_9005x1_253_B_0</vt:lpstr>
      <vt:lpstr>MAPPING!SD_4270x1_4371x1_4558x2_9005x1_254_B_0</vt:lpstr>
      <vt:lpstr>MAPPING!SD_4270x1_4371x1_4558x2_9005x1_255_B_0</vt:lpstr>
      <vt:lpstr>MAPPING!SD_4270x1_4371x1_4558x20_10_B_0</vt:lpstr>
      <vt:lpstr>MAPPING!SD_4270x1_4371x1_4558x20_11_B_0</vt:lpstr>
      <vt:lpstr>MAPPING!SD_4270x1_4371x1_4558x20_12_B_0</vt:lpstr>
      <vt:lpstr>MAPPING!SD_4270x1_4371x1_4558x20_25_B_0</vt:lpstr>
      <vt:lpstr>MAPPING!SD_4270x1_4371x1_4558x20_38_B_0</vt:lpstr>
      <vt:lpstr>MAPPING!SD_4270x1_4371x1_4558x20_43_B_0</vt:lpstr>
      <vt:lpstr>MAPPING!SD_4270x1_4371x1_4558x20_6_B_1</vt:lpstr>
      <vt:lpstr>MAPPING!SD_4270x1_4371x1_4558x20_7_B_0</vt:lpstr>
      <vt:lpstr>MAPPING!SD_4270x1_4371x1_4558x20_9_B_0</vt:lpstr>
      <vt:lpstr>MAPPING!SD_4270x1_4371x1_4558x20_9005x1_100_B_0</vt:lpstr>
      <vt:lpstr>MAPPING!SD_4270x1_4371x1_4558x20_9005x1_250_B_1</vt:lpstr>
      <vt:lpstr>MAPPING!SD_4270x1_4371x1_4558x20_9005x1_251_B_0</vt:lpstr>
      <vt:lpstr>MAPPING!SD_4270x1_4371x1_4558x20_9005x1_252_B_0</vt:lpstr>
      <vt:lpstr>MAPPING!SD_4270x1_4371x1_4558x20_9005x1_253_B_0</vt:lpstr>
      <vt:lpstr>MAPPING!SD_4270x1_4371x1_4558x20_9005x1_254_B_0</vt:lpstr>
      <vt:lpstr>MAPPING!SD_4270x1_4371x1_4558x20_9005x1_255_B_0</vt:lpstr>
      <vt:lpstr>MAPPING!SD_4270x1_4371x1_4558x21_10_B_0</vt:lpstr>
      <vt:lpstr>MAPPING!SD_4270x1_4371x1_4558x21_11_B_0</vt:lpstr>
      <vt:lpstr>MAPPING!SD_4270x1_4371x1_4558x21_12_B_0</vt:lpstr>
      <vt:lpstr>MAPPING!SD_4270x1_4371x1_4558x21_25_B_0</vt:lpstr>
      <vt:lpstr>MAPPING!SD_4270x1_4371x1_4558x21_38_B_0</vt:lpstr>
      <vt:lpstr>MAPPING!SD_4270x1_4371x1_4558x21_43_B_0</vt:lpstr>
      <vt:lpstr>MAPPING!SD_4270x1_4371x1_4558x21_6_B_1</vt:lpstr>
      <vt:lpstr>MAPPING!SD_4270x1_4371x1_4558x21_7_B_0</vt:lpstr>
      <vt:lpstr>MAPPING!SD_4270x1_4371x1_4558x21_9_B_0</vt:lpstr>
      <vt:lpstr>MAPPING!SD_4270x1_4371x1_4558x21_9005x1_100_B_0</vt:lpstr>
      <vt:lpstr>MAPPING!SD_4270x1_4371x1_4558x21_9005x1_250_B_1</vt:lpstr>
      <vt:lpstr>MAPPING!SD_4270x1_4371x1_4558x21_9005x1_251_B_0</vt:lpstr>
      <vt:lpstr>MAPPING!SD_4270x1_4371x1_4558x21_9005x1_252_B_0</vt:lpstr>
      <vt:lpstr>MAPPING!SD_4270x1_4371x1_4558x21_9005x1_253_B_0</vt:lpstr>
      <vt:lpstr>MAPPING!SD_4270x1_4371x1_4558x21_9005x1_254_B_0</vt:lpstr>
      <vt:lpstr>MAPPING!SD_4270x1_4371x1_4558x21_9005x1_255_B_0</vt:lpstr>
      <vt:lpstr>MAPPING!SD_4270x1_4371x1_4558x22_10_B_0</vt:lpstr>
      <vt:lpstr>MAPPING!SD_4270x1_4371x1_4558x22_11_B_0</vt:lpstr>
      <vt:lpstr>MAPPING!SD_4270x1_4371x1_4558x22_12_B_0</vt:lpstr>
      <vt:lpstr>MAPPING!SD_4270x1_4371x1_4558x22_25_B_0</vt:lpstr>
      <vt:lpstr>MAPPING!SD_4270x1_4371x1_4558x22_38_B_0</vt:lpstr>
      <vt:lpstr>MAPPING!SD_4270x1_4371x1_4558x22_43_B_0</vt:lpstr>
      <vt:lpstr>MAPPING!SD_4270x1_4371x1_4558x22_6_B_1</vt:lpstr>
      <vt:lpstr>MAPPING!SD_4270x1_4371x1_4558x22_7_B_0</vt:lpstr>
      <vt:lpstr>MAPPING!SD_4270x1_4371x1_4558x22_9_B_0</vt:lpstr>
      <vt:lpstr>MAPPING!SD_4270x1_4371x1_4558x22_9005x1_100_B_0</vt:lpstr>
      <vt:lpstr>MAPPING!SD_4270x1_4371x1_4558x22_9005x1_250_B_1</vt:lpstr>
      <vt:lpstr>MAPPING!SD_4270x1_4371x1_4558x22_9005x1_251_B_0</vt:lpstr>
      <vt:lpstr>MAPPING!SD_4270x1_4371x1_4558x22_9005x1_252_B_0</vt:lpstr>
      <vt:lpstr>MAPPING!SD_4270x1_4371x1_4558x22_9005x1_253_B_0</vt:lpstr>
      <vt:lpstr>MAPPING!SD_4270x1_4371x1_4558x22_9005x1_254_B_0</vt:lpstr>
      <vt:lpstr>MAPPING!SD_4270x1_4371x1_4558x22_9005x1_255_B_0</vt:lpstr>
      <vt:lpstr>MAPPING!SD_4270x1_4371x1_4558x23_10_B_0</vt:lpstr>
      <vt:lpstr>MAPPING!SD_4270x1_4371x1_4558x23_11_B_0</vt:lpstr>
      <vt:lpstr>MAPPING!SD_4270x1_4371x1_4558x23_12_B_0</vt:lpstr>
      <vt:lpstr>MAPPING!SD_4270x1_4371x1_4558x23_25_B_0</vt:lpstr>
      <vt:lpstr>MAPPING!SD_4270x1_4371x1_4558x23_38_B_0</vt:lpstr>
      <vt:lpstr>MAPPING!SD_4270x1_4371x1_4558x23_43_B_0</vt:lpstr>
      <vt:lpstr>MAPPING!SD_4270x1_4371x1_4558x23_6_B_1</vt:lpstr>
      <vt:lpstr>MAPPING!SD_4270x1_4371x1_4558x23_7_B_0</vt:lpstr>
      <vt:lpstr>MAPPING!SD_4270x1_4371x1_4558x23_9_B_0</vt:lpstr>
      <vt:lpstr>MAPPING!SD_4270x1_4371x1_4558x23_9005x1_100_B_0</vt:lpstr>
      <vt:lpstr>MAPPING!SD_4270x1_4371x1_4558x23_9005x1_250_B_1</vt:lpstr>
      <vt:lpstr>MAPPING!SD_4270x1_4371x1_4558x23_9005x1_251_B_0</vt:lpstr>
      <vt:lpstr>MAPPING!SD_4270x1_4371x1_4558x23_9005x1_252_B_0</vt:lpstr>
      <vt:lpstr>MAPPING!SD_4270x1_4371x1_4558x23_9005x1_253_B_0</vt:lpstr>
      <vt:lpstr>MAPPING!SD_4270x1_4371x1_4558x23_9005x1_254_B_0</vt:lpstr>
      <vt:lpstr>MAPPING!SD_4270x1_4371x1_4558x23_9005x1_255_B_0</vt:lpstr>
      <vt:lpstr>MAPPING!SD_4270x1_4371x1_4558x24_10_B_0</vt:lpstr>
      <vt:lpstr>MAPPING!SD_4270x1_4371x1_4558x24_11_B_0</vt:lpstr>
      <vt:lpstr>MAPPING!SD_4270x1_4371x1_4558x24_12_B_0</vt:lpstr>
      <vt:lpstr>MAPPING!SD_4270x1_4371x1_4558x24_25_B_0</vt:lpstr>
      <vt:lpstr>MAPPING!SD_4270x1_4371x1_4558x24_38_B_0</vt:lpstr>
      <vt:lpstr>MAPPING!SD_4270x1_4371x1_4558x24_43_B_0</vt:lpstr>
      <vt:lpstr>MAPPING!SD_4270x1_4371x1_4558x24_6_B_1</vt:lpstr>
      <vt:lpstr>MAPPING!SD_4270x1_4371x1_4558x24_7_B_0</vt:lpstr>
      <vt:lpstr>MAPPING!SD_4270x1_4371x1_4558x24_9_B_0</vt:lpstr>
      <vt:lpstr>MAPPING!SD_4270x1_4371x1_4558x24_9005x1_100_B_0</vt:lpstr>
      <vt:lpstr>MAPPING!SD_4270x1_4371x1_4558x24_9005x1_250_B_1</vt:lpstr>
      <vt:lpstr>MAPPING!SD_4270x1_4371x1_4558x24_9005x1_251_B_0</vt:lpstr>
      <vt:lpstr>MAPPING!SD_4270x1_4371x1_4558x24_9005x1_252_B_0</vt:lpstr>
      <vt:lpstr>MAPPING!SD_4270x1_4371x1_4558x24_9005x1_253_B_0</vt:lpstr>
      <vt:lpstr>MAPPING!SD_4270x1_4371x1_4558x24_9005x1_254_B_0</vt:lpstr>
      <vt:lpstr>MAPPING!SD_4270x1_4371x1_4558x24_9005x1_255_B_0</vt:lpstr>
      <vt:lpstr>MAPPING!SD_4270x1_4371x1_4558x25_10_B_0</vt:lpstr>
      <vt:lpstr>MAPPING!SD_4270x1_4371x1_4558x25_11_B_0</vt:lpstr>
      <vt:lpstr>MAPPING!SD_4270x1_4371x1_4558x25_12_B_0</vt:lpstr>
      <vt:lpstr>MAPPING!SD_4270x1_4371x1_4558x25_25_B_0</vt:lpstr>
      <vt:lpstr>MAPPING!SD_4270x1_4371x1_4558x25_38_B_0</vt:lpstr>
      <vt:lpstr>MAPPING!SD_4270x1_4371x1_4558x25_43_B_0</vt:lpstr>
      <vt:lpstr>MAPPING!SD_4270x1_4371x1_4558x25_6_B_1</vt:lpstr>
      <vt:lpstr>MAPPING!SD_4270x1_4371x1_4558x25_7_B_0</vt:lpstr>
      <vt:lpstr>MAPPING!SD_4270x1_4371x1_4558x25_9_B_0</vt:lpstr>
      <vt:lpstr>MAPPING!SD_4270x1_4371x1_4558x25_9005x1_100_B_0</vt:lpstr>
      <vt:lpstr>MAPPING!SD_4270x1_4371x1_4558x25_9005x1_250_B_1</vt:lpstr>
      <vt:lpstr>MAPPING!SD_4270x1_4371x1_4558x25_9005x1_251_B_0</vt:lpstr>
      <vt:lpstr>MAPPING!SD_4270x1_4371x1_4558x25_9005x1_252_B_0</vt:lpstr>
      <vt:lpstr>MAPPING!SD_4270x1_4371x1_4558x25_9005x1_253_B_0</vt:lpstr>
      <vt:lpstr>MAPPING!SD_4270x1_4371x1_4558x25_9005x1_254_B_0</vt:lpstr>
      <vt:lpstr>MAPPING!SD_4270x1_4371x1_4558x25_9005x1_255_B_0</vt:lpstr>
      <vt:lpstr>MAPPING!SD_4270x1_4371x1_4558x26_10_B_0</vt:lpstr>
      <vt:lpstr>MAPPING!SD_4270x1_4371x1_4558x26_11_B_0</vt:lpstr>
      <vt:lpstr>MAPPING!SD_4270x1_4371x1_4558x26_12_B_0</vt:lpstr>
      <vt:lpstr>MAPPING!SD_4270x1_4371x1_4558x26_25_B_0</vt:lpstr>
      <vt:lpstr>MAPPING!SD_4270x1_4371x1_4558x26_38_B_0</vt:lpstr>
      <vt:lpstr>MAPPING!SD_4270x1_4371x1_4558x26_43_B_0</vt:lpstr>
      <vt:lpstr>MAPPING!SD_4270x1_4371x1_4558x26_6_B_1</vt:lpstr>
      <vt:lpstr>MAPPING!SD_4270x1_4371x1_4558x26_7_B_0</vt:lpstr>
      <vt:lpstr>MAPPING!SD_4270x1_4371x1_4558x26_9_B_0</vt:lpstr>
      <vt:lpstr>MAPPING!SD_4270x1_4371x1_4558x26_9005x1_100_B_0</vt:lpstr>
      <vt:lpstr>MAPPING!SD_4270x1_4371x1_4558x26_9005x1_250_B_1</vt:lpstr>
      <vt:lpstr>MAPPING!SD_4270x1_4371x1_4558x26_9005x1_251_B_0</vt:lpstr>
      <vt:lpstr>MAPPING!SD_4270x1_4371x1_4558x26_9005x1_252_B_0</vt:lpstr>
      <vt:lpstr>MAPPING!SD_4270x1_4371x1_4558x26_9005x1_253_B_0</vt:lpstr>
      <vt:lpstr>MAPPING!SD_4270x1_4371x1_4558x26_9005x1_254_B_0</vt:lpstr>
      <vt:lpstr>MAPPING!SD_4270x1_4371x1_4558x26_9005x1_255_B_0</vt:lpstr>
      <vt:lpstr>MAPPING!SD_4270x1_4371x1_4558x27_10_B_0</vt:lpstr>
      <vt:lpstr>MAPPING!SD_4270x1_4371x1_4558x27_11_B_0</vt:lpstr>
      <vt:lpstr>MAPPING!SD_4270x1_4371x1_4558x27_12_B_0</vt:lpstr>
      <vt:lpstr>MAPPING!SD_4270x1_4371x1_4558x27_25_B_0</vt:lpstr>
      <vt:lpstr>MAPPING!SD_4270x1_4371x1_4558x27_38_B_0</vt:lpstr>
      <vt:lpstr>MAPPING!SD_4270x1_4371x1_4558x27_43_B_0</vt:lpstr>
      <vt:lpstr>MAPPING!SD_4270x1_4371x1_4558x27_6_B_1</vt:lpstr>
      <vt:lpstr>MAPPING!SD_4270x1_4371x1_4558x27_7_B_0</vt:lpstr>
      <vt:lpstr>MAPPING!SD_4270x1_4371x1_4558x27_9_B_0</vt:lpstr>
      <vt:lpstr>MAPPING!SD_4270x1_4371x1_4558x27_9005x1_100_B_0</vt:lpstr>
      <vt:lpstr>MAPPING!SD_4270x1_4371x1_4558x27_9005x1_250_B_1</vt:lpstr>
      <vt:lpstr>MAPPING!SD_4270x1_4371x1_4558x27_9005x1_251_B_0</vt:lpstr>
      <vt:lpstr>MAPPING!SD_4270x1_4371x1_4558x27_9005x1_252_B_0</vt:lpstr>
      <vt:lpstr>MAPPING!SD_4270x1_4371x1_4558x27_9005x1_253_B_0</vt:lpstr>
      <vt:lpstr>MAPPING!SD_4270x1_4371x1_4558x27_9005x1_254_B_0</vt:lpstr>
      <vt:lpstr>MAPPING!SD_4270x1_4371x1_4558x27_9005x1_255_B_0</vt:lpstr>
      <vt:lpstr>MAPPING!SD_4270x1_4371x1_4558x28_10_B_0</vt:lpstr>
      <vt:lpstr>MAPPING!SD_4270x1_4371x1_4558x28_11_B_0</vt:lpstr>
      <vt:lpstr>MAPPING!SD_4270x1_4371x1_4558x28_12_B_0</vt:lpstr>
      <vt:lpstr>MAPPING!SD_4270x1_4371x1_4558x28_25_B_0</vt:lpstr>
      <vt:lpstr>MAPPING!SD_4270x1_4371x1_4558x28_38_B_0</vt:lpstr>
      <vt:lpstr>MAPPING!SD_4270x1_4371x1_4558x28_43_B_0</vt:lpstr>
      <vt:lpstr>MAPPING!SD_4270x1_4371x1_4558x28_6_B_1</vt:lpstr>
      <vt:lpstr>MAPPING!SD_4270x1_4371x1_4558x28_7_B_0</vt:lpstr>
      <vt:lpstr>MAPPING!SD_4270x1_4371x1_4558x28_9_B_0</vt:lpstr>
      <vt:lpstr>MAPPING!SD_4270x1_4371x1_4558x28_9005x1_100_B_0</vt:lpstr>
      <vt:lpstr>MAPPING!SD_4270x1_4371x1_4558x28_9005x1_250_B_1</vt:lpstr>
      <vt:lpstr>MAPPING!SD_4270x1_4371x1_4558x28_9005x1_251_B_0</vt:lpstr>
      <vt:lpstr>MAPPING!SD_4270x1_4371x1_4558x28_9005x1_252_B_0</vt:lpstr>
      <vt:lpstr>MAPPING!SD_4270x1_4371x1_4558x28_9005x1_253_B_0</vt:lpstr>
      <vt:lpstr>MAPPING!SD_4270x1_4371x1_4558x28_9005x1_254_B_0</vt:lpstr>
      <vt:lpstr>MAPPING!SD_4270x1_4371x1_4558x28_9005x1_255_B_0</vt:lpstr>
      <vt:lpstr>MAPPING!SD_4270x1_4371x1_4558x29_10_B_0</vt:lpstr>
      <vt:lpstr>MAPPING!SD_4270x1_4371x1_4558x29_11_B_0</vt:lpstr>
      <vt:lpstr>MAPPING!SD_4270x1_4371x1_4558x29_12_B_0</vt:lpstr>
      <vt:lpstr>MAPPING!SD_4270x1_4371x1_4558x29_25_B_0</vt:lpstr>
      <vt:lpstr>MAPPING!SD_4270x1_4371x1_4558x29_38_B_0</vt:lpstr>
      <vt:lpstr>MAPPING!SD_4270x1_4371x1_4558x29_43_B_0</vt:lpstr>
      <vt:lpstr>MAPPING!SD_4270x1_4371x1_4558x29_6_B_1</vt:lpstr>
      <vt:lpstr>MAPPING!SD_4270x1_4371x1_4558x29_7_B_0</vt:lpstr>
      <vt:lpstr>MAPPING!SD_4270x1_4371x1_4558x29_9_B_0</vt:lpstr>
      <vt:lpstr>MAPPING!SD_4270x1_4371x1_4558x29_9005x1_100_B_0</vt:lpstr>
      <vt:lpstr>MAPPING!SD_4270x1_4371x1_4558x29_9005x1_250_B_1</vt:lpstr>
      <vt:lpstr>MAPPING!SD_4270x1_4371x1_4558x29_9005x1_251_B_0</vt:lpstr>
      <vt:lpstr>MAPPING!SD_4270x1_4371x1_4558x29_9005x1_252_B_0</vt:lpstr>
      <vt:lpstr>MAPPING!SD_4270x1_4371x1_4558x29_9005x1_253_B_0</vt:lpstr>
      <vt:lpstr>MAPPING!SD_4270x1_4371x1_4558x29_9005x1_254_B_0</vt:lpstr>
      <vt:lpstr>MAPPING!SD_4270x1_4371x1_4558x29_9005x1_255_B_0</vt:lpstr>
      <vt:lpstr>MAPPING!SD_4270x1_4371x1_4558x3_10_B_0</vt:lpstr>
      <vt:lpstr>MAPPING!SD_4270x1_4371x1_4558x3_11_B_0</vt:lpstr>
      <vt:lpstr>MAPPING!SD_4270x1_4371x1_4558x3_12_B_0</vt:lpstr>
      <vt:lpstr>MAPPING!SD_4270x1_4371x1_4558x3_25_B_0</vt:lpstr>
      <vt:lpstr>MAPPING!SD_4270x1_4371x1_4558x3_38_B_0</vt:lpstr>
      <vt:lpstr>MAPPING!SD_4270x1_4371x1_4558x3_43_B_0</vt:lpstr>
      <vt:lpstr>MAPPING!SD_4270x1_4371x1_4558x3_6_B_1</vt:lpstr>
      <vt:lpstr>MAPPING!SD_4270x1_4371x1_4558x3_7_B_0</vt:lpstr>
      <vt:lpstr>MAPPING!SD_4270x1_4371x1_4558x3_9_B_0</vt:lpstr>
      <vt:lpstr>MAPPING!SD_4270x1_4371x1_4558x3_9005x1_100_B_0</vt:lpstr>
      <vt:lpstr>MAPPING!SD_4270x1_4371x1_4558x3_9005x1_250_B_1</vt:lpstr>
      <vt:lpstr>MAPPING!SD_4270x1_4371x1_4558x3_9005x1_251_B_0</vt:lpstr>
      <vt:lpstr>MAPPING!SD_4270x1_4371x1_4558x3_9005x1_252_B_0</vt:lpstr>
      <vt:lpstr>MAPPING!SD_4270x1_4371x1_4558x3_9005x1_253_B_0</vt:lpstr>
      <vt:lpstr>MAPPING!SD_4270x1_4371x1_4558x3_9005x1_254_B_0</vt:lpstr>
      <vt:lpstr>MAPPING!SD_4270x1_4371x1_4558x3_9005x1_255_B_0</vt:lpstr>
      <vt:lpstr>MAPPING!SD_4270x1_4371x1_4558x30_10_B_0</vt:lpstr>
      <vt:lpstr>MAPPING!SD_4270x1_4371x1_4558x30_11_B_0</vt:lpstr>
      <vt:lpstr>MAPPING!SD_4270x1_4371x1_4558x30_12_B_0</vt:lpstr>
      <vt:lpstr>MAPPING!SD_4270x1_4371x1_4558x30_25_B_0</vt:lpstr>
      <vt:lpstr>MAPPING!SD_4270x1_4371x1_4558x30_38_B_0</vt:lpstr>
      <vt:lpstr>MAPPING!SD_4270x1_4371x1_4558x30_43_B_0</vt:lpstr>
      <vt:lpstr>MAPPING!SD_4270x1_4371x1_4558x30_6_B_1</vt:lpstr>
      <vt:lpstr>MAPPING!SD_4270x1_4371x1_4558x30_7_B_0</vt:lpstr>
      <vt:lpstr>MAPPING!SD_4270x1_4371x1_4558x30_9_B_0</vt:lpstr>
      <vt:lpstr>MAPPING!SD_4270x1_4371x1_4558x30_9005x1_100_B_0</vt:lpstr>
      <vt:lpstr>MAPPING!SD_4270x1_4371x1_4558x30_9005x1_250_B_1</vt:lpstr>
      <vt:lpstr>MAPPING!SD_4270x1_4371x1_4558x30_9005x1_251_B_0</vt:lpstr>
      <vt:lpstr>MAPPING!SD_4270x1_4371x1_4558x30_9005x1_252_B_0</vt:lpstr>
      <vt:lpstr>MAPPING!SD_4270x1_4371x1_4558x30_9005x1_253_B_0</vt:lpstr>
      <vt:lpstr>MAPPING!SD_4270x1_4371x1_4558x30_9005x1_254_B_0</vt:lpstr>
      <vt:lpstr>MAPPING!SD_4270x1_4371x1_4558x30_9005x1_255_B_0</vt:lpstr>
      <vt:lpstr>MAPPING!SD_4270x1_4371x1_4558x31_10_B_0</vt:lpstr>
      <vt:lpstr>MAPPING!SD_4270x1_4371x1_4558x31_11_B_0</vt:lpstr>
      <vt:lpstr>MAPPING!SD_4270x1_4371x1_4558x31_12_B_0</vt:lpstr>
      <vt:lpstr>MAPPING!SD_4270x1_4371x1_4558x31_25_B_0</vt:lpstr>
      <vt:lpstr>MAPPING!SD_4270x1_4371x1_4558x31_38_B_0</vt:lpstr>
      <vt:lpstr>MAPPING!SD_4270x1_4371x1_4558x31_43_B_0</vt:lpstr>
      <vt:lpstr>MAPPING!SD_4270x1_4371x1_4558x31_6_B_1</vt:lpstr>
      <vt:lpstr>MAPPING!SD_4270x1_4371x1_4558x31_7_B_0</vt:lpstr>
      <vt:lpstr>MAPPING!SD_4270x1_4371x1_4558x31_9_B_0</vt:lpstr>
      <vt:lpstr>MAPPING!SD_4270x1_4371x1_4558x31_9005x1_100_B_0</vt:lpstr>
      <vt:lpstr>MAPPING!SD_4270x1_4371x1_4558x31_9005x1_250_B_1</vt:lpstr>
      <vt:lpstr>MAPPING!SD_4270x1_4371x1_4558x31_9005x1_251_B_0</vt:lpstr>
      <vt:lpstr>MAPPING!SD_4270x1_4371x1_4558x31_9005x1_252_B_0</vt:lpstr>
      <vt:lpstr>MAPPING!SD_4270x1_4371x1_4558x31_9005x1_253_B_0</vt:lpstr>
      <vt:lpstr>MAPPING!SD_4270x1_4371x1_4558x31_9005x1_254_B_0</vt:lpstr>
      <vt:lpstr>MAPPING!SD_4270x1_4371x1_4558x31_9005x1_255_B_0</vt:lpstr>
      <vt:lpstr>MAPPING!SD_4270x1_4371x1_4558x32_10_B_0</vt:lpstr>
      <vt:lpstr>MAPPING!SD_4270x1_4371x1_4558x32_11_B_0</vt:lpstr>
      <vt:lpstr>MAPPING!SD_4270x1_4371x1_4558x32_12_B_0</vt:lpstr>
      <vt:lpstr>MAPPING!SD_4270x1_4371x1_4558x32_25_B_0</vt:lpstr>
      <vt:lpstr>MAPPING!SD_4270x1_4371x1_4558x32_38_B_0</vt:lpstr>
      <vt:lpstr>MAPPING!SD_4270x1_4371x1_4558x32_43_B_0</vt:lpstr>
      <vt:lpstr>MAPPING!SD_4270x1_4371x1_4558x32_6_B_1</vt:lpstr>
      <vt:lpstr>MAPPING!SD_4270x1_4371x1_4558x32_7_B_0</vt:lpstr>
      <vt:lpstr>MAPPING!SD_4270x1_4371x1_4558x32_9_B_0</vt:lpstr>
      <vt:lpstr>MAPPING!SD_4270x1_4371x1_4558x32_9005x1_100_B_0</vt:lpstr>
      <vt:lpstr>MAPPING!SD_4270x1_4371x1_4558x32_9005x1_250_B_1</vt:lpstr>
      <vt:lpstr>MAPPING!SD_4270x1_4371x1_4558x32_9005x1_251_B_0</vt:lpstr>
      <vt:lpstr>MAPPING!SD_4270x1_4371x1_4558x32_9005x1_252_B_0</vt:lpstr>
      <vt:lpstr>MAPPING!SD_4270x1_4371x1_4558x32_9005x1_253_B_0</vt:lpstr>
      <vt:lpstr>MAPPING!SD_4270x1_4371x1_4558x32_9005x1_254_B_0</vt:lpstr>
      <vt:lpstr>MAPPING!SD_4270x1_4371x1_4558x32_9005x1_255_B_0</vt:lpstr>
      <vt:lpstr>MAPPING!SD_4270x1_4371x1_4558x33_10_B_0</vt:lpstr>
      <vt:lpstr>MAPPING!SD_4270x1_4371x1_4558x33_11_B_0</vt:lpstr>
      <vt:lpstr>MAPPING!SD_4270x1_4371x1_4558x33_12_B_0</vt:lpstr>
      <vt:lpstr>MAPPING!SD_4270x1_4371x1_4558x33_25_B_0</vt:lpstr>
      <vt:lpstr>MAPPING!SD_4270x1_4371x1_4558x33_38_B_0</vt:lpstr>
      <vt:lpstr>MAPPING!SD_4270x1_4371x1_4558x33_43_B_0</vt:lpstr>
      <vt:lpstr>MAPPING!SD_4270x1_4371x1_4558x33_6_B_1</vt:lpstr>
      <vt:lpstr>MAPPING!SD_4270x1_4371x1_4558x33_7_B_0</vt:lpstr>
      <vt:lpstr>MAPPING!SD_4270x1_4371x1_4558x33_9_B_0</vt:lpstr>
      <vt:lpstr>MAPPING!SD_4270x1_4371x1_4558x33_9005x1_100_B_0</vt:lpstr>
      <vt:lpstr>MAPPING!SD_4270x1_4371x1_4558x33_9005x1_250_B_1</vt:lpstr>
      <vt:lpstr>MAPPING!SD_4270x1_4371x1_4558x33_9005x1_251_B_0</vt:lpstr>
      <vt:lpstr>MAPPING!SD_4270x1_4371x1_4558x33_9005x1_252_B_0</vt:lpstr>
      <vt:lpstr>MAPPING!SD_4270x1_4371x1_4558x33_9005x1_253_B_0</vt:lpstr>
      <vt:lpstr>MAPPING!SD_4270x1_4371x1_4558x33_9005x1_254_B_0</vt:lpstr>
      <vt:lpstr>MAPPING!SD_4270x1_4371x1_4558x33_9005x1_255_B_0</vt:lpstr>
      <vt:lpstr>MAPPING!SD_4270x1_4371x1_4558x34_10_B_0</vt:lpstr>
      <vt:lpstr>MAPPING!SD_4270x1_4371x1_4558x34_11_B_0</vt:lpstr>
      <vt:lpstr>MAPPING!SD_4270x1_4371x1_4558x34_12_B_0</vt:lpstr>
      <vt:lpstr>MAPPING!SD_4270x1_4371x1_4558x34_25_B_0</vt:lpstr>
      <vt:lpstr>MAPPING!SD_4270x1_4371x1_4558x34_38_B_0</vt:lpstr>
      <vt:lpstr>MAPPING!SD_4270x1_4371x1_4558x34_43_B_0</vt:lpstr>
      <vt:lpstr>MAPPING!SD_4270x1_4371x1_4558x34_6_B_1</vt:lpstr>
      <vt:lpstr>MAPPING!SD_4270x1_4371x1_4558x34_7_B_0</vt:lpstr>
      <vt:lpstr>MAPPING!SD_4270x1_4371x1_4558x34_9_B_0</vt:lpstr>
      <vt:lpstr>MAPPING!SD_4270x1_4371x1_4558x34_9005x1_100_B_0</vt:lpstr>
      <vt:lpstr>MAPPING!SD_4270x1_4371x1_4558x34_9005x1_250_B_1</vt:lpstr>
      <vt:lpstr>MAPPING!SD_4270x1_4371x1_4558x34_9005x1_251_B_0</vt:lpstr>
      <vt:lpstr>MAPPING!SD_4270x1_4371x1_4558x34_9005x1_252_B_0</vt:lpstr>
      <vt:lpstr>MAPPING!SD_4270x1_4371x1_4558x34_9005x1_253_B_0</vt:lpstr>
      <vt:lpstr>MAPPING!SD_4270x1_4371x1_4558x34_9005x1_254_B_0</vt:lpstr>
      <vt:lpstr>MAPPING!SD_4270x1_4371x1_4558x34_9005x1_255_B_0</vt:lpstr>
      <vt:lpstr>MAPPING!SD_4270x1_4371x1_4558x35_10_B_0</vt:lpstr>
      <vt:lpstr>MAPPING!SD_4270x1_4371x1_4558x35_11_B_0</vt:lpstr>
      <vt:lpstr>MAPPING!SD_4270x1_4371x1_4558x35_12_B_0</vt:lpstr>
      <vt:lpstr>MAPPING!SD_4270x1_4371x1_4558x35_25_B_0</vt:lpstr>
      <vt:lpstr>MAPPING!SD_4270x1_4371x1_4558x35_38_B_0</vt:lpstr>
      <vt:lpstr>MAPPING!SD_4270x1_4371x1_4558x35_43_B_0</vt:lpstr>
      <vt:lpstr>MAPPING!SD_4270x1_4371x1_4558x35_6_B_1</vt:lpstr>
      <vt:lpstr>MAPPING!SD_4270x1_4371x1_4558x35_7_B_0</vt:lpstr>
      <vt:lpstr>MAPPING!SD_4270x1_4371x1_4558x35_9_B_0</vt:lpstr>
      <vt:lpstr>MAPPING!SD_4270x1_4371x1_4558x35_9005x1_100_B_0</vt:lpstr>
      <vt:lpstr>MAPPING!SD_4270x1_4371x1_4558x35_9005x1_250_B_1</vt:lpstr>
      <vt:lpstr>MAPPING!SD_4270x1_4371x1_4558x35_9005x1_251_B_0</vt:lpstr>
      <vt:lpstr>MAPPING!SD_4270x1_4371x1_4558x35_9005x1_252_B_0</vt:lpstr>
      <vt:lpstr>MAPPING!SD_4270x1_4371x1_4558x35_9005x1_253_B_0</vt:lpstr>
      <vt:lpstr>MAPPING!SD_4270x1_4371x1_4558x35_9005x1_254_B_0</vt:lpstr>
      <vt:lpstr>MAPPING!SD_4270x1_4371x1_4558x35_9005x1_255_B_0</vt:lpstr>
      <vt:lpstr>MAPPING!SD_4270x1_4371x1_4558x36_10_B_0</vt:lpstr>
      <vt:lpstr>MAPPING!SD_4270x1_4371x1_4558x36_11_B_0</vt:lpstr>
      <vt:lpstr>MAPPING!SD_4270x1_4371x1_4558x36_12_B_0</vt:lpstr>
      <vt:lpstr>MAPPING!SD_4270x1_4371x1_4558x36_25_B_0</vt:lpstr>
      <vt:lpstr>MAPPING!SD_4270x1_4371x1_4558x36_38_B_0</vt:lpstr>
      <vt:lpstr>MAPPING!SD_4270x1_4371x1_4558x36_43_B_0</vt:lpstr>
      <vt:lpstr>MAPPING!SD_4270x1_4371x1_4558x36_6_B_1</vt:lpstr>
      <vt:lpstr>MAPPING!SD_4270x1_4371x1_4558x36_7_B_0</vt:lpstr>
      <vt:lpstr>MAPPING!SD_4270x1_4371x1_4558x36_9_B_0</vt:lpstr>
      <vt:lpstr>MAPPING!SD_4270x1_4371x1_4558x36_9005x1_100_B_0</vt:lpstr>
      <vt:lpstr>MAPPING!SD_4270x1_4371x1_4558x36_9005x1_250_B_1</vt:lpstr>
      <vt:lpstr>MAPPING!SD_4270x1_4371x1_4558x36_9005x1_251_B_0</vt:lpstr>
      <vt:lpstr>MAPPING!SD_4270x1_4371x1_4558x36_9005x1_252_B_0</vt:lpstr>
      <vt:lpstr>MAPPING!SD_4270x1_4371x1_4558x36_9005x1_253_B_0</vt:lpstr>
      <vt:lpstr>MAPPING!SD_4270x1_4371x1_4558x36_9005x1_254_B_0</vt:lpstr>
      <vt:lpstr>MAPPING!SD_4270x1_4371x1_4558x36_9005x1_255_B_0</vt:lpstr>
      <vt:lpstr>MAPPING!SD_4270x1_4371x1_4558x37_10_B_0</vt:lpstr>
      <vt:lpstr>MAPPING!SD_4270x1_4371x1_4558x37_11_B_0</vt:lpstr>
      <vt:lpstr>MAPPING!SD_4270x1_4371x1_4558x37_12_B_0</vt:lpstr>
      <vt:lpstr>MAPPING!SD_4270x1_4371x1_4558x37_25_B_0</vt:lpstr>
      <vt:lpstr>MAPPING!SD_4270x1_4371x1_4558x37_38_B_0</vt:lpstr>
      <vt:lpstr>MAPPING!SD_4270x1_4371x1_4558x37_43_B_0</vt:lpstr>
      <vt:lpstr>MAPPING!SD_4270x1_4371x1_4558x37_6_B_1</vt:lpstr>
      <vt:lpstr>MAPPING!SD_4270x1_4371x1_4558x37_7_B_0</vt:lpstr>
      <vt:lpstr>MAPPING!SD_4270x1_4371x1_4558x37_9_B_0</vt:lpstr>
      <vt:lpstr>MAPPING!SD_4270x1_4371x1_4558x37_9005x1_100_B_0</vt:lpstr>
      <vt:lpstr>MAPPING!SD_4270x1_4371x1_4558x37_9005x1_250_B_1</vt:lpstr>
      <vt:lpstr>MAPPING!SD_4270x1_4371x1_4558x37_9005x1_251_B_0</vt:lpstr>
      <vt:lpstr>MAPPING!SD_4270x1_4371x1_4558x37_9005x1_252_B_0</vt:lpstr>
      <vt:lpstr>MAPPING!SD_4270x1_4371x1_4558x37_9005x1_253_B_0</vt:lpstr>
      <vt:lpstr>MAPPING!SD_4270x1_4371x1_4558x37_9005x1_254_B_0</vt:lpstr>
      <vt:lpstr>MAPPING!SD_4270x1_4371x1_4558x37_9005x1_255_B_0</vt:lpstr>
      <vt:lpstr>MAPPING!SD_4270x1_4371x1_4558x38_10_B_0</vt:lpstr>
      <vt:lpstr>MAPPING!SD_4270x1_4371x1_4558x38_11_B_0</vt:lpstr>
      <vt:lpstr>MAPPING!SD_4270x1_4371x1_4558x38_12_B_0</vt:lpstr>
      <vt:lpstr>MAPPING!SD_4270x1_4371x1_4558x38_25_B_0</vt:lpstr>
      <vt:lpstr>MAPPING!SD_4270x1_4371x1_4558x38_38_B_0</vt:lpstr>
      <vt:lpstr>MAPPING!SD_4270x1_4371x1_4558x38_43_B_0</vt:lpstr>
      <vt:lpstr>MAPPING!SD_4270x1_4371x1_4558x38_6_B_1</vt:lpstr>
      <vt:lpstr>MAPPING!SD_4270x1_4371x1_4558x38_7_B_0</vt:lpstr>
      <vt:lpstr>MAPPING!SD_4270x1_4371x1_4558x38_9_B_0</vt:lpstr>
      <vt:lpstr>MAPPING!SD_4270x1_4371x1_4558x38_9005x1_100_B_0</vt:lpstr>
      <vt:lpstr>MAPPING!SD_4270x1_4371x1_4558x38_9005x1_250_B_1</vt:lpstr>
      <vt:lpstr>MAPPING!SD_4270x1_4371x1_4558x38_9005x1_251_B_0</vt:lpstr>
      <vt:lpstr>MAPPING!SD_4270x1_4371x1_4558x38_9005x1_252_B_0</vt:lpstr>
      <vt:lpstr>MAPPING!SD_4270x1_4371x1_4558x38_9005x1_253_B_0</vt:lpstr>
      <vt:lpstr>MAPPING!SD_4270x1_4371x1_4558x38_9005x1_254_B_0</vt:lpstr>
      <vt:lpstr>MAPPING!SD_4270x1_4371x1_4558x38_9005x1_255_B_0</vt:lpstr>
      <vt:lpstr>MAPPING!SD_4270x1_4371x1_4558x39_10_B_0</vt:lpstr>
      <vt:lpstr>MAPPING!SD_4270x1_4371x1_4558x39_11_B_0</vt:lpstr>
      <vt:lpstr>MAPPING!SD_4270x1_4371x1_4558x39_12_B_0</vt:lpstr>
      <vt:lpstr>MAPPING!SD_4270x1_4371x1_4558x39_25_B_0</vt:lpstr>
      <vt:lpstr>MAPPING!SD_4270x1_4371x1_4558x39_38_B_0</vt:lpstr>
      <vt:lpstr>MAPPING!SD_4270x1_4371x1_4558x39_43_B_0</vt:lpstr>
      <vt:lpstr>MAPPING!SD_4270x1_4371x1_4558x39_6_B_1</vt:lpstr>
      <vt:lpstr>MAPPING!SD_4270x1_4371x1_4558x39_7_B_0</vt:lpstr>
      <vt:lpstr>MAPPING!SD_4270x1_4371x1_4558x39_9_B_0</vt:lpstr>
      <vt:lpstr>MAPPING!SD_4270x1_4371x1_4558x39_9005x1_100_B_0</vt:lpstr>
      <vt:lpstr>MAPPING!SD_4270x1_4371x1_4558x39_9005x1_250_B_1</vt:lpstr>
      <vt:lpstr>MAPPING!SD_4270x1_4371x1_4558x39_9005x1_251_B_0</vt:lpstr>
      <vt:lpstr>MAPPING!SD_4270x1_4371x1_4558x39_9005x1_252_B_0</vt:lpstr>
      <vt:lpstr>MAPPING!SD_4270x1_4371x1_4558x39_9005x1_253_B_0</vt:lpstr>
      <vt:lpstr>MAPPING!SD_4270x1_4371x1_4558x39_9005x1_254_B_0</vt:lpstr>
      <vt:lpstr>MAPPING!SD_4270x1_4371x1_4558x39_9005x1_255_B_0</vt:lpstr>
      <vt:lpstr>MAPPING!SD_4270x1_4371x1_4558x4_10_B_0</vt:lpstr>
      <vt:lpstr>MAPPING!SD_4270x1_4371x1_4558x4_11_B_0</vt:lpstr>
      <vt:lpstr>MAPPING!SD_4270x1_4371x1_4558x4_12_B_0</vt:lpstr>
      <vt:lpstr>MAPPING!SD_4270x1_4371x1_4558x4_25_B_0</vt:lpstr>
      <vt:lpstr>MAPPING!SD_4270x1_4371x1_4558x4_38_B_0</vt:lpstr>
      <vt:lpstr>MAPPING!SD_4270x1_4371x1_4558x4_43_B_0</vt:lpstr>
      <vt:lpstr>MAPPING!SD_4270x1_4371x1_4558x4_6_B_1</vt:lpstr>
      <vt:lpstr>MAPPING!SD_4270x1_4371x1_4558x4_7_B_0</vt:lpstr>
      <vt:lpstr>MAPPING!SD_4270x1_4371x1_4558x4_9_B_0</vt:lpstr>
      <vt:lpstr>MAPPING!SD_4270x1_4371x1_4558x4_9005x1_100_B_0</vt:lpstr>
      <vt:lpstr>MAPPING!SD_4270x1_4371x1_4558x4_9005x1_250_B_1</vt:lpstr>
      <vt:lpstr>MAPPING!SD_4270x1_4371x1_4558x4_9005x1_251_B_0</vt:lpstr>
      <vt:lpstr>MAPPING!SD_4270x1_4371x1_4558x4_9005x1_252_B_0</vt:lpstr>
      <vt:lpstr>MAPPING!SD_4270x1_4371x1_4558x4_9005x1_253_B_0</vt:lpstr>
      <vt:lpstr>MAPPING!SD_4270x1_4371x1_4558x4_9005x1_254_B_0</vt:lpstr>
      <vt:lpstr>MAPPING!SD_4270x1_4371x1_4558x4_9005x1_255_B_0</vt:lpstr>
      <vt:lpstr>MAPPING!SD_4270x1_4371x1_4558x40_10_B_0</vt:lpstr>
      <vt:lpstr>MAPPING!SD_4270x1_4371x1_4558x40_11_B_0</vt:lpstr>
      <vt:lpstr>MAPPING!SD_4270x1_4371x1_4558x40_12_B_0</vt:lpstr>
      <vt:lpstr>MAPPING!SD_4270x1_4371x1_4558x40_25_B_0</vt:lpstr>
      <vt:lpstr>MAPPING!SD_4270x1_4371x1_4558x40_38_B_0</vt:lpstr>
      <vt:lpstr>MAPPING!SD_4270x1_4371x1_4558x40_43_B_0</vt:lpstr>
      <vt:lpstr>MAPPING!SD_4270x1_4371x1_4558x40_6_B_1</vt:lpstr>
      <vt:lpstr>MAPPING!SD_4270x1_4371x1_4558x40_7_B_0</vt:lpstr>
      <vt:lpstr>MAPPING!SD_4270x1_4371x1_4558x40_9_B_0</vt:lpstr>
      <vt:lpstr>MAPPING!SD_4270x1_4371x1_4558x40_9005x1_100_B_0</vt:lpstr>
      <vt:lpstr>MAPPING!SD_4270x1_4371x1_4558x40_9005x1_250_B_1</vt:lpstr>
      <vt:lpstr>MAPPING!SD_4270x1_4371x1_4558x40_9005x1_251_B_0</vt:lpstr>
      <vt:lpstr>MAPPING!SD_4270x1_4371x1_4558x40_9005x1_252_B_0</vt:lpstr>
      <vt:lpstr>MAPPING!SD_4270x1_4371x1_4558x40_9005x1_253_B_0</vt:lpstr>
      <vt:lpstr>MAPPING!SD_4270x1_4371x1_4558x40_9005x1_254_B_0</vt:lpstr>
      <vt:lpstr>MAPPING!SD_4270x1_4371x1_4558x40_9005x1_255_B_0</vt:lpstr>
      <vt:lpstr>MAPPING!SD_4270x1_4371x1_4558x41_10_B_0</vt:lpstr>
      <vt:lpstr>MAPPING!SD_4270x1_4371x1_4558x41_11_B_0</vt:lpstr>
      <vt:lpstr>MAPPING!SD_4270x1_4371x1_4558x41_12_B_0</vt:lpstr>
      <vt:lpstr>MAPPING!SD_4270x1_4371x1_4558x41_25_B_0</vt:lpstr>
      <vt:lpstr>MAPPING!SD_4270x1_4371x1_4558x41_38_B_0</vt:lpstr>
      <vt:lpstr>MAPPING!SD_4270x1_4371x1_4558x41_43_B_0</vt:lpstr>
      <vt:lpstr>MAPPING!SD_4270x1_4371x1_4558x41_6_B_1</vt:lpstr>
      <vt:lpstr>MAPPING!SD_4270x1_4371x1_4558x41_7_B_0</vt:lpstr>
      <vt:lpstr>MAPPING!SD_4270x1_4371x1_4558x41_9_B_0</vt:lpstr>
      <vt:lpstr>MAPPING!SD_4270x1_4371x1_4558x41_9005x1_100_B_0</vt:lpstr>
      <vt:lpstr>MAPPING!SD_4270x1_4371x1_4558x41_9005x1_250_B_1</vt:lpstr>
      <vt:lpstr>MAPPING!SD_4270x1_4371x1_4558x41_9005x1_251_B_0</vt:lpstr>
      <vt:lpstr>MAPPING!SD_4270x1_4371x1_4558x41_9005x1_252_B_0</vt:lpstr>
      <vt:lpstr>MAPPING!SD_4270x1_4371x1_4558x41_9005x1_253_B_0</vt:lpstr>
      <vt:lpstr>MAPPING!SD_4270x1_4371x1_4558x41_9005x1_254_B_0</vt:lpstr>
      <vt:lpstr>MAPPING!SD_4270x1_4371x1_4558x41_9005x1_255_B_0</vt:lpstr>
      <vt:lpstr>MAPPING!SD_4270x1_4371x1_4558x42_10_B_0</vt:lpstr>
      <vt:lpstr>MAPPING!SD_4270x1_4371x1_4558x42_11_B_0</vt:lpstr>
      <vt:lpstr>MAPPING!SD_4270x1_4371x1_4558x42_12_B_0</vt:lpstr>
      <vt:lpstr>MAPPING!SD_4270x1_4371x1_4558x42_25_B_0</vt:lpstr>
      <vt:lpstr>MAPPING!SD_4270x1_4371x1_4558x42_38_B_0</vt:lpstr>
      <vt:lpstr>MAPPING!SD_4270x1_4371x1_4558x42_43_B_0</vt:lpstr>
      <vt:lpstr>MAPPING!SD_4270x1_4371x1_4558x42_6_B_1</vt:lpstr>
      <vt:lpstr>MAPPING!SD_4270x1_4371x1_4558x42_7_B_0</vt:lpstr>
      <vt:lpstr>MAPPING!SD_4270x1_4371x1_4558x42_9_B_0</vt:lpstr>
      <vt:lpstr>MAPPING!SD_4270x1_4371x1_4558x42_9005x1_100_B_0</vt:lpstr>
      <vt:lpstr>MAPPING!SD_4270x1_4371x1_4558x42_9005x1_250_B_1</vt:lpstr>
      <vt:lpstr>MAPPING!SD_4270x1_4371x1_4558x42_9005x1_251_B_0</vt:lpstr>
      <vt:lpstr>MAPPING!SD_4270x1_4371x1_4558x42_9005x1_252_B_0</vt:lpstr>
      <vt:lpstr>MAPPING!SD_4270x1_4371x1_4558x42_9005x1_253_B_0</vt:lpstr>
      <vt:lpstr>MAPPING!SD_4270x1_4371x1_4558x42_9005x1_254_B_0</vt:lpstr>
      <vt:lpstr>MAPPING!SD_4270x1_4371x1_4558x42_9005x1_255_B_0</vt:lpstr>
      <vt:lpstr>MAPPING!SD_4270x1_4371x1_4558x43_10_B_0</vt:lpstr>
      <vt:lpstr>MAPPING!SD_4270x1_4371x1_4558x43_11_B_0</vt:lpstr>
      <vt:lpstr>MAPPING!SD_4270x1_4371x1_4558x43_12_B_0</vt:lpstr>
      <vt:lpstr>MAPPING!SD_4270x1_4371x1_4558x43_25_B_0</vt:lpstr>
      <vt:lpstr>MAPPING!SD_4270x1_4371x1_4558x43_38_B_0</vt:lpstr>
      <vt:lpstr>MAPPING!SD_4270x1_4371x1_4558x43_43_B_0</vt:lpstr>
      <vt:lpstr>MAPPING!SD_4270x1_4371x1_4558x43_6_B_1</vt:lpstr>
      <vt:lpstr>MAPPING!SD_4270x1_4371x1_4558x43_7_B_0</vt:lpstr>
      <vt:lpstr>MAPPING!SD_4270x1_4371x1_4558x43_9_B_0</vt:lpstr>
      <vt:lpstr>MAPPING!SD_4270x1_4371x1_4558x43_9005x1_100_B_0</vt:lpstr>
      <vt:lpstr>MAPPING!SD_4270x1_4371x1_4558x43_9005x1_250_B_1</vt:lpstr>
      <vt:lpstr>MAPPING!SD_4270x1_4371x1_4558x43_9005x1_251_B_0</vt:lpstr>
      <vt:lpstr>MAPPING!SD_4270x1_4371x1_4558x43_9005x1_252_B_0</vt:lpstr>
      <vt:lpstr>MAPPING!SD_4270x1_4371x1_4558x43_9005x1_253_B_0</vt:lpstr>
      <vt:lpstr>MAPPING!SD_4270x1_4371x1_4558x43_9005x1_254_B_0</vt:lpstr>
      <vt:lpstr>MAPPING!SD_4270x1_4371x1_4558x43_9005x1_255_B_0</vt:lpstr>
      <vt:lpstr>MAPPING!SD_4270x1_4371x1_4558x44_10_B_0</vt:lpstr>
      <vt:lpstr>MAPPING!SD_4270x1_4371x1_4558x44_11_B_0</vt:lpstr>
      <vt:lpstr>MAPPING!SD_4270x1_4371x1_4558x44_12_B_0</vt:lpstr>
      <vt:lpstr>MAPPING!SD_4270x1_4371x1_4558x44_25_B_0</vt:lpstr>
      <vt:lpstr>MAPPING!SD_4270x1_4371x1_4558x44_38_B_0</vt:lpstr>
      <vt:lpstr>MAPPING!SD_4270x1_4371x1_4558x44_43_B_0</vt:lpstr>
      <vt:lpstr>MAPPING!SD_4270x1_4371x1_4558x44_6_B_1</vt:lpstr>
      <vt:lpstr>MAPPING!SD_4270x1_4371x1_4558x44_7_B_0</vt:lpstr>
      <vt:lpstr>MAPPING!SD_4270x1_4371x1_4558x44_9_B_0</vt:lpstr>
      <vt:lpstr>MAPPING!SD_4270x1_4371x1_4558x44_9005x1_100_B_0</vt:lpstr>
      <vt:lpstr>MAPPING!SD_4270x1_4371x1_4558x44_9005x1_250_B_1</vt:lpstr>
      <vt:lpstr>MAPPING!SD_4270x1_4371x1_4558x44_9005x1_251_B_0</vt:lpstr>
      <vt:lpstr>MAPPING!SD_4270x1_4371x1_4558x44_9005x1_252_B_0</vt:lpstr>
      <vt:lpstr>MAPPING!SD_4270x1_4371x1_4558x44_9005x1_253_B_0</vt:lpstr>
      <vt:lpstr>MAPPING!SD_4270x1_4371x1_4558x44_9005x1_254_B_0</vt:lpstr>
      <vt:lpstr>MAPPING!SD_4270x1_4371x1_4558x44_9005x1_255_B_0</vt:lpstr>
      <vt:lpstr>MAPPING!SD_4270x1_4371x1_4558x45_10_B_0</vt:lpstr>
      <vt:lpstr>MAPPING!SD_4270x1_4371x1_4558x45_11_B_0</vt:lpstr>
      <vt:lpstr>MAPPING!SD_4270x1_4371x1_4558x45_12_B_0</vt:lpstr>
      <vt:lpstr>MAPPING!SD_4270x1_4371x1_4558x45_25_B_0</vt:lpstr>
      <vt:lpstr>MAPPING!SD_4270x1_4371x1_4558x45_38_B_0</vt:lpstr>
      <vt:lpstr>MAPPING!SD_4270x1_4371x1_4558x45_43_B_0</vt:lpstr>
      <vt:lpstr>MAPPING!SD_4270x1_4371x1_4558x45_6_B_1</vt:lpstr>
      <vt:lpstr>MAPPING!SD_4270x1_4371x1_4558x45_7_B_0</vt:lpstr>
      <vt:lpstr>MAPPING!SD_4270x1_4371x1_4558x45_9_B_0</vt:lpstr>
      <vt:lpstr>MAPPING!SD_4270x1_4371x1_4558x45_9005x1_100_B_0</vt:lpstr>
      <vt:lpstr>MAPPING!SD_4270x1_4371x1_4558x45_9005x1_250_B_1</vt:lpstr>
      <vt:lpstr>MAPPING!SD_4270x1_4371x1_4558x45_9005x1_251_B_0</vt:lpstr>
      <vt:lpstr>MAPPING!SD_4270x1_4371x1_4558x45_9005x1_252_B_0</vt:lpstr>
      <vt:lpstr>MAPPING!SD_4270x1_4371x1_4558x45_9005x1_253_B_0</vt:lpstr>
      <vt:lpstr>MAPPING!SD_4270x1_4371x1_4558x45_9005x1_254_B_0</vt:lpstr>
      <vt:lpstr>MAPPING!SD_4270x1_4371x1_4558x45_9005x1_255_B_0</vt:lpstr>
      <vt:lpstr>MAPPING!SD_4270x1_4371x1_4558x46_10_B_0</vt:lpstr>
      <vt:lpstr>MAPPING!SD_4270x1_4371x1_4558x46_11_B_0</vt:lpstr>
      <vt:lpstr>MAPPING!SD_4270x1_4371x1_4558x46_12_B_0</vt:lpstr>
      <vt:lpstr>MAPPING!SD_4270x1_4371x1_4558x46_25_B_0</vt:lpstr>
      <vt:lpstr>MAPPING!SD_4270x1_4371x1_4558x46_38_B_0</vt:lpstr>
      <vt:lpstr>MAPPING!SD_4270x1_4371x1_4558x46_43_B_0</vt:lpstr>
      <vt:lpstr>MAPPING!SD_4270x1_4371x1_4558x46_6_B_1</vt:lpstr>
      <vt:lpstr>MAPPING!SD_4270x1_4371x1_4558x46_7_B_0</vt:lpstr>
      <vt:lpstr>MAPPING!SD_4270x1_4371x1_4558x46_9_B_0</vt:lpstr>
      <vt:lpstr>MAPPING!SD_4270x1_4371x1_4558x46_9005x1_100_B_0</vt:lpstr>
      <vt:lpstr>MAPPING!SD_4270x1_4371x1_4558x46_9005x1_250_B_1</vt:lpstr>
      <vt:lpstr>MAPPING!SD_4270x1_4371x1_4558x46_9005x1_251_B_0</vt:lpstr>
      <vt:lpstr>MAPPING!SD_4270x1_4371x1_4558x46_9005x1_252_B_0</vt:lpstr>
      <vt:lpstr>MAPPING!SD_4270x1_4371x1_4558x46_9005x1_253_B_0</vt:lpstr>
      <vt:lpstr>MAPPING!SD_4270x1_4371x1_4558x46_9005x1_254_B_0</vt:lpstr>
      <vt:lpstr>MAPPING!SD_4270x1_4371x1_4558x46_9005x1_255_B_0</vt:lpstr>
      <vt:lpstr>MAPPING!SD_4270x1_4371x1_4558x47_10_B_0</vt:lpstr>
      <vt:lpstr>MAPPING!SD_4270x1_4371x1_4558x47_11_B_0</vt:lpstr>
      <vt:lpstr>MAPPING!SD_4270x1_4371x1_4558x47_12_B_0</vt:lpstr>
      <vt:lpstr>MAPPING!SD_4270x1_4371x1_4558x47_25_B_0</vt:lpstr>
      <vt:lpstr>MAPPING!SD_4270x1_4371x1_4558x47_38_B_0</vt:lpstr>
      <vt:lpstr>MAPPING!SD_4270x1_4371x1_4558x47_43_B_0</vt:lpstr>
      <vt:lpstr>MAPPING!SD_4270x1_4371x1_4558x47_6_B_1</vt:lpstr>
      <vt:lpstr>MAPPING!SD_4270x1_4371x1_4558x47_7_B_0</vt:lpstr>
      <vt:lpstr>MAPPING!SD_4270x1_4371x1_4558x47_9_B_0</vt:lpstr>
      <vt:lpstr>MAPPING!SD_4270x1_4371x1_4558x47_9005x1_100_B_0</vt:lpstr>
      <vt:lpstr>MAPPING!SD_4270x1_4371x1_4558x47_9005x1_250_B_1</vt:lpstr>
      <vt:lpstr>MAPPING!SD_4270x1_4371x1_4558x47_9005x1_251_B_0</vt:lpstr>
      <vt:lpstr>MAPPING!SD_4270x1_4371x1_4558x47_9005x1_252_B_0</vt:lpstr>
      <vt:lpstr>MAPPING!SD_4270x1_4371x1_4558x47_9005x1_253_B_0</vt:lpstr>
      <vt:lpstr>MAPPING!SD_4270x1_4371x1_4558x47_9005x1_254_B_0</vt:lpstr>
      <vt:lpstr>MAPPING!SD_4270x1_4371x1_4558x47_9005x1_255_B_0</vt:lpstr>
      <vt:lpstr>MAPPING!SD_4270x1_4371x1_4558x48_10_B_0</vt:lpstr>
      <vt:lpstr>MAPPING!SD_4270x1_4371x1_4558x48_11_B_0</vt:lpstr>
      <vt:lpstr>MAPPING!SD_4270x1_4371x1_4558x48_12_B_0</vt:lpstr>
      <vt:lpstr>MAPPING!SD_4270x1_4371x1_4558x48_25_B_0</vt:lpstr>
      <vt:lpstr>MAPPING!SD_4270x1_4371x1_4558x48_38_B_0</vt:lpstr>
      <vt:lpstr>MAPPING!SD_4270x1_4371x1_4558x48_43_B_0</vt:lpstr>
      <vt:lpstr>MAPPING!SD_4270x1_4371x1_4558x48_6_B_1</vt:lpstr>
      <vt:lpstr>MAPPING!SD_4270x1_4371x1_4558x48_7_B_0</vt:lpstr>
      <vt:lpstr>MAPPING!SD_4270x1_4371x1_4558x48_9_B_0</vt:lpstr>
      <vt:lpstr>MAPPING!SD_4270x1_4371x1_4558x48_9005x1_100_B_0</vt:lpstr>
      <vt:lpstr>MAPPING!SD_4270x1_4371x1_4558x48_9005x1_250_B_1</vt:lpstr>
      <vt:lpstr>MAPPING!SD_4270x1_4371x1_4558x48_9005x1_251_B_0</vt:lpstr>
      <vt:lpstr>MAPPING!SD_4270x1_4371x1_4558x48_9005x1_252_B_0</vt:lpstr>
      <vt:lpstr>MAPPING!SD_4270x1_4371x1_4558x48_9005x1_253_B_0</vt:lpstr>
      <vt:lpstr>MAPPING!SD_4270x1_4371x1_4558x48_9005x1_254_B_0</vt:lpstr>
      <vt:lpstr>MAPPING!SD_4270x1_4371x1_4558x48_9005x1_255_B_0</vt:lpstr>
      <vt:lpstr>MAPPING!SD_4270x1_4371x1_4558x49_10_B_0</vt:lpstr>
      <vt:lpstr>MAPPING!SD_4270x1_4371x1_4558x49_11_B_0</vt:lpstr>
      <vt:lpstr>MAPPING!SD_4270x1_4371x1_4558x49_12_B_0</vt:lpstr>
      <vt:lpstr>MAPPING!SD_4270x1_4371x1_4558x49_25_B_0</vt:lpstr>
      <vt:lpstr>MAPPING!SD_4270x1_4371x1_4558x49_38_B_0</vt:lpstr>
      <vt:lpstr>MAPPING!SD_4270x1_4371x1_4558x49_43_B_0</vt:lpstr>
      <vt:lpstr>MAPPING!SD_4270x1_4371x1_4558x49_6_B_1</vt:lpstr>
      <vt:lpstr>MAPPING!SD_4270x1_4371x1_4558x49_7_B_0</vt:lpstr>
      <vt:lpstr>MAPPING!SD_4270x1_4371x1_4558x49_9_B_0</vt:lpstr>
      <vt:lpstr>MAPPING!SD_4270x1_4371x1_4558x49_9005x1_100_B_0</vt:lpstr>
      <vt:lpstr>MAPPING!SD_4270x1_4371x1_4558x49_9005x1_250_B_1</vt:lpstr>
      <vt:lpstr>MAPPING!SD_4270x1_4371x1_4558x49_9005x1_251_B_0</vt:lpstr>
      <vt:lpstr>MAPPING!SD_4270x1_4371x1_4558x49_9005x1_252_B_0</vt:lpstr>
      <vt:lpstr>MAPPING!SD_4270x1_4371x1_4558x49_9005x1_253_B_0</vt:lpstr>
      <vt:lpstr>MAPPING!SD_4270x1_4371x1_4558x49_9005x1_254_B_0</vt:lpstr>
      <vt:lpstr>MAPPING!SD_4270x1_4371x1_4558x49_9005x1_255_B_0</vt:lpstr>
      <vt:lpstr>MAPPING!SD_4270x1_4371x1_4558x5_10_B_0</vt:lpstr>
      <vt:lpstr>MAPPING!SD_4270x1_4371x1_4558x5_11_B_0</vt:lpstr>
      <vt:lpstr>MAPPING!SD_4270x1_4371x1_4558x5_12_B_0</vt:lpstr>
      <vt:lpstr>MAPPING!SD_4270x1_4371x1_4558x5_25_B_0</vt:lpstr>
      <vt:lpstr>MAPPING!SD_4270x1_4371x1_4558x5_38_B_0</vt:lpstr>
      <vt:lpstr>MAPPING!SD_4270x1_4371x1_4558x5_43_B_0</vt:lpstr>
      <vt:lpstr>MAPPING!SD_4270x1_4371x1_4558x5_6_B_1</vt:lpstr>
      <vt:lpstr>MAPPING!SD_4270x1_4371x1_4558x5_7_B_0</vt:lpstr>
      <vt:lpstr>MAPPING!SD_4270x1_4371x1_4558x5_9_B_0</vt:lpstr>
      <vt:lpstr>MAPPING!SD_4270x1_4371x1_4558x5_9005x1_100_B_0</vt:lpstr>
      <vt:lpstr>MAPPING!SD_4270x1_4371x1_4558x5_9005x1_250_B_1</vt:lpstr>
      <vt:lpstr>MAPPING!SD_4270x1_4371x1_4558x5_9005x1_251_B_0</vt:lpstr>
      <vt:lpstr>MAPPING!SD_4270x1_4371x1_4558x5_9005x1_252_B_0</vt:lpstr>
      <vt:lpstr>MAPPING!SD_4270x1_4371x1_4558x5_9005x1_253_B_0</vt:lpstr>
      <vt:lpstr>MAPPING!SD_4270x1_4371x1_4558x5_9005x1_254_B_0</vt:lpstr>
      <vt:lpstr>MAPPING!SD_4270x1_4371x1_4558x5_9005x1_255_B_0</vt:lpstr>
      <vt:lpstr>MAPPING!SD_4270x1_4371x1_4558x50_10_B_0</vt:lpstr>
      <vt:lpstr>MAPPING!SD_4270x1_4371x1_4558x50_11_B_0</vt:lpstr>
      <vt:lpstr>MAPPING!SD_4270x1_4371x1_4558x50_12_B_0</vt:lpstr>
      <vt:lpstr>MAPPING!SD_4270x1_4371x1_4558x50_25_B_0</vt:lpstr>
      <vt:lpstr>MAPPING!SD_4270x1_4371x1_4558x50_38_B_0</vt:lpstr>
      <vt:lpstr>MAPPING!SD_4270x1_4371x1_4558x50_43_B_0</vt:lpstr>
      <vt:lpstr>MAPPING!SD_4270x1_4371x1_4558x50_6_B_1</vt:lpstr>
      <vt:lpstr>MAPPING!SD_4270x1_4371x1_4558x50_7_B_0</vt:lpstr>
      <vt:lpstr>MAPPING!SD_4270x1_4371x1_4558x50_9_B_0</vt:lpstr>
      <vt:lpstr>MAPPING!SD_4270x1_4371x1_4558x50_9005x1_100_B_0</vt:lpstr>
      <vt:lpstr>MAPPING!SD_4270x1_4371x1_4558x50_9005x1_250_B_1</vt:lpstr>
      <vt:lpstr>MAPPING!SD_4270x1_4371x1_4558x50_9005x1_251_B_0</vt:lpstr>
      <vt:lpstr>MAPPING!SD_4270x1_4371x1_4558x50_9005x1_252_B_0</vt:lpstr>
      <vt:lpstr>MAPPING!SD_4270x1_4371x1_4558x50_9005x1_253_B_0</vt:lpstr>
      <vt:lpstr>MAPPING!SD_4270x1_4371x1_4558x50_9005x1_254_B_0</vt:lpstr>
      <vt:lpstr>MAPPING!SD_4270x1_4371x1_4558x50_9005x1_255_B_0</vt:lpstr>
      <vt:lpstr>MAPPING!SD_4270x1_4371x1_4558x51_10_B_0</vt:lpstr>
      <vt:lpstr>MAPPING!SD_4270x1_4371x1_4558x51_11_B_0</vt:lpstr>
      <vt:lpstr>MAPPING!SD_4270x1_4371x1_4558x51_12_B_0</vt:lpstr>
      <vt:lpstr>MAPPING!SD_4270x1_4371x1_4558x51_25_B_0</vt:lpstr>
      <vt:lpstr>MAPPING!SD_4270x1_4371x1_4558x51_38_B_0</vt:lpstr>
      <vt:lpstr>MAPPING!SD_4270x1_4371x1_4558x51_43_B_0</vt:lpstr>
      <vt:lpstr>MAPPING!SD_4270x1_4371x1_4558x51_6_B_1</vt:lpstr>
      <vt:lpstr>MAPPING!SD_4270x1_4371x1_4558x51_7_B_0</vt:lpstr>
      <vt:lpstr>MAPPING!SD_4270x1_4371x1_4558x51_9_B_0</vt:lpstr>
      <vt:lpstr>MAPPING!SD_4270x1_4371x1_4558x51_9005x1_100_B_0</vt:lpstr>
      <vt:lpstr>MAPPING!SD_4270x1_4371x1_4558x51_9005x1_250_B_1</vt:lpstr>
      <vt:lpstr>MAPPING!SD_4270x1_4371x1_4558x51_9005x1_251_B_0</vt:lpstr>
      <vt:lpstr>MAPPING!SD_4270x1_4371x1_4558x51_9005x1_252_B_0</vt:lpstr>
      <vt:lpstr>MAPPING!SD_4270x1_4371x1_4558x51_9005x1_253_B_0</vt:lpstr>
      <vt:lpstr>MAPPING!SD_4270x1_4371x1_4558x51_9005x1_254_B_0</vt:lpstr>
      <vt:lpstr>MAPPING!SD_4270x1_4371x1_4558x51_9005x1_255_B_0</vt:lpstr>
      <vt:lpstr>MAPPING!SD_4270x1_4371x1_4558x52_10_B_0</vt:lpstr>
      <vt:lpstr>MAPPING!SD_4270x1_4371x1_4558x52_11_B_0</vt:lpstr>
      <vt:lpstr>MAPPING!SD_4270x1_4371x1_4558x52_12_B_0</vt:lpstr>
      <vt:lpstr>MAPPING!SD_4270x1_4371x1_4558x52_25_B_0</vt:lpstr>
      <vt:lpstr>MAPPING!SD_4270x1_4371x1_4558x52_38_B_0</vt:lpstr>
      <vt:lpstr>MAPPING!SD_4270x1_4371x1_4558x52_43_B_0</vt:lpstr>
      <vt:lpstr>MAPPING!SD_4270x1_4371x1_4558x52_6_B_1</vt:lpstr>
      <vt:lpstr>MAPPING!SD_4270x1_4371x1_4558x52_7_B_0</vt:lpstr>
      <vt:lpstr>MAPPING!SD_4270x1_4371x1_4558x52_9_B_0</vt:lpstr>
      <vt:lpstr>MAPPING!SD_4270x1_4371x1_4558x52_9005x1_100_B_0</vt:lpstr>
      <vt:lpstr>MAPPING!SD_4270x1_4371x1_4558x52_9005x1_250_B_1</vt:lpstr>
      <vt:lpstr>MAPPING!SD_4270x1_4371x1_4558x52_9005x1_251_B_0</vt:lpstr>
      <vt:lpstr>MAPPING!SD_4270x1_4371x1_4558x52_9005x1_252_B_0</vt:lpstr>
      <vt:lpstr>MAPPING!SD_4270x1_4371x1_4558x52_9005x1_253_B_0</vt:lpstr>
      <vt:lpstr>MAPPING!SD_4270x1_4371x1_4558x52_9005x1_254_B_0</vt:lpstr>
      <vt:lpstr>MAPPING!SD_4270x1_4371x1_4558x52_9005x1_255_B_0</vt:lpstr>
      <vt:lpstr>MAPPING!SD_4270x1_4371x1_4558x53_10_B_0</vt:lpstr>
      <vt:lpstr>MAPPING!SD_4270x1_4371x1_4558x53_11_B_0</vt:lpstr>
      <vt:lpstr>MAPPING!SD_4270x1_4371x1_4558x53_12_B_0</vt:lpstr>
      <vt:lpstr>MAPPING!SD_4270x1_4371x1_4558x53_25_B_0</vt:lpstr>
      <vt:lpstr>MAPPING!SD_4270x1_4371x1_4558x53_38_B_0</vt:lpstr>
      <vt:lpstr>MAPPING!SD_4270x1_4371x1_4558x53_43_B_0</vt:lpstr>
      <vt:lpstr>MAPPING!SD_4270x1_4371x1_4558x53_6_B_1</vt:lpstr>
      <vt:lpstr>MAPPING!SD_4270x1_4371x1_4558x53_7_B_0</vt:lpstr>
      <vt:lpstr>MAPPING!SD_4270x1_4371x1_4558x53_9_B_0</vt:lpstr>
      <vt:lpstr>MAPPING!SD_4270x1_4371x1_4558x53_9005x1_100_B_0</vt:lpstr>
      <vt:lpstr>MAPPING!SD_4270x1_4371x1_4558x53_9005x1_250_B_1</vt:lpstr>
      <vt:lpstr>MAPPING!SD_4270x1_4371x1_4558x53_9005x1_251_B_0</vt:lpstr>
      <vt:lpstr>MAPPING!SD_4270x1_4371x1_4558x53_9005x1_252_B_0</vt:lpstr>
      <vt:lpstr>MAPPING!SD_4270x1_4371x1_4558x53_9005x1_253_B_0</vt:lpstr>
      <vt:lpstr>MAPPING!SD_4270x1_4371x1_4558x53_9005x1_254_B_0</vt:lpstr>
      <vt:lpstr>MAPPING!SD_4270x1_4371x1_4558x53_9005x1_255_B_0</vt:lpstr>
      <vt:lpstr>MAPPING!SD_4270x1_4371x1_4558x54_10_B_0</vt:lpstr>
      <vt:lpstr>MAPPING!SD_4270x1_4371x1_4558x54_11_B_0</vt:lpstr>
      <vt:lpstr>MAPPING!SD_4270x1_4371x1_4558x54_12_B_0</vt:lpstr>
      <vt:lpstr>MAPPING!SD_4270x1_4371x1_4558x54_25_B_0</vt:lpstr>
      <vt:lpstr>MAPPING!SD_4270x1_4371x1_4558x54_38_B_0</vt:lpstr>
      <vt:lpstr>MAPPING!SD_4270x1_4371x1_4558x54_43_B_0</vt:lpstr>
      <vt:lpstr>MAPPING!SD_4270x1_4371x1_4558x54_6_B_1</vt:lpstr>
      <vt:lpstr>MAPPING!SD_4270x1_4371x1_4558x54_7_B_0</vt:lpstr>
      <vt:lpstr>MAPPING!SD_4270x1_4371x1_4558x54_9_B_0</vt:lpstr>
      <vt:lpstr>MAPPING!SD_4270x1_4371x1_4558x54_9005x1_100_B_0</vt:lpstr>
      <vt:lpstr>MAPPING!SD_4270x1_4371x1_4558x54_9005x1_250_B_1</vt:lpstr>
      <vt:lpstr>MAPPING!SD_4270x1_4371x1_4558x54_9005x1_251_B_0</vt:lpstr>
      <vt:lpstr>MAPPING!SD_4270x1_4371x1_4558x54_9005x1_252_B_0</vt:lpstr>
      <vt:lpstr>MAPPING!SD_4270x1_4371x1_4558x54_9005x1_253_B_0</vt:lpstr>
      <vt:lpstr>MAPPING!SD_4270x1_4371x1_4558x54_9005x1_254_B_0</vt:lpstr>
      <vt:lpstr>MAPPING!SD_4270x1_4371x1_4558x54_9005x1_255_B_0</vt:lpstr>
      <vt:lpstr>MAPPING!SD_4270x1_4371x1_4558x55_10_B_0</vt:lpstr>
      <vt:lpstr>MAPPING!SD_4270x1_4371x1_4558x55_11_B_0</vt:lpstr>
      <vt:lpstr>MAPPING!SD_4270x1_4371x1_4558x55_12_B_0</vt:lpstr>
      <vt:lpstr>MAPPING!SD_4270x1_4371x1_4558x55_25_B_0</vt:lpstr>
      <vt:lpstr>MAPPING!SD_4270x1_4371x1_4558x55_38_B_0</vt:lpstr>
      <vt:lpstr>MAPPING!SD_4270x1_4371x1_4558x55_43_B_0</vt:lpstr>
      <vt:lpstr>MAPPING!SD_4270x1_4371x1_4558x55_6_B_1</vt:lpstr>
      <vt:lpstr>MAPPING!SD_4270x1_4371x1_4558x55_7_B_0</vt:lpstr>
      <vt:lpstr>MAPPING!SD_4270x1_4371x1_4558x55_9_B_0</vt:lpstr>
      <vt:lpstr>MAPPING!SD_4270x1_4371x1_4558x55_9005x1_100_B_0</vt:lpstr>
      <vt:lpstr>MAPPING!SD_4270x1_4371x1_4558x55_9005x1_250_B_1</vt:lpstr>
      <vt:lpstr>MAPPING!SD_4270x1_4371x1_4558x55_9005x1_251_B_0</vt:lpstr>
      <vt:lpstr>MAPPING!SD_4270x1_4371x1_4558x55_9005x1_252_B_0</vt:lpstr>
      <vt:lpstr>MAPPING!SD_4270x1_4371x1_4558x55_9005x1_253_B_0</vt:lpstr>
      <vt:lpstr>MAPPING!SD_4270x1_4371x1_4558x55_9005x1_254_B_0</vt:lpstr>
      <vt:lpstr>MAPPING!SD_4270x1_4371x1_4558x55_9005x1_255_B_0</vt:lpstr>
      <vt:lpstr>MAPPING!SD_4270x1_4371x1_4558x56_10_B_0</vt:lpstr>
      <vt:lpstr>MAPPING!SD_4270x1_4371x1_4558x56_11_B_0</vt:lpstr>
      <vt:lpstr>MAPPING!SD_4270x1_4371x1_4558x56_12_B_0</vt:lpstr>
      <vt:lpstr>MAPPING!SD_4270x1_4371x1_4558x56_25_B_0</vt:lpstr>
      <vt:lpstr>MAPPING!SD_4270x1_4371x1_4558x56_38_B_0</vt:lpstr>
      <vt:lpstr>MAPPING!SD_4270x1_4371x1_4558x56_43_B_0</vt:lpstr>
      <vt:lpstr>MAPPING!SD_4270x1_4371x1_4558x56_6_B_1</vt:lpstr>
      <vt:lpstr>MAPPING!SD_4270x1_4371x1_4558x56_7_B_0</vt:lpstr>
      <vt:lpstr>MAPPING!SD_4270x1_4371x1_4558x56_9_B_0</vt:lpstr>
      <vt:lpstr>MAPPING!SD_4270x1_4371x1_4558x56_9005x1_100_B_0</vt:lpstr>
      <vt:lpstr>MAPPING!SD_4270x1_4371x1_4558x56_9005x1_250_B_1</vt:lpstr>
      <vt:lpstr>MAPPING!SD_4270x1_4371x1_4558x56_9005x1_251_B_0</vt:lpstr>
      <vt:lpstr>MAPPING!SD_4270x1_4371x1_4558x56_9005x1_252_B_0</vt:lpstr>
      <vt:lpstr>MAPPING!SD_4270x1_4371x1_4558x56_9005x1_253_B_0</vt:lpstr>
      <vt:lpstr>MAPPING!SD_4270x1_4371x1_4558x56_9005x1_254_B_0</vt:lpstr>
      <vt:lpstr>MAPPING!SD_4270x1_4371x1_4558x56_9005x1_255_B_0</vt:lpstr>
      <vt:lpstr>MAPPING!SD_4270x1_4371x1_4558x57_10_B_0</vt:lpstr>
      <vt:lpstr>MAPPING!SD_4270x1_4371x1_4558x57_11_B_0</vt:lpstr>
      <vt:lpstr>MAPPING!SD_4270x1_4371x1_4558x57_12_B_0</vt:lpstr>
      <vt:lpstr>MAPPING!SD_4270x1_4371x1_4558x57_25_B_0</vt:lpstr>
      <vt:lpstr>MAPPING!SD_4270x1_4371x1_4558x57_38_B_0</vt:lpstr>
      <vt:lpstr>MAPPING!SD_4270x1_4371x1_4558x57_43_B_0</vt:lpstr>
      <vt:lpstr>MAPPING!SD_4270x1_4371x1_4558x57_6_B_1</vt:lpstr>
      <vt:lpstr>MAPPING!SD_4270x1_4371x1_4558x57_7_B_0</vt:lpstr>
      <vt:lpstr>MAPPING!SD_4270x1_4371x1_4558x57_9_B_0</vt:lpstr>
      <vt:lpstr>MAPPING!SD_4270x1_4371x1_4558x57_9005x1_100_B_0</vt:lpstr>
      <vt:lpstr>MAPPING!SD_4270x1_4371x1_4558x57_9005x1_250_B_1</vt:lpstr>
      <vt:lpstr>MAPPING!SD_4270x1_4371x1_4558x57_9005x1_251_B_0</vt:lpstr>
      <vt:lpstr>MAPPING!SD_4270x1_4371x1_4558x57_9005x1_252_B_0</vt:lpstr>
      <vt:lpstr>MAPPING!SD_4270x1_4371x1_4558x57_9005x1_253_B_0</vt:lpstr>
      <vt:lpstr>MAPPING!SD_4270x1_4371x1_4558x57_9005x1_254_B_0</vt:lpstr>
      <vt:lpstr>MAPPING!SD_4270x1_4371x1_4558x57_9005x1_255_B_0</vt:lpstr>
      <vt:lpstr>MAPPING!SD_4270x1_4371x1_4558x58_10_B_0</vt:lpstr>
      <vt:lpstr>MAPPING!SD_4270x1_4371x1_4558x58_11_B_0</vt:lpstr>
      <vt:lpstr>MAPPING!SD_4270x1_4371x1_4558x58_12_B_0</vt:lpstr>
      <vt:lpstr>MAPPING!SD_4270x1_4371x1_4558x58_25_B_0</vt:lpstr>
      <vt:lpstr>MAPPING!SD_4270x1_4371x1_4558x58_38_B_0</vt:lpstr>
      <vt:lpstr>MAPPING!SD_4270x1_4371x1_4558x58_43_B_0</vt:lpstr>
      <vt:lpstr>MAPPING!SD_4270x1_4371x1_4558x58_6_B_1</vt:lpstr>
      <vt:lpstr>MAPPING!SD_4270x1_4371x1_4558x58_7_B_0</vt:lpstr>
      <vt:lpstr>MAPPING!SD_4270x1_4371x1_4558x58_9_B_0</vt:lpstr>
      <vt:lpstr>MAPPING!SD_4270x1_4371x1_4558x58_9005x1_100_B_0</vt:lpstr>
      <vt:lpstr>MAPPING!SD_4270x1_4371x1_4558x58_9005x1_250_B_1</vt:lpstr>
      <vt:lpstr>MAPPING!SD_4270x1_4371x1_4558x58_9005x1_251_B_0</vt:lpstr>
      <vt:lpstr>MAPPING!SD_4270x1_4371x1_4558x58_9005x1_252_B_0</vt:lpstr>
      <vt:lpstr>MAPPING!SD_4270x1_4371x1_4558x58_9005x1_253_B_0</vt:lpstr>
      <vt:lpstr>MAPPING!SD_4270x1_4371x1_4558x58_9005x1_254_B_0</vt:lpstr>
      <vt:lpstr>MAPPING!SD_4270x1_4371x1_4558x58_9005x1_255_B_0</vt:lpstr>
      <vt:lpstr>MAPPING!SD_4270x1_4371x1_4558x59_10_B_0</vt:lpstr>
      <vt:lpstr>MAPPING!SD_4270x1_4371x1_4558x59_11_B_0</vt:lpstr>
      <vt:lpstr>MAPPING!SD_4270x1_4371x1_4558x59_12_B_0</vt:lpstr>
      <vt:lpstr>MAPPING!SD_4270x1_4371x1_4558x59_25_B_0</vt:lpstr>
      <vt:lpstr>MAPPING!SD_4270x1_4371x1_4558x59_38_B_0</vt:lpstr>
      <vt:lpstr>MAPPING!SD_4270x1_4371x1_4558x59_43_B_0</vt:lpstr>
      <vt:lpstr>MAPPING!SD_4270x1_4371x1_4558x59_6_B_1</vt:lpstr>
      <vt:lpstr>MAPPING!SD_4270x1_4371x1_4558x59_7_B_0</vt:lpstr>
      <vt:lpstr>MAPPING!SD_4270x1_4371x1_4558x59_9_B_0</vt:lpstr>
      <vt:lpstr>MAPPING!SD_4270x1_4371x1_4558x59_9005x1_100_B_0</vt:lpstr>
      <vt:lpstr>MAPPING!SD_4270x1_4371x1_4558x59_9005x1_250_B_1</vt:lpstr>
      <vt:lpstr>MAPPING!SD_4270x1_4371x1_4558x59_9005x1_251_B_0</vt:lpstr>
      <vt:lpstr>MAPPING!SD_4270x1_4371x1_4558x59_9005x1_252_B_0</vt:lpstr>
      <vt:lpstr>MAPPING!SD_4270x1_4371x1_4558x59_9005x1_253_B_0</vt:lpstr>
      <vt:lpstr>MAPPING!SD_4270x1_4371x1_4558x59_9005x1_254_B_0</vt:lpstr>
      <vt:lpstr>MAPPING!SD_4270x1_4371x1_4558x59_9005x1_255_B_0</vt:lpstr>
      <vt:lpstr>MAPPING!SD_4270x1_4371x1_4558x6_10_B_0</vt:lpstr>
      <vt:lpstr>MAPPING!SD_4270x1_4371x1_4558x6_11_B_0</vt:lpstr>
      <vt:lpstr>MAPPING!SD_4270x1_4371x1_4558x6_12_B_0</vt:lpstr>
      <vt:lpstr>MAPPING!SD_4270x1_4371x1_4558x6_25_B_0</vt:lpstr>
      <vt:lpstr>MAPPING!SD_4270x1_4371x1_4558x6_38_B_0</vt:lpstr>
      <vt:lpstr>MAPPING!SD_4270x1_4371x1_4558x6_43_B_0</vt:lpstr>
      <vt:lpstr>MAPPING!SD_4270x1_4371x1_4558x6_6_B_1</vt:lpstr>
      <vt:lpstr>MAPPING!SD_4270x1_4371x1_4558x6_7_B_0</vt:lpstr>
      <vt:lpstr>MAPPING!SD_4270x1_4371x1_4558x6_9_B_0</vt:lpstr>
      <vt:lpstr>MAPPING!SD_4270x1_4371x1_4558x6_9005x1_100_B_0</vt:lpstr>
      <vt:lpstr>MAPPING!SD_4270x1_4371x1_4558x6_9005x1_250_B_1</vt:lpstr>
      <vt:lpstr>MAPPING!SD_4270x1_4371x1_4558x6_9005x1_251_B_0</vt:lpstr>
      <vt:lpstr>MAPPING!SD_4270x1_4371x1_4558x6_9005x1_252_B_0</vt:lpstr>
      <vt:lpstr>MAPPING!SD_4270x1_4371x1_4558x6_9005x1_253_B_0</vt:lpstr>
      <vt:lpstr>MAPPING!SD_4270x1_4371x1_4558x6_9005x1_254_B_0</vt:lpstr>
      <vt:lpstr>MAPPING!SD_4270x1_4371x1_4558x6_9005x1_255_B_0</vt:lpstr>
      <vt:lpstr>MAPPING!SD_4270x1_4371x1_4558x60_10_B_0</vt:lpstr>
      <vt:lpstr>MAPPING!SD_4270x1_4371x1_4558x60_11_B_0</vt:lpstr>
      <vt:lpstr>MAPPING!SD_4270x1_4371x1_4558x60_12_B_0</vt:lpstr>
      <vt:lpstr>MAPPING!SD_4270x1_4371x1_4558x60_25_B_0</vt:lpstr>
      <vt:lpstr>MAPPING!SD_4270x1_4371x1_4558x60_38_B_0</vt:lpstr>
      <vt:lpstr>MAPPING!SD_4270x1_4371x1_4558x60_43_B_0</vt:lpstr>
      <vt:lpstr>MAPPING!SD_4270x1_4371x1_4558x60_6_B_1</vt:lpstr>
      <vt:lpstr>MAPPING!SD_4270x1_4371x1_4558x60_7_B_0</vt:lpstr>
      <vt:lpstr>MAPPING!SD_4270x1_4371x1_4558x60_9_B_0</vt:lpstr>
      <vt:lpstr>MAPPING!SD_4270x1_4371x1_4558x60_9005x1_100_B_0</vt:lpstr>
      <vt:lpstr>MAPPING!SD_4270x1_4371x1_4558x60_9005x1_250_B_1</vt:lpstr>
      <vt:lpstr>MAPPING!SD_4270x1_4371x1_4558x60_9005x1_251_B_0</vt:lpstr>
      <vt:lpstr>MAPPING!SD_4270x1_4371x1_4558x60_9005x1_252_B_0</vt:lpstr>
      <vt:lpstr>MAPPING!SD_4270x1_4371x1_4558x60_9005x1_253_B_0</vt:lpstr>
      <vt:lpstr>MAPPING!SD_4270x1_4371x1_4558x60_9005x1_254_B_0</vt:lpstr>
      <vt:lpstr>MAPPING!SD_4270x1_4371x1_4558x60_9005x1_255_B_0</vt:lpstr>
      <vt:lpstr>MAPPING!SD_4270x1_4371x1_4558x61_10_B_0</vt:lpstr>
      <vt:lpstr>MAPPING!SD_4270x1_4371x1_4558x61_11_B_0</vt:lpstr>
      <vt:lpstr>MAPPING!SD_4270x1_4371x1_4558x61_12_B_0</vt:lpstr>
      <vt:lpstr>MAPPING!SD_4270x1_4371x1_4558x61_25_B_0</vt:lpstr>
      <vt:lpstr>MAPPING!SD_4270x1_4371x1_4558x61_38_B_0</vt:lpstr>
      <vt:lpstr>MAPPING!SD_4270x1_4371x1_4558x61_43_B_0</vt:lpstr>
      <vt:lpstr>MAPPING!SD_4270x1_4371x1_4558x61_6_B_1</vt:lpstr>
      <vt:lpstr>MAPPING!SD_4270x1_4371x1_4558x61_7_B_0</vt:lpstr>
      <vt:lpstr>MAPPING!SD_4270x1_4371x1_4558x61_9_B_0</vt:lpstr>
      <vt:lpstr>MAPPING!SD_4270x1_4371x1_4558x61_9005x1_100_B_0</vt:lpstr>
      <vt:lpstr>MAPPING!SD_4270x1_4371x1_4558x61_9005x1_250_B_1</vt:lpstr>
      <vt:lpstr>MAPPING!SD_4270x1_4371x1_4558x61_9005x1_251_B_0</vt:lpstr>
      <vt:lpstr>MAPPING!SD_4270x1_4371x1_4558x61_9005x1_252_B_0</vt:lpstr>
      <vt:lpstr>MAPPING!SD_4270x1_4371x1_4558x61_9005x1_253_B_0</vt:lpstr>
      <vt:lpstr>MAPPING!SD_4270x1_4371x1_4558x61_9005x1_254_B_0</vt:lpstr>
      <vt:lpstr>MAPPING!SD_4270x1_4371x1_4558x61_9005x1_255_B_0</vt:lpstr>
      <vt:lpstr>MAPPING!SD_4270x1_4371x1_4558x62_10_B_0</vt:lpstr>
      <vt:lpstr>MAPPING!SD_4270x1_4371x1_4558x62_11_B_0</vt:lpstr>
      <vt:lpstr>MAPPING!SD_4270x1_4371x1_4558x62_12_B_0</vt:lpstr>
      <vt:lpstr>MAPPING!SD_4270x1_4371x1_4558x62_25_B_0</vt:lpstr>
      <vt:lpstr>MAPPING!SD_4270x1_4371x1_4558x62_38_B_0</vt:lpstr>
      <vt:lpstr>MAPPING!SD_4270x1_4371x1_4558x62_43_B_0</vt:lpstr>
      <vt:lpstr>MAPPING!SD_4270x1_4371x1_4558x62_6_B_1</vt:lpstr>
      <vt:lpstr>MAPPING!SD_4270x1_4371x1_4558x62_7_B_0</vt:lpstr>
      <vt:lpstr>MAPPING!SD_4270x1_4371x1_4558x62_9_B_0</vt:lpstr>
      <vt:lpstr>MAPPING!SD_4270x1_4371x1_4558x62_9005x1_100_B_0</vt:lpstr>
      <vt:lpstr>MAPPING!SD_4270x1_4371x1_4558x62_9005x1_250_B_1</vt:lpstr>
      <vt:lpstr>MAPPING!SD_4270x1_4371x1_4558x62_9005x1_251_B_0</vt:lpstr>
      <vt:lpstr>MAPPING!SD_4270x1_4371x1_4558x62_9005x1_252_B_0</vt:lpstr>
      <vt:lpstr>MAPPING!SD_4270x1_4371x1_4558x62_9005x1_253_B_0</vt:lpstr>
      <vt:lpstr>MAPPING!SD_4270x1_4371x1_4558x62_9005x1_254_B_0</vt:lpstr>
      <vt:lpstr>MAPPING!SD_4270x1_4371x1_4558x62_9005x1_255_B_0</vt:lpstr>
      <vt:lpstr>MAPPING!SD_4270x1_4371x1_4558x63_10_B_0</vt:lpstr>
      <vt:lpstr>MAPPING!SD_4270x1_4371x1_4558x63_11_B_0</vt:lpstr>
      <vt:lpstr>MAPPING!SD_4270x1_4371x1_4558x63_12_B_0</vt:lpstr>
      <vt:lpstr>MAPPING!SD_4270x1_4371x1_4558x63_25_B_0</vt:lpstr>
      <vt:lpstr>MAPPING!SD_4270x1_4371x1_4558x63_38_B_0</vt:lpstr>
      <vt:lpstr>MAPPING!SD_4270x1_4371x1_4558x63_43_B_0</vt:lpstr>
      <vt:lpstr>MAPPING!SD_4270x1_4371x1_4558x63_6_B_1</vt:lpstr>
      <vt:lpstr>MAPPING!SD_4270x1_4371x1_4558x63_7_B_0</vt:lpstr>
      <vt:lpstr>MAPPING!SD_4270x1_4371x1_4558x63_9_B_0</vt:lpstr>
      <vt:lpstr>MAPPING!SD_4270x1_4371x1_4558x63_9005x1_100_B_0</vt:lpstr>
      <vt:lpstr>MAPPING!SD_4270x1_4371x1_4558x63_9005x1_250_B_1</vt:lpstr>
      <vt:lpstr>MAPPING!SD_4270x1_4371x1_4558x63_9005x1_251_B_0</vt:lpstr>
      <vt:lpstr>MAPPING!SD_4270x1_4371x1_4558x63_9005x1_252_B_0</vt:lpstr>
      <vt:lpstr>MAPPING!SD_4270x1_4371x1_4558x63_9005x1_253_B_0</vt:lpstr>
      <vt:lpstr>MAPPING!SD_4270x1_4371x1_4558x63_9005x1_254_B_0</vt:lpstr>
      <vt:lpstr>MAPPING!SD_4270x1_4371x1_4558x63_9005x1_255_B_0</vt:lpstr>
      <vt:lpstr>MAPPING!SD_4270x1_4371x1_4558x64_10_B_0</vt:lpstr>
      <vt:lpstr>MAPPING!SD_4270x1_4371x1_4558x64_11_B_0</vt:lpstr>
      <vt:lpstr>MAPPING!SD_4270x1_4371x1_4558x64_12_B_0</vt:lpstr>
      <vt:lpstr>MAPPING!SD_4270x1_4371x1_4558x64_25_B_0</vt:lpstr>
      <vt:lpstr>MAPPING!SD_4270x1_4371x1_4558x64_38_B_0</vt:lpstr>
      <vt:lpstr>MAPPING!SD_4270x1_4371x1_4558x64_43_B_0</vt:lpstr>
      <vt:lpstr>MAPPING!SD_4270x1_4371x1_4558x64_6_B_1</vt:lpstr>
      <vt:lpstr>MAPPING!SD_4270x1_4371x1_4558x64_7_B_0</vt:lpstr>
      <vt:lpstr>MAPPING!SD_4270x1_4371x1_4558x64_9_B_0</vt:lpstr>
      <vt:lpstr>MAPPING!SD_4270x1_4371x1_4558x64_9005x1_100_B_0</vt:lpstr>
      <vt:lpstr>MAPPING!SD_4270x1_4371x1_4558x64_9005x1_250_B_1</vt:lpstr>
      <vt:lpstr>MAPPING!SD_4270x1_4371x1_4558x64_9005x1_251_B_0</vt:lpstr>
      <vt:lpstr>MAPPING!SD_4270x1_4371x1_4558x64_9005x1_252_B_0</vt:lpstr>
      <vt:lpstr>MAPPING!SD_4270x1_4371x1_4558x64_9005x1_253_B_0</vt:lpstr>
      <vt:lpstr>MAPPING!SD_4270x1_4371x1_4558x64_9005x1_254_B_0</vt:lpstr>
      <vt:lpstr>MAPPING!SD_4270x1_4371x1_4558x64_9005x1_255_B_0</vt:lpstr>
      <vt:lpstr>MAPPING!SD_4270x1_4371x1_4558x65_10_B_0</vt:lpstr>
      <vt:lpstr>MAPPING!SD_4270x1_4371x1_4558x65_11_B_0</vt:lpstr>
      <vt:lpstr>MAPPING!SD_4270x1_4371x1_4558x65_12_B_0</vt:lpstr>
      <vt:lpstr>MAPPING!SD_4270x1_4371x1_4558x65_25_B_0</vt:lpstr>
      <vt:lpstr>MAPPING!SD_4270x1_4371x1_4558x65_38_B_0</vt:lpstr>
      <vt:lpstr>MAPPING!SD_4270x1_4371x1_4558x65_43_B_0</vt:lpstr>
      <vt:lpstr>MAPPING!SD_4270x1_4371x1_4558x65_6_B_1</vt:lpstr>
      <vt:lpstr>MAPPING!SD_4270x1_4371x1_4558x65_7_B_0</vt:lpstr>
      <vt:lpstr>MAPPING!SD_4270x1_4371x1_4558x65_9_B_0</vt:lpstr>
      <vt:lpstr>MAPPING!SD_4270x1_4371x1_4558x65_9005x1_100_B_0</vt:lpstr>
      <vt:lpstr>MAPPING!SD_4270x1_4371x1_4558x65_9005x1_250_B_1</vt:lpstr>
      <vt:lpstr>MAPPING!SD_4270x1_4371x1_4558x65_9005x1_251_B_0</vt:lpstr>
      <vt:lpstr>MAPPING!SD_4270x1_4371x1_4558x65_9005x1_252_B_0</vt:lpstr>
      <vt:lpstr>MAPPING!SD_4270x1_4371x1_4558x65_9005x1_253_B_0</vt:lpstr>
      <vt:lpstr>MAPPING!SD_4270x1_4371x1_4558x65_9005x1_254_B_0</vt:lpstr>
      <vt:lpstr>MAPPING!SD_4270x1_4371x1_4558x65_9005x1_255_B_0</vt:lpstr>
      <vt:lpstr>MAPPING!SD_4270x1_4371x1_4558x66_10_B_0</vt:lpstr>
      <vt:lpstr>MAPPING!SD_4270x1_4371x1_4558x66_11_B_0</vt:lpstr>
      <vt:lpstr>MAPPING!SD_4270x1_4371x1_4558x66_12_B_0</vt:lpstr>
      <vt:lpstr>MAPPING!SD_4270x1_4371x1_4558x66_25_B_0</vt:lpstr>
      <vt:lpstr>MAPPING!SD_4270x1_4371x1_4558x66_38_B_0</vt:lpstr>
      <vt:lpstr>MAPPING!SD_4270x1_4371x1_4558x66_43_B_0</vt:lpstr>
      <vt:lpstr>MAPPING!SD_4270x1_4371x1_4558x66_6_B_1</vt:lpstr>
      <vt:lpstr>MAPPING!SD_4270x1_4371x1_4558x66_7_B_0</vt:lpstr>
      <vt:lpstr>MAPPING!SD_4270x1_4371x1_4558x66_9_B_0</vt:lpstr>
      <vt:lpstr>MAPPING!SD_4270x1_4371x1_4558x66_9005x1_100_B_0</vt:lpstr>
      <vt:lpstr>MAPPING!SD_4270x1_4371x1_4558x66_9005x1_250_B_1</vt:lpstr>
      <vt:lpstr>MAPPING!SD_4270x1_4371x1_4558x66_9005x1_251_B_0</vt:lpstr>
      <vt:lpstr>MAPPING!SD_4270x1_4371x1_4558x66_9005x1_252_B_0</vt:lpstr>
      <vt:lpstr>MAPPING!SD_4270x1_4371x1_4558x66_9005x1_253_B_0</vt:lpstr>
      <vt:lpstr>MAPPING!SD_4270x1_4371x1_4558x66_9005x1_254_B_0</vt:lpstr>
      <vt:lpstr>MAPPING!SD_4270x1_4371x1_4558x66_9005x1_255_B_0</vt:lpstr>
      <vt:lpstr>MAPPING!SD_4270x1_4371x1_4558x67_10_B_0</vt:lpstr>
      <vt:lpstr>MAPPING!SD_4270x1_4371x1_4558x67_11_B_0</vt:lpstr>
      <vt:lpstr>MAPPING!SD_4270x1_4371x1_4558x67_12_B_0</vt:lpstr>
      <vt:lpstr>MAPPING!SD_4270x1_4371x1_4558x67_25_B_0</vt:lpstr>
      <vt:lpstr>MAPPING!SD_4270x1_4371x1_4558x67_38_B_0</vt:lpstr>
      <vt:lpstr>MAPPING!SD_4270x1_4371x1_4558x67_43_B_0</vt:lpstr>
      <vt:lpstr>MAPPING!SD_4270x1_4371x1_4558x67_6_B_1</vt:lpstr>
      <vt:lpstr>MAPPING!SD_4270x1_4371x1_4558x67_7_B_0</vt:lpstr>
      <vt:lpstr>MAPPING!SD_4270x1_4371x1_4558x67_9_B_0</vt:lpstr>
      <vt:lpstr>MAPPING!SD_4270x1_4371x1_4558x67_9005x1_100_B_0</vt:lpstr>
      <vt:lpstr>MAPPING!SD_4270x1_4371x1_4558x67_9005x1_250_B_1</vt:lpstr>
      <vt:lpstr>MAPPING!SD_4270x1_4371x1_4558x67_9005x1_251_B_0</vt:lpstr>
      <vt:lpstr>MAPPING!SD_4270x1_4371x1_4558x67_9005x1_252_B_0</vt:lpstr>
      <vt:lpstr>MAPPING!SD_4270x1_4371x1_4558x67_9005x1_253_B_0</vt:lpstr>
      <vt:lpstr>MAPPING!SD_4270x1_4371x1_4558x67_9005x1_254_B_0</vt:lpstr>
      <vt:lpstr>MAPPING!SD_4270x1_4371x1_4558x67_9005x1_255_B_0</vt:lpstr>
      <vt:lpstr>MAPPING!SD_4270x1_4371x1_4558x68_10_B_0</vt:lpstr>
      <vt:lpstr>MAPPING!SD_4270x1_4371x1_4558x68_11_B_0</vt:lpstr>
      <vt:lpstr>MAPPING!SD_4270x1_4371x1_4558x68_12_B_0</vt:lpstr>
      <vt:lpstr>MAPPING!SD_4270x1_4371x1_4558x68_25_B_0</vt:lpstr>
      <vt:lpstr>MAPPING!SD_4270x1_4371x1_4558x68_38_B_0</vt:lpstr>
      <vt:lpstr>MAPPING!SD_4270x1_4371x1_4558x68_43_B_0</vt:lpstr>
      <vt:lpstr>MAPPING!SD_4270x1_4371x1_4558x68_6_B_1</vt:lpstr>
      <vt:lpstr>MAPPING!SD_4270x1_4371x1_4558x68_7_B_0</vt:lpstr>
      <vt:lpstr>MAPPING!SD_4270x1_4371x1_4558x68_9_B_0</vt:lpstr>
      <vt:lpstr>MAPPING!SD_4270x1_4371x1_4558x68_9005x1_100_B_0</vt:lpstr>
      <vt:lpstr>MAPPING!SD_4270x1_4371x1_4558x68_9005x1_250_B_1</vt:lpstr>
      <vt:lpstr>MAPPING!SD_4270x1_4371x1_4558x68_9005x1_251_B_0</vt:lpstr>
      <vt:lpstr>MAPPING!SD_4270x1_4371x1_4558x68_9005x1_252_B_0</vt:lpstr>
      <vt:lpstr>MAPPING!SD_4270x1_4371x1_4558x68_9005x1_253_B_0</vt:lpstr>
      <vt:lpstr>MAPPING!SD_4270x1_4371x1_4558x68_9005x1_254_B_0</vt:lpstr>
      <vt:lpstr>MAPPING!SD_4270x1_4371x1_4558x68_9005x1_255_B_0</vt:lpstr>
      <vt:lpstr>MAPPING!SD_4270x1_4371x1_4558x69_10_B_0</vt:lpstr>
      <vt:lpstr>MAPPING!SD_4270x1_4371x1_4558x69_11_B_0</vt:lpstr>
      <vt:lpstr>MAPPING!SD_4270x1_4371x1_4558x69_12_B_0</vt:lpstr>
      <vt:lpstr>MAPPING!SD_4270x1_4371x1_4558x69_25_B_0</vt:lpstr>
      <vt:lpstr>MAPPING!SD_4270x1_4371x1_4558x69_38_B_0</vt:lpstr>
      <vt:lpstr>MAPPING!SD_4270x1_4371x1_4558x69_43_B_0</vt:lpstr>
      <vt:lpstr>MAPPING!SD_4270x1_4371x1_4558x69_6_B_1</vt:lpstr>
      <vt:lpstr>MAPPING!SD_4270x1_4371x1_4558x69_7_B_0</vt:lpstr>
      <vt:lpstr>MAPPING!SD_4270x1_4371x1_4558x69_9_B_0</vt:lpstr>
      <vt:lpstr>MAPPING!SD_4270x1_4371x1_4558x69_9005x1_100_B_0</vt:lpstr>
      <vt:lpstr>MAPPING!SD_4270x1_4371x1_4558x69_9005x1_250_B_1</vt:lpstr>
      <vt:lpstr>MAPPING!SD_4270x1_4371x1_4558x69_9005x1_251_B_0</vt:lpstr>
      <vt:lpstr>MAPPING!SD_4270x1_4371x1_4558x69_9005x1_252_B_0</vt:lpstr>
      <vt:lpstr>MAPPING!SD_4270x1_4371x1_4558x69_9005x1_253_B_0</vt:lpstr>
      <vt:lpstr>MAPPING!SD_4270x1_4371x1_4558x69_9005x1_254_B_0</vt:lpstr>
      <vt:lpstr>MAPPING!SD_4270x1_4371x1_4558x69_9005x1_255_B_0</vt:lpstr>
      <vt:lpstr>MAPPING!SD_4270x1_4371x1_4558x7_10_B_0</vt:lpstr>
      <vt:lpstr>MAPPING!SD_4270x1_4371x1_4558x7_11_B_0</vt:lpstr>
      <vt:lpstr>MAPPING!SD_4270x1_4371x1_4558x7_12_B_0</vt:lpstr>
      <vt:lpstr>MAPPING!SD_4270x1_4371x1_4558x7_25_B_0</vt:lpstr>
      <vt:lpstr>MAPPING!SD_4270x1_4371x1_4558x7_38_B_0</vt:lpstr>
      <vt:lpstr>MAPPING!SD_4270x1_4371x1_4558x7_43_B_0</vt:lpstr>
      <vt:lpstr>MAPPING!SD_4270x1_4371x1_4558x7_6_B_1</vt:lpstr>
      <vt:lpstr>MAPPING!SD_4270x1_4371x1_4558x7_7_B_0</vt:lpstr>
      <vt:lpstr>MAPPING!SD_4270x1_4371x1_4558x7_9_B_0</vt:lpstr>
      <vt:lpstr>MAPPING!SD_4270x1_4371x1_4558x7_9005x1_100_B_0</vt:lpstr>
      <vt:lpstr>MAPPING!SD_4270x1_4371x1_4558x7_9005x1_250_B_1</vt:lpstr>
      <vt:lpstr>MAPPING!SD_4270x1_4371x1_4558x7_9005x1_251_B_0</vt:lpstr>
      <vt:lpstr>MAPPING!SD_4270x1_4371x1_4558x7_9005x1_252_B_0</vt:lpstr>
      <vt:lpstr>MAPPING!SD_4270x1_4371x1_4558x7_9005x1_253_B_0</vt:lpstr>
      <vt:lpstr>MAPPING!SD_4270x1_4371x1_4558x7_9005x1_254_B_0</vt:lpstr>
      <vt:lpstr>MAPPING!SD_4270x1_4371x1_4558x7_9005x1_255_B_0</vt:lpstr>
      <vt:lpstr>MAPPING!SD_4270x1_4371x1_4558x70_10_B_0</vt:lpstr>
      <vt:lpstr>MAPPING!SD_4270x1_4371x1_4558x70_11_B_0</vt:lpstr>
      <vt:lpstr>MAPPING!SD_4270x1_4371x1_4558x70_12_B_0</vt:lpstr>
      <vt:lpstr>MAPPING!SD_4270x1_4371x1_4558x70_25_B_0</vt:lpstr>
      <vt:lpstr>MAPPING!SD_4270x1_4371x1_4558x70_38_B_0</vt:lpstr>
      <vt:lpstr>MAPPING!SD_4270x1_4371x1_4558x70_43_B_0</vt:lpstr>
      <vt:lpstr>MAPPING!SD_4270x1_4371x1_4558x70_6_B_1</vt:lpstr>
      <vt:lpstr>MAPPING!SD_4270x1_4371x1_4558x70_7_B_0</vt:lpstr>
      <vt:lpstr>MAPPING!SD_4270x1_4371x1_4558x70_9_B_0</vt:lpstr>
      <vt:lpstr>MAPPING!SD_4270x1_4371x1_4558x70_9005x1_100_B_0</vt:lpstr>
      <vt:lpstr>MAPPING!SD_4270x1_4371x1_4558x70_9005x1_250_B_1</vt:lpstr>
      <vt:lpstr>MAPPING!SD_4270x1_4371x1_4558x70_9005x1_251_B_0</vt:lpstr>
      <vt:lpstr>MAPPING!SD_4270x1_4371x1_4558x70_9005x1_252_B_0</vt:lpstr>
      <vt:lpstr>MAPPING!SD_4270x1_4371x1_4558x70_9005x1_253_B_0</vt:lpstr>
      <vt:lpstr>MAPPING!SD_4270x1_4371x1_4558x70_9005x1_254_B_0</vt:lpstr>
      <vt:lpstr>MAPPING!SD_4270x1_4371x1_4558x70_9005x1_255_B_0</vt:lpstr>
      <vt:lpstr>MAPPING!SD_4270x1_4371x1_4558x71_10_B_0</vt:lpstr>
      <vt:lpstr>MAPPING!SD_4270x1_4371x1_4558x71_11_B_0</vt:lpstr>
      <vt:lpstr>MAPPING!SD_4270x1_4371x1_4558x71_12_B_0</vt:lpstr>
      <vt:lpstr>MAPPING!SD_4270x1_4371x1_4558x71_25_B_0</vt:lpstr>
      <vt:lpstr>MAPPING!SD_4270x1_4371x1_4558x71_38_B_0</vt:lpstr>
      <vt:lpstr>MAPPING!SD_4270x1_4371x1_4558x71_43_B_0</vt:lpstr>
      <vt:lpstr>MAPPING!SD_4270x1_4371x1_4558x71_6_B_1</vt:lpstr>
      <vt:lpstr>MAPPING!SD_4270x1_4371x1_4558x71_7_B_0</vt:lpstr>
      <vt:lpstr>MAPPING!SD_4270x1_4371x1_4558x71_9_B_0</vt:lpstr>
      <vt:lpstr>MAPPING!SD_4270x1_4371x1_4558x71_9005x1_100_B_0</vt:lpstr>
      <vt:lpstr>MAPPING!SD_4270x1_4371x1_4558x71_9005x1_250_B_1</vt:lpstr>
      <vt:lpstr>MAPPING!SD_4270x1_4371x1_4558x71_9005x1_251_B_0</vt:lpstr>
      <vt:lpstr>MAPPING!SD_4270x1_4371x1_4558x71_9005x1_252_B_0</vt:lpstr>
      <vt:lpstr>MAPPING!SD_4270x1_4371x1_4558x71_9005x1_253_B_0</vt:lpstr>
      <vt:lpstr>MAPPING!SD_4270x1_4371x1_4558x71_9005x1_254_B_0</vt:lpstr>
      <vt:lpstr>MAPPING!SD_4270x1_4371x1_4558x71_9005x1_255_B_0</vt:lpstr>
      <vt:lpstr>MAPPING!SD_4270x1_4371x1_4558x72_10_B_0</vt:lpstr>
      <vt:lpstr>MAPPING!SD_4270x1_4371x1_4558x72_11_B_0</vt:lpstr>
      <vt:lpstr>MAPPING!SD_4270x1_4371x1_4558x72_12_B_0</vt:lpstr>
      <vt:lpstr>MAPPING!SD_4270x1_4371x1_4558x72_25_B_0</vt:lpstr>
      <vt:lpstr>MAPPING!SD_4270x1_4371x1_4558x72_38_B_0</vt:lpstr>
      <vt:lpstr>MAPPING!SD_4270x1_4371x1_4558x72_43_B_0</vt:lpstr>
      <vt:lpstr>MAPPING!SD_4270x1_4371x1_4558x72_6_B_1</vt:lpstr>
      <vt:lpstr>MAPPING!SD_4270x1_4371x1_4558x72_7_B_0</vt:lpstr>
      <vt:lpstr>MAPPING!SD_4270x1_4371x1_4558x72_9_B_0</vt:lpstr>
      <vt:lpstr>MAPPING!SD_4270x1_4371x1_4558x72_9005x1_100_B_0</vt:lpstr>
      <vt:lpstr>MAPPING!SD_4270x1_4371x1_4558x72_9005x1_250_B_1</vt:lpstr>
      <vt:lpstr>MAPPING!SD_4270x1_4371x1_4558x72_9005x1_251_B_0</vt:lpstr>
      <vt:lpstr>MAPPING!SD_4270x1_4371x1_4558x72_9005x1_252_B_0</vt:lpstr>
      <vt:lpstr>MAPPING!SD_4270x1_4371x1_4558x72_9005x1_253_B_0</vt:lpstr>
      <vt:lpstr>MAPPING!SD_4270x1_4371x1_4558x72_9005x1_254_B_0</vt:lpstr>
      <vt:lpstr>MAPPING!SD_4270x1_4371x1_4558x72_9005x1_255_B_0</vt:lpstr>
      <vt:lpstr>MAPPING!SD_4270x1_4371x1_4558x73_10_B_0</vt:lpstr>
      <vt:lpstr>MAPPING!SD_4270x1_4371x1_4558x73_11_B_0</vt:lpstr>
      <vt:lpstr>MAPPING!SD_4270x1_4371x1_4558x73_12_B_0</vt:lpstr>
      <vt:lpstr>MAPPING!SD_4270x1_4371x1_4558x73_25_B_0</vt:lpstr>
      <vt:lpstr>MAPPING!SD_4270x1_4371x1_4558x73_38_B_0</vt:lpstr>
      <vt:lpstr>MAPPING!SD_4270x1_4371x1_4558x73_43_B_0</vt:lpstr>
      <vt:lpstr>MAPPING!SD_4270x1_4371x1_4558x73_6_B_1</vt:lpstr>
      <vt:lpstr>MAPPING!SD_4270x1_4371x1_4558x73_7_B_0</vt:lpstr>
      <vt:lpstr>MAPPING!SD_4270x1_4371x1_4558x73_9_B_0</vt:lpstr>
      <vt:lpstr>MAPPING!SD_4270x1_4371x1_4558x73_9005x1_100_B_0</vt:lpstr>
      <vt:lpstr>MAPPING!SD_4270x1_4371x1_4558x73_9005x1_250_B_1</vt:lpstr>
      <vt:lpstr>MAPPING!SD_4270x1_4371x1_4558x73_9005x1_251_B_0</vt:lpstr>
      <vt:lpstr>MAPPING!SD_4270x1_4371x1_4558x73_9005x1_252_B_0</vt:lpstr>
      <vt:lpstr>MAPPING!SD_4270x1_4371x1_4558x73_9005x1_253_B_0</vt:lpstr>
      <vt:lpstr>MAPPING!SD_4270x1_4371x1_4558x73_9005x1_254_B_0</vt:lpstr>
      <vt:lpstr>MAPPING!SD_4270x1_4371x1_4558x73_9005x1_255_B_0</vt:lpstr>
      <vt:lpstr>MAPPING!SD_4270x1_4371x1_4558x74_10_B_0</vt:lpstr>
      <vt:lpstr>MAPPING!SD_4270x1_4371x1_4558x74_11_B_0</vt:lpstr>
      <vt:lpstr>MAPPING!SD_4270x1_4371x1_4558x74_12_B_0</vt:lpstr>
      <vt:lpstr>MAPPING!SD_4270x1_4371x1_4558x74_25_B_0</vt:lpstr>
      <vt:lpstr>MAPPING!SD_4270x1_4371x1_4558x74_38_B_0</vt:lpstr>
      <vt:lpstr>MAPPING!SD_4270x1_4371x1_4558x74_43_B_0</vt:lpstr>
      <vt:lpstr>MAPPING!SD_4270x1_4371x1_4558x74_6_B_1</vt:lpstr>
      <vt:lpstr>MAPPING!SD_4270x1_4371x1_4558x74_7_B_0</vt:lpstr>
      <vt:lpstr>MAPPING!SD_4270x1_4371x1_4558x74_9_B_0</vt:lpstr>
      <vt:lpstr>MAPPING!SD_4270x1_4371x1_4558x74_9005x1_100_B_0</vt:lpstr>
      <vt:lpstr>MAPPING!SD_4270x1_4371x1_4558x74_9005x1_250_B_1</vt:lpstr>
      <vt:lpstr>MAPPING!SD_4270x1_4371x1_4558x74_9005x1_251_B_0</vt:lpstr>
      <vt:lpstr>MAPPING!SD_4270x1_4371x1_4558x74_9005x1_252_B_0</vt:lpstr>
      <vt:lpstr>MAPPING!SD_4270x1_4371x1_4558x74_9005x1_253_B_0</vt:lpstr>
      <vt:lpstr>MAPPING!SD_4270x1_4371x1_4558x74_9005x1_254_B_0</vt:lpstr>
      <vt:lpstr>MAPPING!SD_4270x1_4371x1_4558x74_9005x1_255_B_0</vt:lpstr>
      <vt:lpstr>MAPPING!SD_4270x1_4371x1_4558x75_10_B_0</vt:lpstr>
      <vt:lpstr>MAPPING!SD_4270x1_4371x1_4558x75_11_B_0</vt:lpstr>
      <vt:lpstr>MAPPING!SD_4270x1_4371x1_4558x75_12_B_0</vt:lpstr>
      <vt:lpstr>MAPPING!SD_4270x1_4371x1_4558x75_25_B_0</vt:lpstr>
      <vt:lpstr>MAPPING!SD_4270x1_4371x1_4558x75_38_B_0</vt:lpstr>
      <vt:lpstr>MAPPING!SD_4270x1_4371x1_4558x75_43_B_0</vt:lpstr>
      <vt:lpstr>MAPPING!SD_4270x1_4371x1_4558x75_6_B_1</vt:lpstr>
      <vt:lpstr>MAPPING!SD_4270x1_4371x1_4558x75_7_B_0</vt:lpstr>
      <vt:lpstr>MAPPING!SD_4270x1_4371x1_4558x75_9_B_0</vt:lpstr>
      <vt:lpstr>MAPPING!SD_4270x1_4371x1_4558x75_9005x1_100_B_0</vt:lpstr>
      <vt:lpstr>MAPPING!SD_4270x1_4371x1_4558x75_9005x1_250_B_1</vt:lpstr>
      <vt:lpstr>MAPPING!SD_4270x1_4371x1_4558x75_9005x1_251_B_0</vt:lpstr>
      <vt:lpstr>MAPPING!SD_4270x1_4371x1_4558x75_9005x1_252_B_0</vt:lpstr>
      <vt:lpstr>MAPPING!SD_4270x1_4371x1_4558x75_9005x1_253_B_0</vt:lpstr>
      <vt:lpstr>MAPPING!SD_4270x1_4371x1_4558x75_9005x1_254_B_0</vt:lpstr>
      <vt:lpstr>MAPPING!SD_4270x1_4371x1_4558x75_9005x1_255_B_0</vt:lpstr>
      <vt:lpstr>MAPPING!SD_4270x1_4371x1_4558x76_10_B_0</vt:lpstr>
      <vt:lpstr>MAPPING!SD_4270x1_4371x1_4558x76_11_B_0</vt:lpstr>
      <vt:lpstr>MAPPING!SD_4270x1_4371x1_4558x76_12_B_0</vt:lpstr>
      <vt:lpstr>MAPPING!SD_4270x1_4371x1_4558x76_25_B_0</vt:lpstr>
      <vt:lpstr>MAPPING!SD_4270x1_4371x1_4558x76_38_B_0</vt:lpstr>
      <vt:lpstr>MAPPING!SD_4270x1_4371x1_4558x76_43_B_0</vt:lpstr>
      <vt:lpstr>MAPPING!SD_4270x1_4371x1_4558x76_6_B_1</vt:lpstr>
      <vt:lpstr>MAPPING!SD_4270x1_4371x1_4558x76_7_B_0</vt:lpstr>
      <vt:lpstr>MAPPING!SD_4270x1_4371x1_4558x76_9_B_0</vt:lpstr>
      <vt:lpstr>MAPPING!SD_4270x1_4371x1_4558x76_9005x1_100_B_0</vt:lpstr>
      <vt:lpstr>MAPPING!SD_4270x1_4371x1_4558x76_9005x1_250_B_1</vt:lpstr>
      <vt:lpstr>MAPPING!SD_4270x1_4371x1_4558x76_9005x1_251_B_0</vt:lpstr>
      <vt:lpstr>MAPPING!SD_4270x1_4371x1_4558x76_9005x1_252_B_0</vt:lpstr>
      <vt:lpstr>MAPPING!SD_4270x1_4371x1_4558x76_9005x1_253_B_0</vt:lpstr>
      <vt:lpstr>MAPPING!SD_4270x1_4371x1_4558x76_9005x1_254_B_0</vt:lpstr>
      <vt:lpstr>MAPPING!SD_4270x1_4371x1_4558x76_9005x1_255_B_0</vt:lpstr>
      <vt:lpstr>MAPPING!SD_4270x1_4371x1_4558x77_10_B_0</vt:lpstr>
      <vt:lpstr>MAPPING!SD_4270x1_4371x1_4558x77_11_B_0</vt:lpstr>
      <vt:lpstr>MAPPING!SD_4270x1_4371x1_4558x77_12_B_0</vt:lpstr>
      <vt:lpstr>MAPPING!SD_4270x1_4371x1_4558x77_25_B_0</vt:lpstr>
      <vt:lpstr>MAPPING!SD_4270x1_4371x1_4558x77_38_B_0</vt:lpstr>
      <vt:lpstr>MAPPING!SD_4270x1_4371x1_4558x77_43_B_0</vt:lpstr>
      <vt:lpstr>MAPPING!SD_4270x1_4371x1_4558x77_6_B_1</vt:lpstr>
      <vt:lpstr>MAPPING!SD_4270x1_4371x1_4558x77_7_B_0</vt:lpstr>
      <vt:lpstr>MAPPING!SD_4270x1_4371x1_4558x77_9_B_0</vt:lpstr>
      <vt:lpstr>MAPPING!SD_4270x1_4371x1_4558x77_9005x1_100_B_0</vt:lpstr>
      <vt:lpstr>MAPPING!SD_4270x1_4371x1_4558x77_9005x1_250_B_1</vt:lpstr>
      <vt:lpstr>MAPPING!SD_4270x1_4371x1_4558x77_9005x1_251_B_0</vt:lpstr>
      <vt:lpstr>MAPPING!SD_4270x1_4371x1_4558x77_9005x1_252_B_0</vt:lpstr>
      <vt:lpstr>MAPPING!SD_4270x1_4371x1_4558x77_9005x1_253_B_0</vt:lpstr>
      <vt:lpstr>MAPPING!SD_4270x1_4371x1_4558x77_9005x1_254_B_0</vt:lpstr>
      <vt:lpstr>MAPPING!SD_4270x1_4371x1_4558x77_9005x1_255_B_0</vt:lpstr>
      <vt:lpstr>MAPPING!SD_4270x1_4371x1_4558x78_10_B_0</vt:lpstr>
      <vt:lpstr>MAPPING!SD_4270x1_4371x1_4558x78_11_B_0</vt:lpstr>
      <vt:lpstr>MAPPING!SD_4270x1_4371x1_4558x78_12_B_0</vt:lpstr>
      <vt:lpstr>MAPPING!SD_4270x1_4371x1_4558x78_25_B_0</vt:lpstr>
      <vt:lpstr>MAPPING!SD_4270x1_4371x1_4558x78_38_B_0</vt:lpstr>
      <vt:lpstr>MAPPING!SD_4270x1_4371x1_4558x78_43_B_0</vt:lpstr>
      <vt:lpstr>MAPPING!SD_4270x1_4371x1_4558x78_6_B_1</vt:lpstr>
      <vt:lpstr>MAPPING!SD_4270x1_4371x1_4558x78_7_B_0</vt:lpstr>
      <vt:lpstr>MAPPING!SD_4270x1_4371x1_4558x78_9_B_0</vt:lpstr>
      <vt:lpstr>MAPPING!SD_4270x1_4371x1_4558x78_9005x1_100_B_0</vt:lpstr>
      <vt:lpstr>MAPPING!SD_4270x1_4371x1_4558x78_9005x1_250_B_1</vt:lpstr>
      <vt:lpstr>MAPPING!SD_4270x1_4371x1_4558x78_9005x1_251_B_0</vt:lpstr>
      <vt:lpstr>MAPPING!SD_4270x1_4371x1_4558x78_9005x1_252_B_0</vt:lpstr>
      <vt:lpstr>MAPPING!SD_4270x1_4371x1_4558x78_9005x1_253_B_0</vt:lpstr>
      <vt:lpstr>MAPPING!SD_4270x1_4371x1_4558x78_9005x1_254_B_0</vt:lpstr>
      <vt:lpstr>MAPPING!SD_4270x1_4371x1_4558x78_9005x1_255_B_0</vt:lpstr>
      <vt:lpstr>MAPPING!SD_4270x1_4371x1_4558x79_10_B_0</vt:lpstr>
      <vt:lpstr>MAPPING!SD_4270x1_4371x1_4558x79_11_B_0</vt:lpstr>
      <vt:lpstr>MAPPING!SD_4270x1_4371x1_4558x79_12_B_0</vt:lpstr>
      <vt:lpstr>MAPPING!SD_4270x1_4371x1_4558x79_25_B_0</vt:lpstr>
      <vt:lpstr>MAPPING!SD_4270x1_4371x1_4558x79_38_B_0</vt:lpstr>
      <vt:lpstr>MAPPING!SD_4270x1_4371x1_4558x79_43_B_0</vt:lpstr>
      <vt:lpstr>MAPPING!SD_4270x1_4371x1_4558x79_6_B_1</vt:lpstr>
      <vt:lpstr>MAPPING!SD_4270x1_4371x1_4558x79_7_B_0</vt:lpstr>
      <vt:lpstr>MAPPING!SD_4270x1_4371x1_4558x79_9_B_0</vt:lpstr>
      <vt:lpstr>MAPPING!SD_4270x1_4371x1_4558x79_9005x1_100_B_0</vt:lpstr>
      <vt:lpstr>MAPPING!SD_4270x1_4371x1_4558x79_9005x1_250_B_1</vt:lpstr>
      <vt:lpstr>MAPPING!SD_4270x1_4371x1_4558x79_9005x1_251_B_0</vt:lpstr>
      <vt:lpstr>MAPPING!SD_4270x1_4371x1_4558x79_9005x1_252_B_0</vt:lpstr>
      <vt:lpstr>MAPPING!SD_4270x1_4371x1_4558x79_9005x1_253_B_0</vt:lpstr>
      <vt:lpstr>MAPPING!SD_4270x1_4371x1_4558x79_9005x1_254_B_0</vt:lpstr>
      <vt:lpstr>MAPPING!SD_4270x1_4371x1_4558x79_9005x1_255_B_0</vt:lpstr>
      <vt:lpstr>MAPPING!SD_4270x1_4371x1_4558x8_10_B_0</vt:lpstr>
      <vt:lpstr>MAPPING!SD_4270x1_4371x1_4558x8_11_B_0</vt:lpstr>
      <vt:lpstr>MAPPING!SD_4270x1_4371x1_4558x8_12_B_0</vt:lpstr>
      <vt:lpstr>MAPPING!SD_4270x1_4371x1_4558x8_25_B_0</vt:lpstr>
      <vt:lpstr>MAPPING!SD_4270x1_4371x1_4558x8_38_B_0</vt:lpstr>
      <vt:lpstr>MAPPING!SD_4270x1_4371x1_4558x8_43_B_0</vt:lpstr>
      <vt:lpstr>MAPPING!SD_4270x1_4371x1_4558x8_6_B_1</vt:lpstr>
      <vt:lpstr>MAPPING!SD_4270x1_4371x1_4558x8_7_B_0</vt:lpstr>
      <vt:lpstr>MAPPING!SD_4270x1_4371x1_4558x8_9_B_0</vt:lpstr>
      <vt:lpstr>MAPPING!SD_4270x1_4371x1_4558x8_9005x1_100_B_0</vt:lpstr>
      <vt:lpstr>MAPPING!SD_4270x1_4371x1_4558x8_9005x1_250_B_1</vt:lpstr>
      <vt:lpstr>MAPPING!SD_4270x1_4371x1_4558x8_9005x1_251_B_0</vt:lpstr>
      <vt:lpstr>MAPPING!SD_4270x1_4371x1_4558x8_9005x1_252_B_0</vt:lpstr>
      <vt:lpstr>MAPPING!SD_4270x1_4371x1_4558x8_9005x1_253_B_0</vt:lpstr>
      <vt:lpstr>MAPPING!SD_4270x1_4371x1_4558x8_9005x1_254_B_0</vt:lpstr>
      <vt:lpstr>MAPPING!SD_4270x1_4371x1_4558x8_9005x1_255_B_0</vt:lpstr>
      <vt:lpstr>MAPPING!SD_4270x1_4371x1_4558x80_10_B_0</vt:lpstr>
      <vt:lpstr>MAPPING!SD_4270x1_4371x1_4558x80_11_B_0</vt:lpstr>
      <vt:lpstr>MAPPING!SD_4270x1_4371x1_4558x80_12_B_0</vt:lpstr>
      <vt:lpstr>MAPPING!SD_4270x1_4371x1_4558x80_25_B_0</vt:lpstr>
      <vt:lpstr>MAPPING!SD_4270x1_4371x1_4558x80_38_B_0</vt:lpstr>
      <vt:lpstr>MAPPING!SD_4270x1_4371x1_4558x80_43_B_0</vt:lpstr>
      <vt:lpstr>MAPPING!SD_4270x1_4371x1_4558x80_6_B_1</vt:lpstr>
      <vt:lpstr>MAPPING!SD_4270x1_4371x1_4558x80_7_B_0</vt:lpstr>
      <vt:lpstr>MAPPING!SD_4270x1_4371x1_4558x80_9_B_0</vt:lpstr>
      <vt:lpstr>MAPPING!SD_4270x1_4371x1_4558x80_9005x1_100_B_0</vt:lpstr>
      <vt:lpstr>MAPPING!SD_4270x1_4371x1_4558x80_9005x1_250_B_1</vt:lpstr>
      <vt:lpstr>MAPPING!SD_4270x1_4371x1_4558x80_9005x1_251_B_0</vt:lpstr>
      <vt:lpstr>MAPPING!SD_4270x1_4371x1_4558x80_9005x1_252_B_0</vt:lpstr>
      <vt:lpstr>MAPPING!SD_4270x1_4371x1_4558x80_9005x1_253_B_0</vt:lpstr>
      <vt:lpstr>MAPPING!SD_4270x1_4371x1_4558x80_9005x1_254_B_0</vt:lpstr>
      <vt:lpstr>MAPPING!SD_4270x1_4371x1_4558x80_9005x1_255_B_0</vt:lpstr>
      <vt:lpstr>MAPPING!SD_4270x1_4371x1_4558x81_10_B_0</vt:lpstr>
      <vt:lpstr>MAPPING!SD_4270x1_4371x1_4558x81_11_B_0</vt:lpstr>
      <vt:lpstr>MAPPING!SD_4270x1_4371x1_4558x81_12_B_0</vt:lpstr>
      <vt:lpstr>MAPPING!SD_4270x1_4371x1_4558x81_25_B_0</vt:lpstr>
      <vt:lpstr>MAPPING!SD_4270x1_4371x1_4558x81_38_B_0</vt:lpstr>
      <vt:lpstr>MAPPING!SD_4270x1_4371x1_4558x81_43_B_0</vt:lpstr>
      <vt:lpstr>MAPPING!SD_4270x1_4371x1_4558x81_6_B_1</vt:lpstr>
      <vt:lpstr>MAPPING!SD_4270x1_4371x1_4558x81_7_B_0</vt:lpstr>
      <vt:lpstr>MAPPING!SD_4270x1_4371x1_4558x81_9_B_0</vt:lpstr>
      <vt:lpstr>MAPPING!SD_4270x1_4371x1_4558x81_9005x1_100_B_0</vt:lpstr>
      <vt:lpstr>MAPPING!SD_4270x1_4371x1_4558x81_9005x1_250_B_1</vt:lpstr>
      <vt:lpstr>MAPPING!SD_4270x1_4371x1_4558x81_9005x1_251_B_0</vt:lpstr>
      <vt:lpstr>MAPPING!SD_4270x1_4371x1_4558x81_9005x1_252_B_0</vt:lpstr>
      <vt:lpstr>MAPPING!SD_4270x1_4371x1_4558x81_9005x1_253_B_0</vt:lpstr>
      <vt:lpstr>MAPPING!SD_4270x1_4371x1_4558x81_9005x1_254_B_0</vt:lpstr>
      <vt:lpstr>MAPPING!SD_4270x1_4371x1_4558x81_9005x1_255_B_0</vt:lpstr>
      <vt:lpstr>MAPPING!SD_4270x1_4371x1_4558x82_10_B_0</vt:lpstr>
      <vt:lpstr>MAPPING!SD_4270x1_4371x1_4558x82_11_B_0</vt:lpstr>
      <vt:lpstr>MAPPING!SD_4270x1_4371x1_4558x82_12_B_0</vt:lpstr>
      <vt:lpstr>MAPPING!SD_4270x1_4371x1_4558x82_25_B_0</vt:lpstr>
      <vt:lpstr>MAPPING!SD_4270x1_4371x1_4558x82_38_B_0</vt:lpstr>
      <vt:lpstr>MAPPING!SD_4270x1_4371x1_4558x82_43_B_0</vt:lpstr>
      <vt:lpstr>MAPPING!SD_4270x1_4371x1_4558x82_6_B_1</vt:lpstr>
      <vt:lpstr>MAPPING!SD_4270x1_4371x1_4558x82_7_B_0</vt:lpstr>
      <vt:lpstr>MAPPING!SD_4270x1_4371x1_4558x82_9_B_0</vt:lpstr>
      <vt:lpstr>MAPPING!SD_4270x1_4371x1_4558x82_9005x1_100_B_0</vt:lpstr>
      <vt:lpstr>MAPPING!SD_4270x1_4371x1_4558x82_9005x1_250_B_1</vt:lpstr>
      <vt:lpstr>MAPPING!SD_4270x1_4371x1_4558x82_9005x1_251_B_0</vt:lpstr>
      <vt:lpstr>MAPPING!SD_4270x1_4371x1_4558x82_9005x1_252_B_0</vt:lpstr>
      <vt:lpstr>MAPPING!SD_4270x1_4371x1_4558x82_9005x1_253_B_0</vt:lpstr>
      <vt:lpstr>MAPPING!SD_4270x1_4371x1_4558x82_9005x1_254_B_0</vt:lpstr>
      <vt:lpstr>MAPPING!SD_4270x1_4371x1_4558x82_9005x1_255_B_0</vt:lpstr>
      <vt:lpstr>MAPPING!SD_4270x1_4371x1_4558x83_10_B_0</vt:lpstr>
      <vt:lpstr>MAPPING!SD_4270x1_4371x1_4558x83_11_B_0</vt:lpstr>
      <vt:lpstr>MAPPING!SD_4270x1_4371x1_4558x83_12_B_0</vt:lpstr>
      <vt:lpstr>MAPPING!SD_4270x1_4371x1_4558x83_25_B_0</vt:lpstr>
      <vt:lpstr>MAPPING!SD_4270x1_4371x1_4558x83_38_B_0</vt:lpstr>
      <vt:lpstr>MAPPING!SD_4270x1_4371x1_4558x83_43_B_0</vt:lpstr>
      <vt:lpstr>MAPPING!SD_4270x1_4371x1_4558x83_6_B_1</vt:lpstr>
      <vt:lpstr>MAPPING!SD_4270x1_4371x1_4558x83_7_B_0</vt:lpstr>
      <vt:lpstr>MAPPING!SD_4270x1_4371x1_4558x83_9_B_0</vt:lpstr>
      <vt:lpstr>MAPPING!SD_4270x1_4371x1_4558x83_9005x1_100_B_0</vt:lpstr>
      <vt:lpstr>MAPPING!SD_4270x1_4371x1_4558x83_9005x1_250_B_1</vt:lpstr>
      <vt:lpstr>MAPPING!SD_4270x1_4371x1_4558x83_9005x1_251_B_0</vt:lpstr>
      <vt:lpstr>MAPPING!SD_4270x1_4371x1_4558x83_9005x1_252_B_0</vt:lpstr>
      <vt:lpstr>MAPPING!SD_4270x1_4371x1_4558x83_9005x1_253_B_0</vt:lpstr>
      <vt:lpstr>MAPPING!SD_4270x1_4371x1_4558x83_9005x1_254_B_0</vt:lpstr>
      <vt:lpstr>MAPPING!SD_4270x1_4371x1_4558x83_9005x1_255_B_0</vt:lpstr>
      <vt:lpstr>MAPPING!SD_4270x1_4371x1_4558x84_10_B_0</vt:lpstr>
      <vt:lpstr>MAPPING!SD_4270x1_4371x1_4558x84_11_B_0</vt:lpstr>
      <vt:lpstr>MAPPING!SD_4270x1_4371x1_4558x84_12_B_0</vt:lpstr>
      <vt:lpstr>MAPPING!SD_4270x1_4371x1_4558x84_25_B_0</vt:lpstr>
      <vt:lpstr>MAPPING!SD_4270x1_4371x1_4558x84_38_B_0</vt:lpstr>
      <vt:lpstr>MAPPING!SD_4270x1_4371x1_4558x84_43_B_0</vt:lpstr>
      <vt:lpstr>MAPPING!SD_4270x1_4371x1_4558x84_6_B_1</vt:lpstr>
      <vt:lpstr>MAPPING!SD_4270x1_4371x1_4558x84_7_B_0</vt:lpstr>
      <vt:lpstr>MAPPING!SD_4270x1_4371x1_4558x84_9_B_0</vt:lpstr>
      <vt:lpstr>MAPPING!SD_4270x1_4371x1_4558x84_9005x1_100_B_0</vt:lpstr>
      <vt:lpstr>MAPPING!SD_4270x1_4371x1_4558x84_9005x1_250_B_1</vt:lpstr>
      <vt:lpstr>MAPPING!SD_4270x1_4371x1_4558x84_9005x1_251_B_0</vt:lpstr>
      <vt:lpstr>MAPPING!SD_4270x1_4371x1_4558x84_9005x1_252_B_0</vt:lpstr>
      <vt:lpstr>MAPPING!SD_4270x1_4371x1_4558x84_9005x1_253_B_0</vt:lpstr>
      <vt:lpstr>MAPPING!SD_4270x1_4371x1_4558x84_9005x1_254_B_0</vt:lpstr>
      <vt:lpstr>MAPPING!SD_4270x1_4371x1_4558x84_9005x1_255_B_0</vt:lpstr>
      <vt:lpstr>MAPPING!SD_4270x1_4371x1_4558x85_10_B_0</vt:lpstr>
      <vt:lpstr>MAPPING!SD_4270x1_4371x1_4558x85_11_B_0</vt:lpstr>
      <vt:lpstr>MAPPING!SD_4270x1_4371x1_4558x85_12_B_0</vt:lpstr>
      <vt:lpstr>MAPPING!SD_4270x1_4371x1_4558x85_25_B_0</vt:lpstr>
      <vt:lpstr>MAPPING!SD_4270x1_4371x1_4558x85_38_B_0</vt:lpstr>
      <vt:lpstr>MAPPING!SD_4270x1_4371x1_4558x85_43_B_0</vt:lpstr>
      <vt:lpstr>MAPPING!SD_4270x1_4371x1_4558x85_6_B_1</vt:lpstr>
      <vt:lpstr>MAPPING!SD_4270x1_4371x1_4558x85_7_B_0</vt:lpstr>
      <vt:lpstr>MAPPING!SD_4270x1_4371x1_4558x85_9_B_0</vt:lpstr>
      <vt:lpstr>MAPPING!SD_4270x1_4371x1_4558x85_9005x1_100_B_0</vt:lpstr>
      <vt:lpstr>MAPPING!SD_4270x1_4371x1_4558x85_9005x1_250_B_1</vt:lpstr>
      <vt:lpstr>MAPPING!SD_4270x1_4371x1_4558x85_9005x1_251_B_0</vt:lpstr>
      <vt:lpstr>MAPPING!SD_4270x1_4371x1_4558x85_9005x1_252_B_0</vt:lpstr>
      <vt:lpstr>MAPPING!SD_4270x1_4371x1_4558x85_9005x1_253_B_0</vt:lpstr>
      <vt:lpstr>MAPPING!SD_4270x1_4371x1_4558x85_9005x1_254_B_0</vt:lpstr>
      <vt:lpstr>MAPPING!SD_4270x1_4371x1_4558x85_9005x1_255_B_0</vt:lpstr>
      <vt:lpstr>MAPPING!SD_4270x1_4371x1_4558x86_10_B_0</vt:lpstr>
      <vt:lpstr>MAPPING!SD_4270x1_4371x1_4558x86_11_B_0</vt:lpstr>
      <vt:lpstr>MAPPING!SD_4270x1_4371x1_4558x86_12_B_0</vt:lpstr>
      <vt:lpstr>MAPPING!SD_4270x1_4371x1_4558x86_25_B_0</vt:lpstr>
      <vt:lpstr>MAPPING!SD_4270x1_4371x1_4558x86_38_B_0</vt:lpstr>
      <vt:lpstr>MAPPING!SD_4270x1_4371x1_4558x86_43_B_0</vt:lpstr>
      <vt:lpstr>MAPPING!SD_4270x1_4371x1_4558x86_6_B_1</vt:lpstr>
      <vt:lpstr>MAPPING!SD_4270x1_4371x1_4558x86_7_B_0</vt:lpstr>
      <vt:lpstr>MAPPING!SD_4270x1_4371x1_4558x86_9_B_0</vt:lpstr>
      <vt:lpstr>MAPPING!SD_4270x1_4371x1_4558x86_9005x1_100_B_0</vt:lpstr>
      <vt:lpstr>MAPPING!SD_4270x1_4371x1_4558x86_9005x1_250_B_1</vt:lpstr>
      <vt:lpstr>MAPPING!SD_4270x1_4371x1_4558x86_9005x1_251_B_0</vt:lpstr>
      <vt:lpstr>MAPPING!SD_4270x1_4371x1_4558x86_9005x1_252_B_0</vt:lpstr>
      <vt:lpstr>MAPPING!SD_4270x1_4371x1_4558x86_9005x1_253_B_0</vt:lpstr>
      <vt:lpstr>MAPPING!SD_4270x1_4371x1_4558x86_9005x1_254_B_0</vt:lpstr>
      <vt:lpstr>MAPPING!SD_4270x1_4371x1_4558x86_9005x1_255_B_0</vt:lpstr>
      <vt:lpstr>MAPPING!SD_4270x1_4371x1_4558x87_10_B_0</vt:lpstr>
      <vt:lpstr>MAPPING!SD_4270x1_4371x1_4558x87_11_B_0</vt:lpstr>
      <vt:lpstr>MAPPING!SD_4270x1_4371x1_4558x87_12_B_0</vt:lpstr>
      <vt:lpstr>MAPPING!SD_4270x1_4371x1_4558x87_25_B_0</vt:lpstr>
      <vt:lpstr>MAPPING!SD_4270x1_4371x1_4558x87_38_B_0</vt:lpstr>
      <vt:lpstr>MAPPING!SD_4270x1_4371x1_4558x87_43_B_0</vt:lpstr>
      <vt:lpstr>MAPPING!SD_4270x1_4371x1_4558x87_6_B_1</vt:lpstr>
      <vt:lpstr>MAPPING!SD_4270x1_4371x1_4558x87_7_B_0</vt:lpstr>
      <vt:lpstr>MAPPING!SD_4270x1_4371x1_4558x87_9_B_0</vt:lpstr>
      <vt:lpstr>MAPPING!SD_4270x1_4371x1_4558x87_9005x1_100_B_0</vt:lpstr>
      <vt:lpstr>MAPPING!SD_4270x1_4371x1_4558x87_9005x1_250_B_1</vt:lpstr>
      <vt:lpstr>MAPPING!SD_4270x1_4371x1_4558x87_9005x1_251_B_0</vt:lpstr>
      <vt:lpstr>MAPPING!SD_4270x1_4371x1_4558x87_9005x1_252_B_0</vt:lpstr>
      <vt:lpstr>MAPPING!SD_4270x1_4371x1_4558x87_9005x1_253_B_0</vt:lpstr>
      <vt:lpstr>MAPPING!SD_4270x1_4371x1_4558x87_9005x1_254_B_0</vt:lpstr>
      <vt:lpstr>MAPPING!SD_4270x1_4371x1_4558x87_9005x1_255_B_0</vt:lpstr>
      <vt:lpstr>MAPPING!SD_4270x1_4371x1_4558x88_10_B_0</vt:lpstr>
      <vt:lpstr>MAPPING!SD_4270x1_4371x1_4558x88_11_B_0</vt:lpstr>
      <vt:lpstr>MAPPING!SD_4270x1_4371x1_4558x88_12_B_0</vt:lpstr>
      <vt:lpstr>MAPPING!SD_4270x1_4371x1_4558x88_25_B_0</vt:lpstr>
      <vt:lpstr>MAPPING!SD_4270x1_4371x1_4558x88_38_B_0</vt:lpstr>
      <vt:lpstr>MAPPING!SD_4270x1_4371x1_4558x88_43_B_0</vt:lpstr>
      <vt:lpstr>MAPPING!SD_4270x1_4371x1_4558x88_6_B_1</vt:lpstr>
      <vt:lpstr>MAPPING!SD_4270x1_4371x1_4558x88_7_B_0</vt:lpstr>
      <vt:lpstr>MAPPING!SD_4270x1_4371x1_4558x88_9_B_0</vt:lpstr>
      <vt:lpstr>MAPPING!SD_4270x1_4371x1_4558x88_9005x1_100_B_0</vt:lpstr>
      <vt:lpstr>MAPPING!SD_4270x1_4371x1_4558x88_9005x1_250_B_1</vt:lpstr>
      <vt:lpstr>MAPPING!SD_4270x1_4371x1_4558x88_9005x1_251_B_0</vt:lpstr>
      <vt:lpstr>MAPPING!SD_4270x1_4371x1_4558x88_9005x1_252_B_0</vt:lpstr>
      <vt:lpstr>MAPPING!SD_4270x1_4371x1_4558x88_9005x1_253_B_0</vt:lpstr>
      <vt:lpstr>MAPPING!SD_4270x1_4371x1_4558x88_9005x1_254_B_0</vt:lpstr>
      <vt:lpstr>MAPPING!SD_4270x1_4371x1_4558x88_9005x1_255_B_0</vt:lpstr>
      <vt:lpstr>MAPPING!SD_4270x1_4371x1_4558x89_10_B_0</vt:lpstr>
      <vt:lpstr>MAPPING!SD_4270x1_4371x1_4558x89_11_B_0</vt:lpstr>
      <vt:lpstr>MAPPING!SD_4270x1_4371x1_4558x89_12_B_0</vt:lpstr>
      <vt:lpstr>MAPPING!SD_4270x1_4371x1_4558x89_25_B_0</vt:lpstr>
      <vt:lpstr>MAPPING!SD_4270x1_4371x1_4558x89_38_B_0</vt:lpstr>
      <vt:lpstr>MAPPING!SD_4270x1_4371x1_4558x89_43_B_0</vt:lpstr>
      <vt:lpstr>MAPPING!SD_4270x1_4371x1_4558x89_6_B_1</vt:lpstr>
      <vt:lpstr>MAPPING!SD_4270x1_4371x1_4558x89_7_B_0</vt:lpstr>
      <vt:lpstr>MAPPING!SD_4270x1_4371x1_4558x89_9_B_0</vt:lpstr>
      <vt:lpstr>MAPPING!SD_4270x1_4371x1_4558x89_9005x1_100_B_0</vt:lpstr>
      <vt:lpstr>MAPPING!SD_4270x1_4371x1_4558x89_9005x1_250_B_1</vt:lpstr>
      <vt:lpstr>MAPPING!SD_4270x1_4371x1_4558x89_9005x1_251_B_0</vt:lpstr>
      <vt:lpstr>MAPPING!SD_4270x1_4371x1_4558x89_9005x1_252_B_0</vt:lpstr>
      <vt:lpstr>MAPPING!SD_4270x1_4371x1_4558x89_9005x1_253_B_0</vt:lpstr>
      <vt:lpstr>MAPPING!SD_4270x1_4371x1_4558x89_9005x1_254_B_0</vt:lpstr>
      <vt:lpstr>MAPPING!SD_4270x1_4371x1_4558x89_9005x1_255_B_0</vt:lpstr>
      <vt:lpstr>MAPPING!SD_4270x1_4371x1_4558x9_10_B_0</vt:lpstr>
      <vt:lpstr>MAPPING!SD_4270x1_4371x1_4558x9_11_B_0</vt:lpstr>
      <vt:lpstr>MAPPING!SD_4270x1_4371x1_4558x9_12_B_0</vt:lpstr>
      <vt:lpstr>MAPPING!SD_4270x1_4371x1_4558x9_25_B_0</vt:lpstr>
      <vt:lpstr>MAPPING!SD_4270x1_4371x1_4558x9_38_B_0</vt:lpstr>
      <vt:lpstr>MAPPING!SD_4270x1_4371x1_4558x9_43_B_0</vt:lpstr>
      <vt:lpstr>MAPPING!SD_4270x1_4371x1_4558x9_6_B_1</vt:lpstr>
      <vt:lpstr>MAPPING!SD_4270x1_4371x1_4558x9_7_B_0</vt:lpstr>
      <vt:lpstr>MAPPING!SD_4270x1_4371x1_4558x9_9_B_0</vt:lpstr>
      <vt:lpstr>MAPPING!SD_4270x1_4371x1_4558x9_9005x1_100_B_0</vt:lpstr>
      <vt:lpstr>MAPPING!SD_4270x1_4371x1_4558x9_9005x1_250_B_1</vt:lpstr>
      <vt:lpstr>MAPPING!SD_4270x1_4371x1_4558x9_9005x1_251_B_0</vt:lpstr>
      <vt:lpstr>MAPPING!SD_4270x1_4371x1_4558x9_9005x1_252_B_0</vt:lpstr>
      <vt:lpstr>MAPPING!SD_4270x1_4371x1_4558x9_9005x1_253_B_0</vt:lpstr>
      <vt:lpstr>MAPPING!SD_4270x1_4371x1_4558x9_9005x1_254_B_0</vt:lpstr>
      <vt:lpstr>MAPPING!SD_4270x1_4371x1_4558x9_9005x1_255_B_0</vt:lpstr>
      <vt:lpstr>MAPPING!SD_4270x1_4371x1_4558x90_10_B_0</vt:lpstr>
      <vt:lpstr>MAPPING!SD_4270x1_4371x1_4558x90_11_B_0</vt:lpstr>
      <vt:lpstr>MAPPING!SD_4270x1_4371x1_4558x90_12_B_0</vt:lpstr>
      <vt:lpstr>MAPPING!SD_4270x1_4371x1_4558x90_25_B_0</vt:lpstr>
      <vt:lpstr>MAPPING!SD_4270x1_4371x1_4558x90_38_B_0</vt:lpstr>
      <vt:lpstr>MAPPING!SD_4270x1_4371x1_4558x90_43_B_0</vt:lpstr>
      <vt:lpstr>MAPPING!SD_4270x1_4371x1_4558x90_6_B_1</vt:lpstr>
      <vt:lpstr>MAPPING!SD_4270x1_4371x1_4558x90_7_B_0</vt:lpstr>
      <vt:lpstr>MAPPING!SD_4270x1_4371x1_4558x90_9_B_0</vt:lpstr>
      <vt:lpstr>MAPPING!SD_4270x1_4371x1_4558x90_9005x1_100_B_0</vt:lpstr>
      <vt:lpstr>MAPPING!SD_4270x1_4371x1_4558x90_9005x1_250_B_1</vt:lpstr>
      <vt:lpstr>MAPPING!SD_4270x1_4371x1_4558x90_9005x1_251_B_0</vt:lpstr>
      <vt:lpstr>MAPPING!SD_4270x1_4371x1_4558x90_9005x1_252_B_0</vt:lpstr>
      <vt:lpstr>MAPPING!SD_4270x1_4371x1_4558x90_9005x1_253_B_0</vt:lpstr>
      <vt:lpstr>MAPPING!SD_4270x1_4371x1_4558x90_9005x1_254_B_0</vt:lpstr>
      <vt:lpstr>MAPPING!SD_4270x1_4371x1_4558x90_9005x1_255_B_0</vt:lpstr>
      <vt:lpstr>MAPPING!SD_4270x1_4371x1_4558x91_10_B_0</vt:lpstr>
      <vt:lpstr>MAPPING!SD_4270x1_4371x1_4558x91_11_B_0</vt:lpstr>
      <vt:lpstr>MAPPING!SD_4270x1_4371x1_4558x91_12_B_0</vt:lpstr>
      <vt:lpstr>MAPPING!SD_4270x1_4371x1_4558x91_25_B_0</vt:lpstr>
      <vt:lpstr>MAPPING!SD_4270x1_4371x1_4558x91_38_B_0</vt:lpstr>
      <vt:lpstr>MAPPING!SD_4270x1_4371x1_4558x91_43_B_0</vt:lpstr>
      <vt:lpstr>MAPPING!SD_4270x1_4371x1_4558x91_6_B_1</vt:lpstr>
      <vt:lpstr>MAPPING!SD_4270x1_4371x1_4558x91_7_B_0</vt:lpstr>
      <vt:lpstr>MAPPING!SD_4270x1_4371x1_4558x91_9_B_0</vt:lpstr>
      <vt:lpstr>MAPPING!SD_4270x1_4371x1_4558x91_9005x1_100_B_0</vt:lpstr>
      <vt:lpstr>MAPPING!SD_4270x1_4371x1_4558x91_9005x1_250_B_1</vt:lpstr>
      <vt:lpstr>MAPPING!SD_4270x1_4371x1_4558x91_9005x1_251_B_0</vt:lpstr>
      <vt:lpstr>MAPPING!SD_4270x1_4371x1_4558x91_9005x1_252_B_0</vt:lpstr>
      <vt:lpstr>MAPPING!SD_4270x1_4371x1_4558x91_9005x1_253_B_0</vt:lpstr>
      <vt:lpstr>MAPPING!SD_4270x1_4371x1_4558x91_9005x1_254_B_0</vt:lpstr>
      <vt:lpstr>MAPPING!SD_4270x1_4371x1_4558x91_9005x1_255_B_0</vt:lpstr>
      <vt:lpstr>MAPPING!SD_4270x1_4371x1_4558x92_10_B_0</vt:lpstr>
      <vt:lpstr>MAPPING!SD_4270x1_4371x1_4558x92_11_B_0</vt:lpstr>
      <vt:lpstr>MAPPING!SD_4270x1_4371x1_4558x92_12_B_0</vt:lpstr>
      <vt:lpstr>MAPPING!SD_4270x1_4371x1_4558x92_25_B_0</vt:lpstr>
      <vt:lpstr>MAPPING!SD_4270x1_4371x1_4558x92_38_B_0</vt:lpstr>
      <vt:lpstr>MAPPING!SD_4270x1_4371x1_4558x92_43_B_0</vt:lpstr>
      <vt:lpstr>MAPPING!SD_4270x1_4371x1_4558x92_6_B_1</vt:lpstr>
      <vt:lpstr>MAPPING!SD_4270x1_4371x1_4558x92_7_B_0</vt:lpstr>
      <vt:lpstr>MAPPING!SD_4270x1_4371x1_4558x92_9_B_0</vt:lpstr>
      <vt:lpstr>MAPPING!SD_4270x1_4371x1_4558x92_9005x1_100_B_0</vt:lpstr>
      <vt:lpstr>MAPPING!SD_4270x1_4371x1_4558x92_9005x1_250_B_1</vt:lpstr>
      <vt:lpstr>MAPPING!SD_4270x1_4371x1_4558x92_9005x1_251_B_0</vt:lpstr>
      <vt:lpstr>MAPPING!SD_4270x1_4371x1_4558x92_9005x1_252_B_0</vt:lpstr>
      <vt:lpstr>MAPPING!SD_4270x1_4371x1_4558x92_9005x1_253_B_0</vt:lpstr>
      <vt:lpstr>MAPPING!SD_4270x1_4371x1_4558x92_9005x1_254_B_0</vt:lpstr>
      <vt:lpstr>MAPPING!SD_4270x1_4371x1_4558x92_9005x1_255_B_0</vt:lpstr>
      <vt:lpstr>MAPPING!SD_4270x1_4371x1_4558x93_10_B_0</vt:lpstr>
      <vt:lpstr>MAPPING!SD_4270x1_4371x1_4558x93_11_B_0</vt:lpstr>
      <vt:lpstr>MAPPING!SD_4270x1_4371x1_4558x93_12_B_0</vt:lpstr>
      <vt:lpstr>MAPPING!SD_4270x1_4371x1_4558x93_25_B_0</vt:lpstr>
      <vt:lpstr>MAPPING!SD_4270x1_4371x1_4558x93_38_B_0</vt:lpstr>
      <vt:lpstr>MAPPING!SD_4270x1_4371x1_4558x93_43_B_0</vt:lpstr>
      <vt:lpstr>MAPPING!SD_4270x1_4371x1_4558x93_6_B_1</vt:lpstr>
      <vt:lpstr>MAPPING!SD_4270x1_4371x1_4558x93_7_B_0</vt:lpstr>
      <vt:lpstr>MAPPING!SD_4270x1_4371x1_4558x93_9_B_0</vt:lpstr>
      <vt:lpstr>MAPPING!SD_4270x1_4371x1_4558x93_9005x1_100_B_0</vt:lpstr>
      <vt:lpstr>MAPPING!SD_4270x1_4371x1_4558x93_9005x1_250_B_1</vt:lpstr>
      <vt:lpstr>MAPPING!SD_4270x1_4371x1_4558x93_9005x1_251_B_0</vt:lpstr>
      <vt:lpstr>MAPPING!SD_4270x1_4371x1_4558x93_9005x1_252_B_0</vt:lpstr>
      <vt:lpstr>MAPPING!SD_4270x1_4371x1_4558x93_9005x1_253_B_0</vt:lpstr>
      <vt:lpstr>MAPPING!SD_4270x1_4371x1_4558x93_9005x1_254_B_0</vt:lpstr>
      <vt:lpstr>MAPPING!SD_4270x1_4371x1_4558x93_9005x1_255_B_0</vt:lpstr>
      <vt:lpstr>MAPPING!SD_4270x1_4371x1_4558x94_10_B_0</vt:lpstr>
      <vt:lpstr>MAPPING!SD_4270x1_4371x1_4558x94_11_B_0</vt:lpstr>
      <vt:lpstr>MAPPING!SD_4270x1_4371x1_4558x94_12_B_0</vt:lpstr>
      <vt:lpstr>MAPPING!SD_4270x1_4371x1_4558x94_25_B_0</vt:lpstr>
      <vt:lpstr>MAPPING!SD_4270x1_4371x1_4558x94_38_B_0</vt:lpstr>
      <vt:lpstr>MAPPING!SD_4270x1_4371x1_4558x94_43_B_0</vt:lpstr>
      <vt:lpstr>MAPPING!SD_4270x1_4371x1_4558x94_6_B_1</vt:lpstr>
      <vt:lpstr>MAPPING!SD_4270x1_4371x1_4558x94_7_B_0</vt:lpstr>
      <vt:lpstr>MAPPING!SD_4270x1_4371x1_4558x94_9_B_0</vt:lpstr>
      <vt:lpstr>MAPPING!SD_4270x1_4371x1_4558x94_9005x1_100_B_0</vt:lpstr>
      <vt:lpstr>MAPPING!SD_4270x1_4371x1_4558x94_9005x1_250_B_1</vt:lpstr>
      <vt:lpstr>MAPPING!SD_4270x1_4371x1_4558x94_9005x1_251_B_0</vt:lpstr>
      <vt:lpstr>MAPPING!SD_4270x1_4371x1_4558x94_9005x1_252_B_0</vt:lpstr>
      <vt:lpstr>MAPPING!SD_4270x1_4371x1_4558x94_9005x1_253_B_0</vt:lpstr>
      <vt:lpstr>MAPPING!SD_4270x1_4371x1_4558x94_9005x1_254_B_0</vt:lpstr>
      <vt:lpstr>MAPPING!SD_4270x1_4371x1_4558x94_9005x1_255_B_0</vt:lpstr>
      <vt:lpstr>MAPPING!SD_4270x1_4371x1_4558x95_10_B_0</vt:lpstr>
      <vt:lpstr>MAPPING!SD_4270x1_4371x1_4558x95_11_B_0</vt:lpstr>
      <vt:lpstr>MAPPING!SD_4270x1_4371x1_4558x95_12_B_0</vt:lpstr>
      <vt:lpstr>MAPPING!SD_4270x1_4371x1_4558x95_25_B_0</vt:lpstr>
      <vt:lpstr>MAPPING!SD_4270x1_4371x1_4558x95_38_B_0</vt:lpstr>
      <vt:lpstr>MAPPING!SD_4270x1_4371x1_4558x95_43_B_0</vt:lpstr>
      <vt:lpstr>MAPPING!SD_4270x1_4371x1_4558x95_6_B_1</vt:lpstr>
      <vt:lpstr>MAPPING!SD_4270x1_4371x1_4558x95_7_B_0</vt:lpstr>
      <vt:lpstr>MAPPING!SD_4270x1_4371x1_4558x95_9_B_0</vt:lpstr>
      <vt:lpstr>MAPPING!SD_4270x1_4371x1_4558x95_9005x1_100_B_0</vt:lpstr>
      <vt:lpstr>MAPPING!SD_4270x1_4371x1_4558x95_9005x1_250_B_1</vt:lpstr>
      <vt:lpstr>MAPPING!SD_4270x1_4371x1_4558x95_9005x1_251_B_0</vt:lpstr>
      <vt:lpstr>MAPPING!SD_4270x1_4371x1_4558x95_9005x1_252_B_0</vt:lpstr>
      <vt:lpstr>MAPPING!SD_4270x1_4371x1_4558x95_9005x1_253_B_0</vt:lpstr>
      <vt:lpstr>MAPPING!SD_4270x1_4371x1_4558x95_9005x1_254_B_0</vt:lpstr>
      <vt:lpstr>MAPPING!SD_4270x1_4371x1_4558x95_9005x1_255_B_0</vt:lpstr>
      <vt:lpstr>MAPPING!SD_4270x1_4371x1_4558x96_10_B_0</vt:lpstr>
      <vt:lpstr>MAPPING!SD_4270x1_4371x1_4558x96_11_B_0</vt:lpstr>
      <vt:lpstr>MAPPING!SD_4270x1_4371x1_4558x96_12_B_0</vt:lpstr>
      <vt:lpstr>MAPPING!SD_4270x1_4371x1_4558x96_25_B_0</vt:lpstr>
      <vt:lpstr>MAPPING!SD_4270x1_4371x1_4558x96_38_B_0</vt:lpstr>
      <vt:lpstr>MAPPING!SD_4270x1_4371x1_4558x96_43_B_0</vt:lpstr>
      <vt:lpstr>MAPPING!SD_4270x1_4371x1_4558x96_6_B_1</vt:lpstr>
      <vt:lpstr>MAPPING!SD_4270x1_4371x1_4558x96_7_B_0</vt:lpstr>
      <vt:lpstr>MAPPING!SD_4270x1_4371x1_4558x96_9_B_0</vt:lpstr>
      <vt:lpstr>MAPPING!SD_4270x1_4371x1_4558x96_9005x1_100_B_0</vt:lpstr>
      <vt:lpstr>MAPPING!SD_4270x1_4371x1_4558x96_9005x1_250_B_1</vt:lpstr>
      <vt:lpstr>MAPPING!SD_4270x1_4371x1_4558x96_9005x1_251_B_0</vt:lpstr>
      <vt:lpstr>MAPPING!SD_4270x1_4371x1_4558x96_9005x1_252_B_0</vt:lpstr>
      <vt:lpstr>MAPPING!SD_4270x1_4371x1_4558x96_9005x1_253_B_0</vt:lpstr>
      <vt:lpstr>MAPPING!SD_4270x1_4371x1_4558x96_9005x1_254_B_0</vt:lpstr>
      <vt:lpstr>MAPPING!SD_4270x1_4371x1_4558x96_9005x1_255_B_0</vt:lpstr>
      <vt:lpstr>MAPPING!SD_4270x1_4371x1_4558x97_10_B_0</vt:lpstr>
      <vt:lpstr>MAPPING!SD_4270x1_4371x1_4558x97_11_B_0</vt:lpstr>
      <vt:lpstr>MAPPING!SD_4270x1_4371x1_4558x97_12_B_0</vt:lpstr>
      <vt:lpstr>MAPPING!SD_4270x1_4371x1_4558x97_25_B_0</vt:lpstr>
      <vt:lpstr>MAPPING!SD_4270x1_4371x1_4558x97_38_B_0</vt:lpstr>
      <vt:lpstr>MAPPING!SD_4270x1_4371x1_4558x97_43_B_0</vt:lpstr>
      <vt:lpstr>MAPPING!SD_4270x1_4371x1_4558x97_6_B_1</vt:lpstr>
      <vt:lpstr>MAPPING!SD_4270x1_4371x1_4558x97_7_B_0</vt:lpstr>
      <vt:lpstr>MAPPING!SD_4270x1_4371x1_4558x97_9_B_0</vt:lpstr>
      <vt:lpstr>MAPPING!SD_4270x1_4371x1_4558x97_9005x1_100_B_0</vt:lpstr>
      <vt:lpstr>MAPPING!SD_4270x1_4371x1_4558x97_9005x1_250_B_1</vt:lpstr>
      <vt:lpstr>MAPPING!SD_4270x1_4371x1_4558x97_9005x1_251_B_0</vt:lpstr>
      <vt:lpstr>MAPPING!SD_4270x1_4371x1_4558x97_9005x1_252_B_0</vt:lpstr>
      <vt:lpstr>MAPPING!SD_4270x1_4371x1_4558x97_9005x1_253_B_0</vt:lpstr>
      <vt:lpstr>MAPPING!SD_4270x1_4371x1_4558x97_9005x1_254_B_0</vt:lpstr>
      <vt:lpstr>MAPPING!SD_4270x1_4371x1_4558x97_9005x1_255_B_0</vt:lpstr>
      <vt:lpstr>MAPPING!SD_4270x1_4371x1_4558x98_10_B_0</vt:lpstr>
      <vt:lpstr>MAPPING!SD_4270x1_4371x1_4558x98_11_B_0</vt:lpstr>
      <vt:lpstr>MAPPING!SD_4270x1_4371x1_4558x98_12_B_0</vt:lpstr>
      <vt:lpstr>MAPPING!SD_4270x1_4371x1_4558x98_25_B_0</vt:lpstr>
      <vt:lpstr>MAPPING!SD_4270x1_4371x1_4558x98_38_B_0</vt:lpstr>
      <vt:lpstr>MAPPING!SD_4270x1_4371x1_4558x98_43_B_0</vt:lpstr>
      <vt:lpstr>MAPPING!SD_4270x1_4371x1_4558x98_6_B_1</vt:lpstr>
      <vt:lpstr>MAPPING!SD_4270x1_4371x1_4558x98_7_B_0</vt:lpstr>
      <vt:lpstr>MAPPING!SD_4270x1_4371x1_4558x98_9_B_0</vt:lpstr>
      <vt:lpstr>MAPPING!SD_4270x1_4371x1_4558x98_9005x1_100_B_0</vt:lpstr>
      <vt:lpstr>MAPPING!SD_4270x1_4371x1_4558x98_9005x1_250_B_1</vt:lpstr>
      <vt:lpstr>MAPPING!SD_4270x1_4371x1_4558x98_9005x1_251_B_0</vt:lpstr>
      <vt:lpstr>MAPPING!SD_4270x1_4371x1_4558x98_9005x1_252_B_0</vt:lpstr>
      <vt:lpstr>MAPPING!SD_4270x1_4371x1_4558x98_9005x1_253_B_0</vt:lpstr>
      <vt:lpstr>MAPPING!SD_4270x1_4371x1_4558x98_9005x1_254_B_0</vt:lpstr>
      <vt:lpstr>MAPPING!SD_4270x1_4371x1_4558x98_9005x1_255_B_0</vt:lpstr>
      <vt:lpstr>MAPPING!SD_4270x1_4371x1_4558x99_10_B_0</vt:lpstr>
      <vt:lpstr>MAPPING!SD_4270x1_4371x1_4558x99_11_B_0</vt:lpstr>
      <vt:lpstr>MAPPING!SD_4270x1_4371x1_4558x99_12_B_0</vt:lpstr>
      <vt:lpstr>MAPPING!SD_4270x1_4371x1_4558x99_25_B_0</vt:lpstr>
      <vt:lpstr>MAPPING!SD_4270x1_4371x1_4558x99_38_B_0</vt:lpstr>
      <vt:lpstr>MAPPING!SD_4270x1_4371x1_4558x99_43_B_0</vt:lpstr>
      <vt:lpstr>MAPPING!SD_4270x1_4371x1_4558x99_6_B_1</vt:lpstr>
      <vt:lpstr>MAPPING!SD_4270x1_4371x1_4558x99_7_B_0</vt:lpstr>
      <vt:lpstr>MAPPING!SD_4270x1_4371x1_4558x99_9_B_0</vt:lpstr>
      <vt:lpstr>MAPPING!SD_4270x1_4371x1_4558x99_9005x1_100_B_0</vt:lpstr>
      <vt:lpstr>MAPPING!SD_4270x1_4371x1_4558x99_9005x1_250_B_1</vt:lpstr>
      <vt:lpstr>MAPPING!SD_4270x1_4371x1_4558x99_9005x1_251_B_0</vt:lpstr>
      <vt:lpstr>MAPPING!SD_4270x1_4371x1_4558x99_9005x1_252_B_0</vt:lpstr>
      <vt:lpstr>MAPPING!SD_4270x1_4371x1_4558x99_9005x1_253_B_0</vt:lpstr>
      <vt:lpstr>MAPPING!SD_4270x1_4371x1_4558x99_9005x1_254_B_0</vt:lpstr>
      <vt:lpstr>MAPPING!SD_4270x1_4371x1_4558x99_9005x1_255_B_0</vt:lpstr>
      <vt:lpstr>MAPPING!SD_4270x1_4371x1_4594x1_10_B_0</vt:lpstr>
      <vt:lpstr>MAPPING!SD_4270x1_4371x1_4594x1_16_B_0</vt:lpstr>
      <vt:lpstr>MAPPING!SD_4270x1_4371x1_4594x1_17_B_0</vt:lpstr>
      <vt:lpstr>MAPPING!SD_4270x1_4371x1_4594x1_18_B_0</vt:lpstr>
      <vt:lpstr>MAPPING!SD_4270x1_4371x1_4594x1_19_B_0</vt:lpstr>
      <vt:lpstr>MAPPING!SD_4270x1_4371x1_4594x1_22_B_0</vt:lpstr>
      <vt:lpstr>MAPPING!SD_4270x1_4371x1_4594x1_23_B_0</vt:lpstr>
      <vt:lpstr>MAPPING!SD_4270x1_4371x1_4594x1_24_B_0</vt:lpstr>
      <vt:lpstr>MAPPING!SD_4270x1_4371x1_4594x1_25_B_0</vt:lpstr>
      <vt:lpstr>MAPPING!SD_4270x1_4371x1_4594x1_26_B_0</vt:lpstr>
      <vt:lpstr>MAPPING!SD_4270x1_4371x1_4594x1_28_B_0</vt:lpstr>
      <vt:lpstr>MAPPING!SD_4270x1_4371x1_4594x1_29_B_0</vt:lpstr>
      <vt:lpstr>MAPPING!SD_4270x1_4371x1_4594x1_30_B_0</vt:lpstr>
      <vt:lpstr>MAPPING!SD_4270x1_4371x1_4594x1_32_B_0</vt:lpstr>
      <vt:lpstr>MAPPING!SD_4270x1_4371x1_4594x1_33_B_0</vt:lpstr>
      <vt:lpstr>MAPPING!SD_4270x1_4371x1_4594x1_38_B_0</vt:lpstr>
      <vt:lpstr>MAPPING!SD_4270x1_4371x1_4594x1_40_B_0</vt:lpstr>
      <vt:lpstr>MAPPING!SD_4270x1_4371x1_4594x1_41_B_0</vt:lpstr>
      <vt:lpstr>MAPPING!SD_4270x1_4371x1_4594x1_43_B_0</vt:lpstr>
      <vt:lpstr>MAPPING!SD_4270x1_4371x1_4594x1_44_B_0</vt:lpstr>
      <vt:lpstr>MAPPING!SD_4270x1_4371x1_4594x1_45_B_0</vt:lpstr>
      <vt:lpstr>MAPPING!SD_4270x1_4371x1_4594x1_61_B_0</vt:lpstr>
      <vt:lpstr>MAPPING!SD_4270x1_4371x1_4594x1_62_B_0</vt:lpstr>
      <vt:lpstr>MAPPING!SD_4270x1_4371x1_4594x1_63_B_0</vt:lpstr>
      <vt:lpstr>MAPPING!SD_4270x1_4371x1_4594x1_64_B_0</vt:lpstr>
      <vt:lpstr>MAPPING!SD_4270x1_4371x1_4594x1_65_B_0</vt:lpstr>
      <vt:lpstr>MAPPING!SD_4270x1_4371x1_4594x1_67_B_0</vt:lpstr>
      <vt:lpstr>MAPPING!SD_4270x1_4371x1_4594x1_68_B_0</vt:lpstr>
      <vt:lpstr>MAPPING!SD_4270x1_4371x1_4594x1_69_B_0</vt:lpstr>
      <vt:lpstr>MAPPING!SD_4270x1_4371x1_4594x1_70_B_0</vt:lpstr>
      <vt:lpstr>MAPPING!SD_4270x1_4371x1_4594x1_71_B_0</vt:lpstr>
      <vt:lpstr>MAPPING!SD_4270x1_4371x1_4594x1_73_B_0</vt:lpstr>
      <vt:lpstr>MAPPING!SD_4270x1_4371x1_4594x1_74_B_0</vt:lpstr>
      <vt:lpstr>MAPPING!SD_4270x1_4371x1_4594x1_87_B_0</vt:lpstr>
      <vt:lpstr>MAPPING!SD_4270x1_4371x1_4594x1_9_B_0</vt:lpstr>
      <vt:lpstr>MAPPING!SD_4270x1_4371x1_4594x1_90_B_0</vt:lpstr>
      <vt:lpstr>MAPPING!SD_4270x1_4371x1_4594x1_91_B_0</vt:lpstr>
      <vt:lpstr>MAPPING!SD_4270x1_4371x1_4594x1_92_B_0</vt:lpstr>
      <vt:lpstr>MAPPING!SD_4270x1_4371x1_4594x1_93_B_0</vt:lpstr>
      <vt:lpstr>MAPPING!SD_4270x1_4371x1_4600x1_10_B_0</vt:lpstr>
      <vt:lpstr>MAPPING!SD_4270x1_4371x1_4600x1_16_B_0</vt:lpstr>
      <vt:lpstr>MAPPING!SD_4270x1_4371x1_4600x1_17_B_0</vt:lpstr>
      <vt:lpstr>MAPPING!SD_4270x1_4371x1_4600x1_18_B_0</vt:lpstr>
      <vt:lpstr>MAPPING!SD_4270x1_4371x1_4600x1_19_B_0</vt:lpstr>
      <vt:lpstr>MAPPING!SD_4270x1_4371x1_4600x1_22_B_0</vt:lpstr>
      <vt:lpstr>MAPPING!SD_4270x1_4371x1_4600x1_23_B_0</vt:lpstr>
      <vt:lpstr>MAPPING!SD_4270x1_4371x1_4600x1_24_B_0</vt:lpstr>
      <vt:lpstr>MAPPING!SD_4270x1_4371x1_4600x1_25_B_0</vt:lpstr>
      <vt:lpstr>MAPPING!SD_4270x1_4371x1_4600x1_26_B_0</vt:lpstr>
      <vt:lpstr>MAPPING!SD_4270x1_4371x1_4600x1_28_B_0</vt:lpstr>
      <vt:lpstr>MAPPING!SD_4270x1_4371x1_4600x1_29_B_0</vt:lpstr>
      <vt:lpstr>MAPPING!SD_4270x1_4371x1_4600x1_30_B_0</vt:lpstr>
      <vt:lpstr>MAPPING!SD_4270x1_4371x1_4600x1_32_B_0</vt:lpstr>
      <vt:lpstr>MAPPING!SD_4270x1_4371x1_4600x1_33_B_0</vt:lpstr>
      <vt:lpstr>MAPPING!SD_4270x1_4371x1_4600x1_38_B_0</vt:lpstr>
      <vt:lpstr>MAPPING!SD_4270x1_4371x1_4600x1_40_B_0</vt:lpstr>
      <vt:lpstr>MAPPING!SD_4270x1_4371x1_4600x1_41_B_0</vt:lpstr>
      <vt:lpstr>MAPPING!SD_4270x1_4371x1_4600x1_43_B_0</vt:lpstr>
      <vt:lpstr>MAPPING!SD_4270x1_4371x1_4600x1_44_B_0</vt:lpstr>
      <vt:lpstr>MAPPING!SD_4270x1_4371x1_4600x1_45_B_0</vt:lpstr>
      <vt:lpstr>MAPPING!SD_4270x1_4371x1_4600x1_61_B_0</vt:lpstr>
      <vt:lpstr>MAPPING!SD_4270x1_4371x1_4600x1_62_B_0</vt:lpstr>
      <vt:lpstr>MAPPING!SD_4270x1_4371x1_4600x1_63_B_0</vt:lpstr>
      <vt:lpstr>MAPPING!SD_4270x1_4371x1_4600x1_64_B_0</vt:lpstr>
      <vt:lpstr>MAPPING!SD_4270x1_4371x1_4600x1_65_B_0</vt:lpstr>
      <vt:lpstr>MAPPING!SD_4270x1_4371x1_4600x1_67_B_0</vt:lpstr>
      <vt:lpstr>MAPPING!SD_4270x1_4371x1_4600x1_68_B_0</vt:lpstr>
      <vt:lpstr>MAPPING!SD_4270x1_4371x1_4600x1_69_B_0</vt:lpstr>
      <vt:lpstr>MAPPING!SD_4270x1_4371x1_4600x1_70_B_0</vt:lpstr>
      <vt:lpstr>MAPPING!SD_4270x1_4371x1_4600x1_71_B_0</vt:lpstr>
      <vt:lpstr>MAPPING!SD_4270x1_4371x1_4600x1_73_B_0</vt:lpstr>
      <vt:lpstr>MAPPING!SD_4270x1_4371x1_4600x1_74_B_0</vt:lpstr>
      <vt:lpstr>MAPPING!SD_4270x1_4371x1_4600x1_87_B_0</vt:lpstr>
      <vt:lpstr>MAPPING!SD_4270x1_4371x1_4600x1_9_B_0</vt:lpstr>
      <vt:lpstr>MAPPING!SD_4270x1_4371x1_4600x1_90_B_0</vt:lpstr>
      <vt:lpstr>MAPPING!SD_4270x1_4371x1_4600x1_91_B_0</vt:lpstr>
      <vt:lpstr>MAPPING!SD_4270x1_4371x1_4600x1_92_B_0</vt:lpstr>
      <vt:lpstr>MAPPING!SD_4270x1_4371x1_4600x1_93_B_0</vt:lpstr>
      <vt:lpstr>MAPPING!SD_4270x1_4371x1_4606x1_5_B_1</vt:lpstr>
      <vt:lpstr>MAPPING!SD_4270x1_4371x1_4606x1_6_B_1</vt:lpstr>
      <vt:lpstr>MAPPING!SD_4270x1_4371x1_4606x1_7_B_0</vt:lpstr>
      <vt:lpstr>MAPPING!SD_4270x1_4371x1_4606x1_8_B_0</vt:lpstr>
      <vt:lpstr>MAPPING!SD_4270x1_4371x1_4606x1_9_B_0</vt:lpstr>
      <vt:lpstr>MAPPING!SD_4270x1_4371x1_4606x10_5_B_1</vt:lpstr>
      <vt:lpstr>MAPPING!SD_4270x1_4371x1_4606x10_6_B_1</vt:lpstr>
      <vt:lpstr>MAPPING!SD_4270x1_4371x1_4606x10_7_B_0</vt:lpstr>
      <vt:lpstr>MAPPING!SD_4270x1_4371x1_4606x10_8_B_0</vt:lpstr>
      <vt:lpstr>MAPPING!SD_4270x1_4371x1_4606x10_9_B_0</vt:lpstr>
      <vt:lpstr>MAPPING!SD_4270x1_4371x1_4606x11_5_B_1</vt:lpstr>
      <vt:lpstr>MAPPING!SD_4270x1_4371x1_4606x11_6_B_1</vt:lpstr>
      <vt:lpstr>MAPPING!SD_4270x1_4371x1_4606x11_7_B_0</vt:lpstr>
      <vt:lpstr>MAPPING!SD_4270x1_4371x1_4606x11_8_B_0</vt:lpstr>
      <vt:lpstr>MAPPING!SD_4270x1_4371x1_4606x11_9_B_0</vt:lpstr>
      <vt:lpstr>MAPPING!SD_4270x1_4371x1_4606x12_5_B_1</vt:lpstr>
      <vt:lpstr>MAPPING!SD_4270x1_4371x1_4606x12_6_B_1</vt:lpstr>
      <vt:lpstr>MAPPING!SD_4270x1_4371x1_4606x12_7_B_0</vt:lpstr>
      <vt:lpstr>MAPPING!SD_4270x1_4371x1_4606x12_8_B_0</vt:lpstr>
      <vt:lpstr>MAPPING!SD_4270x1_4371x1_4606x12_9_B_0</vt:lpstr>
      <vt:lpstr>MAPPING!SD_4270x1_4371x1_4606x13_5_B_1</vt:lpstr>
      <vt:lpstr>MAPPING!SD_4270x1_4371x1_4606x13_6_B_1</vt:lpstr>
      <vt:lpstr>MAPPING!SD_4270x1_4371x1_4606x13_7_B_0</vt:lpstr>
      <vt:lpstr>MAPPING!SD_4270x1_4371x1_4606x13_8_B_0</vt:lpstr>
      <vt:lpstr>MAPPING!SD_4270x1_4371x1_4606x13_9_B_0</vt:lpstr>
      <vt:lpstr>MAPPING!SD_4270x1_4371x1_4606x14_5_B_1</vt:lpstr>
      <vt:lpstr>MAPPING!SD_4270x1_4371x1_4606x14_6_B_1</vt:lpstr>
      <vt:lpstr>MAPPING!SD_4270x1_4371x1_4606x14_7_B_0</vt:lpstr>
      <vt:lpstr>MAPPING!SD_4270x1_4371x1_4606x14_8_B_0</vt:lpstr>
      <vt:lpstr>MAPPING!SD_4270x1_4371x1_4606x14_9_B_0</vt:lpstr>
      <vt:lpstr>MAPPING!SD_4270x1_4371x1_4606x15_5_B_1</vt:lpstr>
      <vt:lpstr>MAPPING!SD_4270x1_4371x1_4606x15_6_B_1</vt:lpstr>
      <vt:lpstr>MAPPING!SD_4270x1_4371x1_4606x15_7_B_0</vt:lpstr>
      <vt:lpstr>MAPPING!SD_4270x1_4371x1_4606x15_8_B_0</vt:lpstr>
      <vt:lpstr>MAPPING!SD_4270x1_4371x1_4606x15_9_B_0</vt:lpstr>
      <vt:lpstr>MAPPING!SD_4270x1_4371x1_4606x16_5_B_1</vt:lpstr>
      <vt:lpstr>MAPPING!SD_4270x1_4371x1_4606x16_6_B_1</vt:lpstr>
      <vt:lpstr>MAPPING!SD_4270x1_4371x1_4606x16_7_B_0</vt:lpstr>
      <vt:lpstr>MAPPING!SD_4270x1_4371x1_4606x16_8_B_0</vt:lpstr>
      <vt:lpstr>MAPPING!SD_4270x1_4371x1_4606x16_9_B_0</vt:lpstr>
      <vt:lpstr>MAPPING!SD_4270x1_4371x1_4606x17_5_B_1</vt:lpstr>
      <vt:lpstr>MAPPING!SD_4270x1_4371x1_4606x17_6_B_1</vt:lpstr>
      <vt:lpstr>MAPPING!SD_4270x1_4371x1_4606x17_7_B_0</vt:lpstr>
      <vt:lpstr>MAPPING!SD_4270x1_4371x1_4606x17_8_B_0</vt:lpstr>
      <vt:lpstr>MAPPING!SD_4270x1_4371x1_4606x17_9_B_0</vt:lpstr>
      <vt:lpstr>MAPPING!SD_4270x1_4371x1_4606x18_5_B_1</vt:lpstr>
      <vt:lpstr>MAPPING!SD_4270x1_4371x1_4606x18_6_B_1</vt:lpstr>
      <vt:lpstr>MAPPING!SD_4270x1_4371x1_4606x18_7_B_0</vt:lpstr>
      <vt:lpstr>MAPPING!SD_4270x1_4371x1_4606x18_8_B_0</vt:lpstr>
      <vt:lpstr>MAPPING!SD_4270x1_4371x1_4606x18_9_B_0</vt:lpstr>
      <vt:lpstr>MAPPING!SD_4270x1_4371x1_4606x19_5_B_1</vt:lpstr>
      <vt:lpstr>MAPPING!SD_4270x1_4371x1_4606x19_6_B_1</vt:lpstr>
      <vt:lpstr>MAPPING!SD_4270x1_4371x1_4606x19_7_B_0</vt:lpstr>
      <vt:lpstr>MAPPING!SD_4270x1_4371x1_4606x19_8_B_0</vt:lpstr>
      <vt:lpstr>MAPPING!SD_4270x1_4371x1_4606x19_9_B_0</vt:lpstr>
      <vt:lpstr>MAPPING!SD_4270x1_4371x1_4606x2_5_B_1</vt:lpstr>
      <vt:lpstr>MAPPING!SD_4270x1_4371x1_4606x2_6_B_1</vt:lpstr>
      <vt:lpstr>MAPPING!SD_4270x1_4371x1_4606x2_7_B_0</vt:lpstr>
      <vt:lpstr>MAPPING!SD_4270x1_4371x1_4606x2_8_B_0</vt:lpstr>
      <vt:lpstr>MAPPING!SD_4270x1_4371x1_4606x2_9_B_0</vt:lpstr>
      <vt:lpstr>MAPPING!SD_4270x1_4371x1_4606x20_5_B_1</vt:lpstr>
      <vt:lpstr>MAPPING!SD_4270x1_4371x1_4606x20_6_B_1</vt:lpstr>
      <vt:lpstr>MAPPING!SD_4270x1_4371x1_4606x20_7_B_0</vt:lpstr>
      <vt:lpstr>MAPPING!SD_4270x1_4371x1_4606x20_8_B_0</vt:lpstr>
      <vt:lpstr>MAPPING!SD_4270x1_4371x1_4606x20_9_B_0</vt:lpstr>
      <vt:lpstr>MAPPING!SD_4270x1_4371x1_4606x21_5_B_1</vt:lpstr>
      <vt:lpstr>MAPPING!SD_4270x1_4371x1_4606x21_6_B_1</vt:lpstr>
      <vt:lpstr>MAPPING!SD_4270x1_4371x1_4606x21_7_B_0</vt:lpstr>
      <vt:lpstr>MAPPING!SD_4270x1_4371x1_4606x21_8_B_0</vt:lpstr>
      <vt:lpstr>MAPPING!SD_4270x1_4371x1_4606x21_9_B_0</vt:lpstr>
      <vt:lpstr>MAPPING!SD_4270x1_4371x1_4606x22_5_B_1</vt:lpstr>
      <vt:lpstr>MAPPING!SD_4270x1_4371x1_4606x22_6_B_1</vt:lpstr>
      <vt:lpstr>MAPPING!SD_4270x1_4371x1_4606x22_7_B_0</vt:lpstr>
      <vt:lpstr>MAPPING!SD_4270x1_4371x1_4606x22_8_B_0</vt:lpstr>
      <vt:lpstr>MAPPING!SD_4270x1_4371x1_4606x22_9_B_0</vt:lpstr>
      <vt:lpstr>MAPPING!SD_4270x1_4371x1_4606x23_5_B_1</vt:lpstr>
      <vt:lpstr>MAPPING!SD_4270x1_4371x1_4606x23_6_B_1</vt:lpstr>
      <vt:lpstr>MAPPING!SD_4270x1_4371x1_4606x23_7_B_0</vt:lpstr>
      <vt:lpstr>MAPPING!SD_4270x1_4371x1_4606x23_8_B_0</vt:lpstr>
      <vt:lpstr>MAPPING!SD_4270x1_4371x1_4606x23_9_B_0</vt:lpstr>
      <vt:lpstr>MAPPING!SD_4270x1_4371x1_4606x24_5_B_1</vt:lpstr>
      <vt:lpstr>MAPPING!SD_4270x1_4371x1_4606x24_6_B_1</vt:lpstr>
      <vt:lpstr>MAPPING!SD_4270x1_4371x1_4606x24_7_B_0</vt:lpstr>
      <vt:lpstr>MAPPING!SD_4270x1_4371x1_4606x24_8_B_0</vt:lpstr>
      <vt:lpstr>MAPPING!SD_4270x1_4371x1_4606x24_9_B_0</vt:lpstr>
      <vt:lpstr>MAPPING!SD_4270x1_4371x1_4606x25_5_B_1</vt:lpstr>
      <vt:lpstr>MAPPING!SD_4270x1_4371x1_4606x25_6_B_1</vt:lpstr>
      <vt:lpstr>MAPPING!SD_4270x1_4371x1_4606x25_7_B_0</vt:lpstr>
      <vt:lpstr>MAPPING!SD_4270x1_4371x1_4606x25_8_B_0</vt:lpstr>
      <vt:lpstr>MAPPING!SD_4270x1_4371x1_4606x25_9_B_0</vt:lpstr>
      <vt:lpstr>MAPPING!SD_4270x1_4371x1_4606x26_5_B_1</vt:lpstr>
      <vt:lpstr>MAPPING!SD_4270x1_4371x1_4606x26_6_B_1</vt:lpstr>
      <vt:lpstr>MAPPING!SD_4270x1_4371x1_4606x26_7_B_0</vt:lpstr>
      <vt:lpstr>MAPPING!SD_4270x1_4371x1_4606x26_8_B_0</vt:lpstr>
      <vt:lpstr>MAPPING!SD_4270x1_4371x1_4606x26_9_B_0</vt:lpstr>
      <vt:lpstr>MAPPING!SD_4270x1_4371x1_4606x27_5_B_1</vt:lpstr>
      <vt:lpstr>MAPPING!SD_4270x1_4371x1_4606x27_6_B_1</vt:lpstr>
      <vt:lpstr>MAPPING!SD_4270x1_4371x1_4606x27_7_B_0</vt:lpstr>
      <vt:lpstr>MAPPING!SD_4270x1_4371x1_4606x27_8_B_0</vt:lpstr>
      <vt:lpstr>MAPPING!SD_4270x1_4371x1_4606x27_9_B_0</vt:lpstr>
      <vt:lpstr>MAPPING!SD_4270x1_4371x1_4606x28_5_B_1</vt:lpstr>
      <vt:lpstr>MAPPING!SD_4270x1_4371x1_4606x28_6_B_1</vt:lpstr>
      <vt:lpstr>MAPPING!SD_4270x1_4371x1_4606x28_7_B_0</vt:lpstr>
      <vt:lpstr>MAPPING!SD_4270x1_4371x1_4606x28_8_B_0</vt:lpstr>
      <vt:lpstr>MAPPING!SD_4270x1_4371x1_4606x28_9_B_0</vt:lpstr>
      <vt:lpstr>MAPPING!SD_4270x1_4371x1_4606x29_5_B_1</vt:lpstr>
      <vt:lpstr>MAPPING!SD_4270x1_4371x1_4606x29_6_B_1</vt:lpstr>
      <vt:lpstr>MAPPING!SD_4270x1_4371x1_4606x29_7_B_0</vt:lpstr>
      <vt:lpstr>MAPPING!SD_4270x1_4371x1_4606x29_8_B_0</vt:lpstr>
      <vt:lpstr>MAPPING!SD_4270x1_4371x1_4606x29_9_B_0</vt:lpstr>
      <vt:lpstr>MAPPING!SD_4270x1_4371x1_4606x3_5_B_1</vt:lpstr>
      <vt:lpstr>MAPPING!SD_4270x1_4371x1_4606x3_6_B_1</vt:lpstr>
      <vt:lpstr>MAPPING!SD_4270x1_4371x1_4606x3_7_B_0</vt:lpstr>
      <vt:lpstr>MAPPING!SD_4270x1_4371x1_4606x3_8_B_0</vt:lpstr>
      <vt:lpstr>MAPPING!SD_4270x1_4371x1_4606x3_9_B_0</vt:lpstr>
      <vt:lpstr>MAPPING!SD_4270x1_4371x1_4606x30_5_B_1</vt:lpstr>
      <vt:lpstr>MAPPING!SD_4270x1_4371x1_4606x30_6_B_1</vt:lpstr>
      <vt:lpstr>MAPPING!SD_4270x1_4371x1_4606x30_7_B_0</vt:lpstr>
      <vt:lpstr>MAPPING!SD_4270x1_4371x1_4606x30_8_B_0</vt:lpstr>
      <vt:lpstr>MAPPING!SD_4270x1_4371x1_4606x30_9_B_0</vt:lpstr>
      <vt:lpstr>MAPPING!SD_4270x1_4371x1_4606x31_5_B_1</vt:lpstr>
      <vt:lpstr>MAPPING!SD_4270x1_4371x1_4606x31_6_B_1</vt:lpstr>
      <vt:lpstr>MAPPING!SD_4270x1_4371x1_4606x31_7_B_0</vt:lpstr>
      <vt:lpstr>MAPPING!SD_4270x1_4371x1_4606x31_8_B_0</vt:lpstr>
      <vt:lpstr>MAPPING!SD_4270x1_4371x1_4606x31_9_B_0</vt:lpstr>
      <vt:lpstr>MAPPING!SD_4270x1_4371x1_4606x32_5_B_1</vt:lpstr>
      <vt:lpstr>MAPPING!SD_4270x1_4371x1_4606x32_6_B_1</vt:lpstr>
      <vt:lpstr>MAPPING!SD_4270x1_4371x1_4606x32_7_B_0</vt:lpstr>
      <vt:lpstr>MAPPING!SD_4270x1_4371x1_4606x32_8_B_0</vt:lpstr>
      <vt:lpstr>MAPPING!SD_4270x1_4371x1_4606x32_9_B_0</vt:lpstr>
      <vt:lpstr>MAPPING!SD_4270x1_4371x1_4606x33_5_B_1</vt:lpstr>
      <vt:lpstr>MAPPING!SD_4270x1_4371x1_4606x33_6_B_1</vt:lpstr>
      <vt:lpstr>MAPPING!SD_4270x1_4371x1_4606x33_7_B_0</vt:lpstr>
      <vt:lpstr>MAPPING!SD_4270x1_4371x1_4606x33_8_B_0</vt:lpstr>
      <vt:lpstr>MAPPING!SD_4270x1_4371x1_4606x33_9_B_0</vt:lpstr>
      <vt:lpstr>MAPPING!SD_4270x1_4371x1_4606x34_5_B_1</vt:lpstr>
      <vt:lpstr>MAPPING!SD_4270x1_4371x1_4606x34_6_B_1</vt:lpstr>
      <vt:lpstr>MAPPING!SD_4270x1_4371x1_4606x34_7_B_0</vt:lpstr>
      <vt:lpstr>MAPPING!SD_4270x1_4371x1_4606x34_8_B_0</vt:lpstr>
      <vt:lpstr>MAPPING!SD_4270x1_4371x1_4606x34_9_B_0</vt:lpstr>
      <vt:lpstr>MAPPING!SD_4270x1_4371x1_4606x35_5_B_1</vt:lpstr>
      <vt:lpstr>MAPPING!SD_4270x1_4371x1_4606x35_6_B_1</vt:lpstr>
      <vt:lpstr>MAPPING!SD_4270x1_4371x1_4606x35_7_B_0</vt:lpstr>
      <vt:lpstr>MAPPING!SD_4270x1_4371x1_4606x35_8_B_0</vt:lpstr>
      <vt:lpstr>MAPPING!SD_4270x1_4371x1_4606x35_9_B_0</vt:lpstr>
      <vt:lpstr>MAPPING!SD_4270x1_4371x1_4606x36_5_B_1</vt:lpstr>
      <vt:lpstr>MAPPING!SD_4270x1_4371x1_4606x36_6_B_1</vt:lpstr>
      <vt:lpstr>MAPPING!SD_4270x1_4371x1_4606x36_7_B_0</vt:lpstr>
      <vt:lpstr>MAPPING!SD_4270x1_4371x1_4606x36_8_B_0</vt:lpstr>
      <vt:lpstr>MAPPING!SD_4270x1_4371x1_4606x36_9_B_0</vt:lpstr>
      <vt:lpstr>MAPPING!SD_4270x1_4371x1_4606x37_5_B_1</vt:lpstr>
      <vt:lpstr>MAPPING!SD_4270x1_4371x1_4606x37_6_B_1</vt:lpstr>
      <vt:lpstr>MAPPING!SD_4270x1_4371x1_4606x37_7_B_0</vt:lpstr>
      <vt:lpstr>MAPPING!SD_4270x1_4371x1_4606x37_8_B_0</vt:lpstr>
      <vt:lpstr>MAPPING!SD_4270x1_4371x1_4606x37_9_B_0</vt:lpstr>
      <vt:lpstr>MAPPING!SD_4270x1_4371x1_4606x38_5_B_1</vt:lpstr>
      <vt:lpstr>MAPPING!SD_4270x1_4371x1_4606x38_6_B_1</vt:lpstr>
      <vt:lpstr>MAPPING!SD_4270x1_4371x1_4606x38_7_B_0</vt:lpstr>
      <vt:lpstr>MAPPING!SD_4270x1_4371x1_4606x38_8_B_0</vt:lpstr>
      <vt:lpstr>MAPPING!SD_4270x1_4371x1_4606x38_9_B_0</vt:lpstr>
      <vt:lpstr>MAPPING!SD_4270x1_4371x1_4606x39_5_B_1</vt:lpstr>
      <vt:lpstr>MAPPING!SD_4270x1_4371x1_4606x39_6_B_1</vt:lpstr>
      <vt:lpstr>MAPPING!SD_4270x1_4371x1_4606x39_7_B_0</vt:lpstr>
      <vt:lpstr>MAPPING!SD_4270x1_4371x1_4606x39_8_B_0</vt:lpstr>
      <vt:lpstr>MAPPING!SD_4270x1_4371x1_4606x39_9_B_0</vt:lpstr>
      <vt:lpstr>MAPPING!SD_4270x1_4371x1_4606x4_5_B_1</vt:lpstr>
      <vt:lpstr>MAPPING!SD_4270x1_4371x1_4606x4_6_B_1</vt:lpstr>
      <vt:lpstr>MAPPING!SD_4270x1_4371x1_4606x4_7_B_0</vt:lpstr>
      <vt:lpstr>MAPPING!SD_4270x1_4371x1_4606x4_8_B_0</vt:lpstr>
      <vt:lpstr>MAPPING!SD_4270x1_4371x1_4606x4_9_B_0</vt:lpstr>
      <vt:lpstr>MAPPING!SD_4270x1_4371x1_4606x40_5_B_1</vt:lpstr>
      <vt:lpstr>MAPPING!SD_4270x1_4371x1_4606x40_6_B_1</vt:lpstr>
      <vt:lpstr>MAPPING!SD_4270x1_4371x1_4606x40_7_B_0</vt:lpstr>
      <vt:lpstr>MAPPING!SD_4270x1_4371x1_4606x40_8_B_0</vt:lpstr>
      <vt:lpstr>MAPPING!SD_4270x1_4371x1_4606x40_9_B_0</vt:lpstr>
      <vt:lpstr>MAPPING!SD_4270x1_4371x1_4606x41_5_B_1</vt:lpstr>
      <vt:lpstr>MAPPING!SD_4270x1_4371x1_4606x41_6_B_1</vt:lpstr>
      <vt:lpstr>MAPPING!SD_4270x1_4371x1_4606x41_7_B_0</vt:lpstr>
      <vt:lpstr>MAPPING!SD_4270x1_4371x1_4606x41_8_B_0</vt:lpstr>
      <vt:lpstr>MAPPING!SD_4270x1_4371x1_4606x41_9_B_0</vt:lpstr>
      <vt:lpstr>MAPPING!SD_4270x1_4371x1_4606x5_5_B_1</vt:lpstr>
      <vt:lpstr>MAPPING!SD_4270x1_4371x1_4606x5_6_B_1</vt:lpstr>
      <vt:lpstr>MAPPING!SD_4270x1_4371x1_4606x5_7_B_0</vt:lpstr>
      <vt:lpstr>MAPPING!SD_4270x1_4371x1_4606x5_8_B_0</vt:lpstr>
      <vt:lpstr>MAPPING!SD_4270x1_4371x1_4606x5_9_B_0</vt:lpstr>
      <vt:lpstr>MAPPING!SD_4270x1_4371x1_4606x6_5_B_1</vt:lpstr>
      <vt:lpstr>MAPPING!SD_4270x1_4371x1_4606x6_6_B_1</vt:lpstr>
      <vt:lpstr>MAPPING!SD_4270x1_4371x1_4606x6_7_B_0</vt:lpstr>
      <vt:lpstr>MAPPING!SD_4270x1_4371x1_4606x6_8_B_0</vt:lpstr>
      <vt:lpstr>MAPPING!SD_4270x1_4371x1_4606x6_9_B_0</vt:lpstr>
      <vt:lpstr>MAPPING!SD_4270x1_4371x1_4606x7_5_B_1</vt:lpstr>
      <vt:lpstr>MAPPING!SD_4270x1_4371x1_4606x7_6_B_1</vt:lpstr>
      <vt:lpstr>MAPPING!SD_4270x1_4371x1_4606x7_7_B_0</vt:lpstr>
      <vt:lpstr>MAPPING!SD_4270x1_4371x1_4606x7_8_B_0</vt:lpstr>
      <vt:lpstr>MAPPING!SD_4270x1_4371x1_4606x7_9_B_0</vt:lpstr>
      <vt:lpstr>MAPPING!SD_4270x1_4371x1_4606x8_5_B_1</vt:lpstr>
      <vt:lpstr>MAPPING!SD_4270x1_4371x1_4606x8_6_B_1</vt:lpstr>
      <vt:lpstr>MAPPING!SD_4270x1_4371x1_4606x8_7_B_0</vt:lpstr>
      <vt:lpstr>MAPPING!SD_4270x1_4371x1_4606x8_8_B_0</vt:lpstr>
      <vt:lpstr>MAPPING!SD_4270x1_4371x1_4606x8_9_B_0</vt:lpstr>
      <vt:lpstr>MAPPING!SD_4270x1_4371x1_4606x9_5_B_1</vt:lpstr>
      <vt:lpstr>MAPPING!SD_4270x1_4371x1_4606x9_6_B_1</vt:lpstr>
      <vt:lpstr>MAPPING!SD_4270x1_4371x1_4606x9_7_B_0</vt:lpstr>
      <vt:lpstr>MAPPING!SD_4270x1_4371x1_4606x9_8_B_0</vt:lpstr>
      <vt:lpstr>MAPPING!SD_4270x1_4371x1_4606x9_9_B_0</vt:lpstr>
      <vt:lpstr>MAPPING!SD_4270x1_4371x1_5315x1_1007_B_0</vt:lpstr>
      <vt:lpstr>MAPPING!SD_4270x1_4371x1_5315x1_195_B_1</vt:lpstr>
      <vt:lpstr>MAPPING!SD_4270x1_4371x1_5315x1_196_B_1</vt:lpstr>
      <vt:lpstr>MAPPING!SD_4270x1_4371x1_5315x1_197_B_1</vt:lpstr>
      <vt:lpstr>MAPPING!SD_4270x1_4371x1_5315x1_198_B_0</vt:lpstr>
      <vt:lpstr>MAPPING!SD_4270x1_4371x1_5315x1_199_B_0</vt:lpstr>
      <vt:lpstr>MAPPING!SD_4270x1_4371x1_5315x1_200_B_0</vt:lpstr>
      <vt:lpstr>MAPPING!SD_4270x1_4371x1_5315x1_201_B_0</vt:lpstr>
      <vt:lpstr>MAPPING!SD_4270x1_4371x1_5315x1_203_B_1</vt:lpstr>
      <vt:lpstr>MAPPING!SD_4270x1_4371x1_5315x1_204_B_0</vt:lpstr>
      <vt:lpstr>MAPPING!SD_4270x1_4371x1_5315x1_205_B_0</vt:lpstr>
      <vt:lpstr>MAPPING!SD_4270x1_4371x1_5315x1_206_B_0</vt:lpstr>
      <vt:lpstr>MAPPING!SD_4270x1_4371x1_5315x1_207_B_0</vt:lpstr>
      <vt:lpstr>MAPPING!SD_4270x1_4371x1_5315x1_208_B_0</vt:lpstr>
      <vt:lpstr>MAPPING!SD_4270x1_4371x1_5315x1_209_B_0</vt:lpstr>
      <vt:lpstr>MAPPING!SD_4270x1_4371x1_5315x1_211_B_1</vt:lpstr>
      <vt:lpstr>MAPPING!SD_4270x1_4371x1_5315x1_212_B_1</vt:lpstr>
      <vt:lpstr>MAPPING!SD_4270x1_4371x1_5315x1_215_B_0</vt:lpstr>
      <vt:lpstr>MAPPING!SD_4270x1_4371x1_5315x1_216_B_0</vt:lpstr>
      <vt:lpstr>MAPPING!SD_4270x1_4371x1_5315x1_217_B_0</vt:lpstr>
      <vt:lpstr>MAPPING!SD_4270x1_4371x1_5315x1_218_B_0</vt:lpstr>
      <vt:lpstr>MAPPING!SD_4270x1_4371x1_5315x1_219_B_0</vt:lpstr>
      <vt:lpstr>MAPPING!SD_4270x1_4371x1_5315x1_220_B_0</vt:lpstr>
      <vt:lpstr>MAPPING!SD_4270x1_4371x1_5315x1_221_B_1</vt:lpstr>
      <vt:lpstr>MAPPING!SD_4270x1_4371x1_5315x1_251_B_0</vt:lpstr>
      <vt:lpstr>MAPPING!SD_4270x1_4371x1_5315x1_252_B_0</vt:lpstr>
      <vt:lpstr>MAPPING!SD_4270x1_4371x1_5315x1_253_B_0</vt:lpstr>
      <vt:lpstr>MAPPING!SD_4270x1_4371x1_5315x1_254_B_0</vt:lpstr>
      <vt:lpstr>MAPPING!SD_4270x1_4371x1_5315x1_255_B_0</vt:lpstr>
      <vt:lpstr>MAPPING!SD_4270x1_4371x1_5315x1_256_B_0</vt:lpstr>
      <vt:lpstr>MAPPING!SD_4270x1_4371x1_5315x1_257_B_0</vt:lpstr>
      <vt:lpstr>MAPPING!SD_4270x1_4371x1_5315x1_258_B_0</vt:lpstr>
      <vt:lpstr>MAPPING!SD_4270x1_4371x1_5315x1_259_B_0</vt:lpstr>
      <vt:lpstr>MAPPING!SD_4270x1_4371x1_5315x1_260_B_0</vt:lpstr>
      <vt:lpstr>MAPPING!SD_4270x1_4371x1_5315x1_261_B_0</vt:lpstr>
      <vt:lpstr>MAPPING!SD_4270x1_4371x1_5315x1_262_B_0</vt:lpstr>
      <vt:lpstr>MAPPING!SD_4270x1_4371x1_5315x1_263_B_0</vt:lpstr>
      <vt:lpstr>MAPPING!SD_4270x1_4371x1_5315x1_264_B_0</vt:lpstr>
      <vt:lpstr>MAPPING!SD_4270x1_4371x1_5315x1_265_B_0</vt:lpstr>
      <vt:lpstr>MAPPING!SD_4270x1_4371x1_5315x1_266_B_0</vt:lpstr>
      <vt:lpstr>MAPPING!SD_4270x1_4371x1_5315x1_267_B_0</vt:lpstr>
      <vt:lpstr>MAPPING!SD_4270x1_4371x1_5315x1_268_B_0</vt:lpstr>
      <vt:lpstr>MAPPING!SD_4270x1_4371x1_5315x1_270_B_0</vt:lpstr>
      <vt:lpstr>MAPPING!SD_4270x1_4371x1_5315x1_271_B_0</vt:lpstr>
      <vt:lpstr>MAPPING!SD_4270x1_4371x1_5315x1_272_B_0</vt:lpstr>
      <vt:lpstr>MAPPING!SD_4270x1_4371x1_5315x1_273_B_0</vt:lpstr>
      <vt:lpstr>MAPPING!SD_4270x1_4371x1_5315x1_274_B_1</vt:lpstr>
      <vt:lpstr>MAPPING!SD_4270x1_4371x1_5315x1_275_B_0</vt:lpstr>
      <vt:lpstr>MAPPING!SD_4270x1_4371x1_5315x1_276_B_1</vt:lpstr>
      <vt:lpstr>MAPPING!SD_4270x1_4371x1_5315x1_279_B_1</vt:lpstr>
      <vt:lpstr>MAPPING!SD_4270x1_4371x1_5315x1_280_B_1</vt:lpstr>
      <vt:lpstr>MAPPING!SD_4270x1_4371x1_5315x1_286_B_0</vt:lpstr>
      <vt:lpstr>MAPPING!SD_4270x1_4371x1_5315x1_287_B_0</vt:lpstr>
      <vt:lpstr>MAPPING!SD_4270x1_4371x1_5315x1_288_B_0</vt:lpstr>
      <vt:lpstr>MAPPING!SD_4270x1_4371x1_5315x1_289_B_0</vt:lpstr>
      <vt:lpstr>MAPPING!SD_4270x1_4371x1_5315x1_290_B_0</vt:lpstr>
      <vt:lpstr>MAPPING!SD_4270x1_4371x1_5315x1_291_B_0</vt:lpstr>
      <vt:lpstr>MAPPING!SD_4270x1_4371x1_5315x1_292_B_0</vt:lpstr>
      <vt:lpstr>MAPPING!SD_4270x1_4371x1_5315x1_293_B_0</vt:lpstr>
      <vt:lpstr>MAPPING!SD_4270x1_4371x1_5315x1_294_B_0</vt:lpstr>
      <vt:lpstr>MAPPING!SD_4270x1_4371x1_5315x1_295_B_0</vt:lpstr>
      <vt:lpstr>MAPPING!SD_4270x1_4371x1_5315x1_296_B_0</vt:lpstr>
      <vt:lpstr>MAPPING!SD_4270x1_4371x1_5315x1_297_B_0</vt:lpstr>
      <vt:lpstr>MAPPING!SD_4270x1_4371x1_5315x1_304_B_0</vt:lpstr>
      <vt:lpstr>MAPPING!SD_4270x1_4371x1_5315x1_305_B_0</vt:lpstr>
      <vt:lpstr>MAPPING!SD_4270x1_4371x1_5315x1_306_B_0</vt:lpstr>
      <vt:lpstr>MAPPING!SD_4270x1_4371x1_5315x1_307_B_0</vt:lpstr>
      <vt:lpstr>MAPPING!SD_4270x1_4371x1_5315x1_308_B_0</vt:lpstr>
      <vt:lpstr>MAPPING!SD_4270x1_4371x1_5315x1_309_B_0</vt:lpstr>
      <vt:lpstr>MAPPING!SD_4270x1_4371x1_5315x1_310_B_0</vt:lpstr>
      <vt:lpstr>MAPPING!SD_4270x1_4371x1_5315x1_311_B_0</vt:lpstr>
      <vt:lpstr>MAPPING!SD_4270x1_4371x1_5315x1_312_B_0</vt:lpstr>
      <vt:lpstr>MAPPING!SD_4270x1_4371x1_5315x1_314_B_0</vt:lpstr>
      <vt:lpstr>MAPPING!SD_4270x1_4371x1_5315x1_315_B_0</vt:lpstr>
      <vt:lpstr>MAPPING!SD_4270x1_4371x1_5315x1_316_B_0</vt:lpstr>
      <vt:lpstr>MAPPING!SD_4270x1_4371x1_5315x1_317_B_0</vt:lpstr>
      <vt:lpstr>MAPPING!SD_4270x1_4371x1_5315x1_318_B_0</vt:lpstr>
      <vt:lpstr>MAPPING!SD_4270x1_4371x1_5315x1_319_B_0</vt:lpstr>
      <vt:lpstr>MAPPING!SD_4270x1_4371x1_5315x1_320_B_0</vt:lpstr>
      <vt:lpstr>MAPPING!SD_4270x1_4371x1_5315x1_321_B_0</vt:lpstr>
      <vt:lpstr>MAPPING!SD_4270x1_4371x1_5315x1_322_B_0</vt:lpstr>
      <vt:lpstr>MAPPING!SD_4270x1_4371x1_5315x1_323_B_0</vt:lpstr>
      <vt:lpstr>MAPPING!SD_4270x1_4371x1_5315x1_324_B_0</vt:lpstr>
      <vt:lpstr>MAPPING!SD_4270x1_4371x1_5315x1_325_B_0</vt:lpstr>
      <vt:lpstr>MAPPING!SD_4270x1_4371x1_5315x1_326_B_0</vt:lpstr>
      <vt:lpstr>MAPPING!SD_4270x1_4371x1_5315x1_327_B_0</vt:lpstr>
      <vt:lpstr>MAPPING!SD_4270x1_4371x1_5315x1_328_B_0</vt:lpstr>
      <vt:lpstr>MAPPING!SD_4270x1_4371x1_5315x1_329_B_0</vt:lpstr>
      <vt:lpstr>MAPPING!SD_4270x1_4371x1_5315x1_330_B_0</vt:lpstr>
      <vt:lpstr>MAPPING!SD_4270x1_4371x1_5315x1_331_B_0</vt:lpstr>
      <vt:lpstr>MAPPING!SD_4270x1_4371x1_5315x1_332_B_0</vt:lpstr>
      <vt:lpstr>MAPPING!SD_4270x1_4371x1_5315x1_333_B_0</vt:lpstr>
      <vt:lpstr>MAPPING!SD_4270x1_4371x1_5315x1_334_B_0</vt:lpstr>
      <vt:lpstr>MAPPING!SD_4270x1_4371x1_5315x1_335_B_0</vt:lpstr>
      <vt:lpstr>MAPPING!SD_4270x1_4371x1_5315x1_336_B_0</vt:lpstr>
      <vt:lpstr>MAPPING!SD_4270x1_4371x1_5315x1_337_B_0</vt:lpstr>
      <vt:lpstr>MAPPING!SD_4270x1_4371x1_5315x1_338_B_0</vt:lpstr>
      <vt:lpstr>MAPPING!SD_4270x1_4371x1_5315x1_339_B_0</vt:lpstr>
      <vt:lpstr>MAPPING!SD_4270x1_4371x1_5315x1_340_B_0</vt:lpstr>
      <vt:lpstr>MAPPING!SD_4270x1_4371x1_5315x1_341_B_0</vt:lpstr>
      <vt:lpstr>MAPPING!SD_4270x1_4371x1_5315x1_342_B_0</vt:lpstr>
      <vt:lpstr>MAPPING!SD_4270x1_4371x1_5315x1_343_B_0</vt:lpstr>
      <vt:lpstr>MAPPING!SD_4270x1_4371x1_5315x1_344_B_0</vt:lpstr>
      <vt:lpstr>MAPPING!SD_4270x1_4371x1_5315x1_345_B_0</vt:lpstr>
      <vt:lpstr>MAPPING!SD_4270x1_4371x1_5315x1_346_B_0</vt:lpstr>
      <vt:lpstr>MAPPING!SD_4270x1_4371x1_5315x1_347_B_0</vt:lpstr>
      <vt:lpstr>MAPPING!SD_4270x1_4371x1_5315x1_348_B_0</vt:lpstr>
      <vt:lpstr>MAPPING!SD_4270x1_4371x1_5315x1_349_B_0</vt:lpstr>
      <vt:lpstr>MAPPING!SD_4270x1_4371x1_5315x1_350_B_0</vt:lpstr>
      <vt:lpstr>MAPPING!SD_4270x1_4371x1_5315x1_351_B_0</vt:lpstr>
      <vt:lpstr>MAPPING!SD_4270x1_4371x1_5315x1_352_B_0</vt:lpstr>
      <vt:lpstr>MAPPING!SD_4270x1_4371x1_5315x1_355_B_0</vt:lpstr>
      <vt:lpstr>MAPPING!SD_4270x1_4371x1_5315x1_358_B_0</vt:lpstr>
      <vt:lpstr>MAPPING!SD_4270x1_4371x1_5315x1_369_B_0</vt:lpstr>
      <vt:lpstr>MAPPING!SD_4270x1_4371x1_5315x1_371_B_0</vt:lpstr>
      <vt:lpstr>MAPPING!SD_4270x1_4371x1_5315x1_372_B_0</vt:lpstr>
      <vt:lpstr>MAPPING!SD_4270x1_4371x1_5315x1_379_B_0</vt:lpstr>
      <vt:lpstr>MAPPING!SD_4270x1_4371x1_5315x1_381_B_0</vt:lpstr>
      <vt:lpstr>MAPPING!SD_4270x1_4371x1_5315x1_382_B_0</vt:lpstr>
      <vt:lpstr>MAPPING!SD_4270x1_4371x1_5315x1_385_B_0</vt:lpstr>
      <vt:lpstr>MAPPING!SD_4270x1_4371x1_5315x1_386_B_0</vt:lpstr>
      <vt:lpstr>MAPPING!SD_4270x1_4371x1_5315x1_387_B_0</vt:lpstr>
      <vt:lpstr>MAPPING!SD_4270x1_4371x1_5315x1_388_B_0</vt:lpstr>
      <vt:lpstr>MAPPING!SD_4270x1_4371x1_5315x1_389_B_0</vt:lpstr>
      <vt:lpstr>MAPPING!SD_4270x1_4371x1_5315x1_390_B_0</vt:lpstr>
      <vt:lpstr>MAPPING!SD_4270x1_4371x1_5315x1_391_B_0</vt:lpstr>
      <vt:lpstr>MAPPING!SD_4270x1_4371x1_5315x1_392_B_0</vt:lpstr>
      <vt:lpstr>MAPPING!SD_4270x1_4371x1_5315x1_393_B_0</vt:lpstr>
      <vt:lpstr>MAPPING!SD_4270x1_4371x1_5315x1_394_B_0</vt:lpstr>
      <vt:lpstr>MAPPING!SD_4270x1_4371x1_5315x1_395_B_0</vt:lpstr>
      <vt:lpstr>MAPPING!SD_4270x1_4371x1_5315x1_396_B_0</vt:lpstr>
      <vt:lpstr>MAPPING!SD_4270x1_4371x1_5315x1_397_B_0</vt:lpstr>
      <vt:lpstr>MAPPING!SD_4270x1_4371x1_5315x1_398_B_0</vt:lpstr>
      <vt:lpstr>MAPPING!SD_4270x1_4371x1_5315x1_399_B_0</vt:lpstr>
      <vt:lpstr>MAPPING!SD_4270x1_4371x1_5315x1_400_B_0</vt:lpstr>
      <vt:lpstr>MAPPING!SD_4270x1_4371x1_5315x1_401_B_0</vt:lpstr>
      <vt:lpstr>MAPPING!SD_4270x1_4371x1_5315x1_402_B_0</vt:lpstr>
      <vt:lpstr>MAPPING!SD_4270x1_4371x1_5315x1_403_B_0</vt:lpstr>
      <vt:lpstr>MAPPING!SD_4270x1_4371x1_5315x1_404_B_0</vt:lpstr>
      <vt:lpstr>MAPPING!SD_4270x1_4371x1_5315x1_405_B_0</vt:lpstr>
      <vt:lpstr>MAPPING!SD_4270x1_4371x1_5315x1_406_B_0</vt:lpstr>
      <vt:lpstr>MAPPING!SD_4270x1_4371x1_5315x1_407_B_0</vt:lpstr>
      <vt:lpstr>MAPPING!SD_4270x1_4371x1_5315x1_408_B_0</vt:lpstr>
      <vt:lpstr>MAPPING!SD_4270x1_4371x1_5315x1_409_B_0</vt:lpstr>
      <vt:lpstr>MAPPING!SD_4270x1_4371x1_5315x1_410_B_0</vt:lpstr>
      <vt:lpstr>MAPPING!SD_4270x1_4371x1_5315x1_411_B_0</vt:lpstr>
      <vt:lpstr>MAPPING!SD_4270x1_4371x1_5315x1_412_B_0</vt:lpstr>
      <vt:lpstr>MAPPING!SD_4270x1_4371x1_5315x1_413_B_0</vt:lpstr>
      <vt:lpstr>MAPPING!SD_4270x1_4371x1_5315x1_414_B_0</vt:lpstr>
      <vt:lpstr>MAPPING!SD_4270x1_4371x1_5315x1_415_B_0</vt:lpstr>
      <vt:lpstr>MAPPING!SD_4270x1_4371x1_5315x1_416_B_1</vt:lpstr>
      <vt:lpstr>MAPPING!SD_4270x1_4371x1_5315x1_417_B_0</vt:lpstr>
      <vt:lpstr>MAPPING!SD_4270x1_4371x1_5315x1_418_B_0</vt:lpstr>
      <vt:lpstr>MAPPING!SD_4270x1_4371x1_5315x1_419_B_0</vt:lpstr>
      <vt:lpstr>MAPPING!SD_4270x1_4371x1_5315x1_420_B_0</vt:lpstr>
      <vt:lpstr>MAPPING!SD_4270x1_4371x1_5315x1_421_B_0</vt:lpstr>
      <vt:lpstr>MAPPING!SD_4270x1_4371x1_5315x1_422_B_0</vt:lpstr>
      <vt:lpstr>MAPPING!SD_4270x1_4371x1_5315x1_423_B_0</vt:lpstr>
      <vt:lpstr>MAPPING!SD_4270x1_4371x1_5315x1_424_B_0</vt:lpstr>
      <vt:lpstr>MAPPING!SD_4270x1_4371x1_5315x1_430_B_0</vt:lpstr>
      <vt:lpstr>MAPPING!SD_4270x1_4371x1_5315x1_431_B_0</vt:lpstr>
      <vt:lpstr>MAPPING!SD_4270x1_4371x1_5315x1_432_B_0</vt:lpstr>
      <vt:lpstr>MAPPING!SD_4270x1_4371x1_5315x1_433_B_0</vt:lpstr>
      <vt:lpstr>MAPPING!SD_4270x1_4371x1_5315x1_434_B_0</vt:lpstr>
      <vt:lpstr>MAPPING!SD_4270x1_4371x1_5315x1_435_B_0</vt:lpstr>
      <vt:lpstr>MAPPING!SD_4270x1_4371x1_5315x1_439_B_0</vt:lpstr>
      <vt:lpstr>MAPPING!SD_4270x1_4371x1_5315x1_440_B_0</vt:lpstr>
      <vt:lpstr>MAPPING!SD_4270x1_4371x1_5315x1_441_B_0</vt:lpstr>
      <vt:lpstr>MAPPING!SD_4270x1_4371x1_5315x1_442_B_0</vt:lpstr>
      <vt:lpstr>MAPPING!SD_4270x1_4371x1_5315x1_443_B_0</vt:lpstr>
      <vt:lpstr>MAPPING!SD_4270x1_4371x1_5315x1_444_B_0</vt:lpstr>
      <vt:lpstr>MAPPING!SD_4270x1_4371x1_5315x1_445_B_0</vt:lpstr>
      <vt:lpstr>MAPPING!SD_4270x1_4371x1_5315x1_446_B_0</vt:lpstr>
      <vt:lpstr>MAPPING!SD_4270x1_4371x1_5315x1_447_B_0</vt:lpstr>
      <vt:lpstr>MAPPING!SD_4270x1_4371x1_5315x1_448_B_0</vt:lpstr>
      <vt:lpstr>MAPPING!SD_4270x1_4371x1_5315x1_449_B_0</vt:lpstr>
      <vt:lpstr>MAPPING!SD_4270x1_4371x1_5315x1_450_B_0</vt:lpstr>
      <vt:lpstr>MAPPING!SD_4270x1_4371x1_5315x1_451_B_0</vt:lpstr>
      <vt:lpstr>MAPPING!SD_4270x1_4371x1_5315x1_452_B_0</vt:lpstr>
      <vt:lpstr>MAPPING!SD_4270x1_4371x1_5315x1_453_B_0</vt:lpstr>
      <vt:lpstr>MAPPING!SD_4270x1_4371x1_5315x1_454_B_0</vt:lpstr>
      <vt:lpstr>MAPPING!SD_4270x1_4371x1_5315x1_455_B_0</vt:lpstr>
      <vt:lpstr>MAPPING!SD_4270x1_4371x1_5315x1_456_B_0</vt:lpstr>
      <vt:lpstr>MAPPING!SD_4270x1_4371x1_5315x1_457_B_0</vt:lpstr>
      <vt:lpstr>MAPPING!SD_4270x1_4371x1_5315x1_458_B_0</vt:lpstr>
      <vt:lpstr>MAPPING!SD_4270x1_4371x1_5315x1_459_B_0</vt:lpstr>
      <vt:lpstr>MAPPING!SD_4270x1_4371x1_5315x1_460_B_0</vt:lpstr>
      <vt:lpstr>MAPPING!SD_4270x1_4371x1_5315x1_461_B_0</vt:lpstr>
      <vt:lpstr>MAPPING!SD_4270x1_4371x1_5315x1_462_B_0</vt:lpstr>
      <vt:lpstr>MAPPING!SD_4270x1_4371x1_5315x1_463_B_0</vt:lpstr>
      <vt:lpstr>MAPPING!SD_4270x1_4371x1_5315x1_464_B_0</vt:lpstr>
      <vt:lpstr>MAPPING!SD_4270x1_4371x1_5315x1_465_B_0</vt:lpstr>
      <vt:lpstr>MAPPING!SD_4270x1_4371x1_5315x1_466_B_0</vt:lpstr>
      <vt:lpstr>MAPPING!SD_4270x1_4371x1_5315x1_467_B_0</vt:lpstr>
      <vt:lpstr>MAPPING!SD_4270x1_4371x1_5315x1_468_B_0</vt:lpstr>
      <vt:lpstr>MAPPING!SD_4270x1_4371x1_5315x1_469_B_0</vt:lpstr>
      <vt:lpstr>MAPPING!SD_4270x1_4371x1_5315x1_470_B_0</vt:lpstr>
      <vt:lpstr>MAPPING!SD_4270x1_4371x1_5315x1_471_B_0</vt:lpstr>
      <vt:lpstr>MAPPING!SD_4270x1_4371x1_542_B_0</vt:lpstr>
      <vt:lpstr>MAPPING!SD_8055x1_10_B_0</vt:lpstr>
      <vt:lpstr>MAPPING!SD_8055x1_12_B_1</vt:lpstr>
      <vt:lpstr>MAPPING!SD_8055x1_13_B_1</vt:lpstr>
      <vt:lpstr>MAPPING!SD_8055x1_14_B_0</vt:lpstr>
      <vt:lpstr>MAPPING!SD_8055x1_15_B_0</vt:lpstr>
      <vt:lpstr>MAPPING!SD_8055x1_19_B_0</vt:lpstr>
      <vt:lpstr>MAPPING!SD_8055x1_21_B_0</vt:lpstr>
      <vt:lpstr>MAPPING!SD_8055x1_23_B_0</vt:lpstr>
      <vt:lpstr>MAPPING!SD_8055x1_24_B_1</vt:lpstr>
      <vt:lpstr>MAPPING!SD_8055x10_10_B_0</vt:lpstr>
      <vt:lpstr>MAPPING!SD_8055x10_12_B_1</vt:lpstr>
      <vt:lpstr>MAPPING!SD_8055x10_13_B_1</vt:lpstr>
      <vt:lpstr>MAPPING!SD_8055x10_14_B_0</vt:lpstr>
      <vt:lpstr>MAPPING!SD_8055x10_15_B_0</vt:lpstr>
      <vt:lpstr>MAPPING!SD_8055x10_19_B_0</vt:lpstr>
      <vt:lpstr>MAPPING!SD_8055x10_21_B_0</vt:lpstr>
      <vt:lpstr>MAPPING!SD_8055x10_23_B_0</vt:lpstr>
      <vt:lpstr>MAPPING!SD_8055x10_24_B_1</vt:lpstr>
      <vt:lpstr>MAPPING!SD_8055x11_10_B_0</vt:lpstr>
      <vt:lpstr>MAPPING!SD_8055x11_12_B_1</vt:lpstr>
      <vt:lpstr>MAPPING!SD_8055x11_13_B_1</vt:lpstr>
      <vt:lpstr>MAPPING!SD_8055x11_14_B_0</vt:lpstr>
      <vt:lpstr>MAPPING!SD_8055x11_15_B_0</vt:lpstr>
      <vt:lpstr>MAPPING!SD_8055x11_19_B_0</vt:lpstr>
      <vt:lpstr>MAPPING!SD_8055x11_21_B_0</vt:lpstr>
      <vt:lpstr>MAPPING!SD_8055x11_23_B_0</vt:lpstr>
      <vt:lpstr>MAPPING!SD_8055x11_24_B_1</vt:lpstr>
      <vt:lpstr>MAPPING!SD_8055x12_10_B_0</vt:lpstr>
      <vt:lpstr>MAPPING!SD_8055x12_12_B_1</vt:lpstr>
      <vt:lpstr>MAPPING!SD_8055x12_13_B_1</vt:lpstr>
      <vt:lpstr>MAPPING!SD_8055x12_14_B_0</vt:lpstr>
      <vt:lpstr>MAPPING!SD_8055x12_15_B_0</vt:lpstr>
      <vt:lpstr>MAPPING!SD_8055x12_19_B_0</vt:lpstr>
      <vt:lpstr>MAPPING!SD_8055x12_21_B_0</vt:lpstr>
      <vt:lpstr>MAPPING!SD_8055x12_23_B_0</vt:lpstr>
      <vt:lpstr>MAPPING!SD_8055x12_24_B_1</vt:lpstr>
      <vt:lpstr>MAPPING!SD_8055x13_10_B_0</vt:lpstr>
      <vt:lpstr>MAPPING!SD_8055x13_12_B_1</vt:lpstr>
      <vt:lpstr>MAPPING!SD_8055x13_13_B_1</vt:lpstr>
      <vt:lpstr>MAPPING!SD_8055x13_14_B_0</vt:lpstr>
      <vt:lpstr>MAPPING!SD_8055x13_15_B_0</vt:lpstr>
      <vt:lpstr>MAPPING!SD_8055x13_19_B_0</vt:lpstr>
      <vt:lpstr>MAPPING!SD_8055x13_21_B_0</vt:lpstr>
      <vt:lpstr>MAPPING!SD_8055x13_23_B_0</vt:lpstr>
      <vt:lpstr>MAPPING!SD_8055x13_24_B_1</vt:lpstr>
      <vt:lpstr>MAPPING!SD_8055x14_10_B_0</vt:lpstr>
      <vt:lpstr>MAPPING!SD_8055x14_12_B_1</vt:lpstr>
      <vt:lpstr>MAPPING!SD_8055x14_13_B_1</vt:lpstr>
      <vt:lpstr>MAPPING!SD_8055x14_14_B_0</vt:lpstr>
      <vt:lpstr>MAPPING!SD_8055x14_15_B_0</vt:lpstr>
      <vt:lpstr>MAPPING!SD_8055x14_19_B_0</vt:lpstr>
      <vt:lpstr>MAPPING!SD_8055x14_21_B_0</vt:lpstr>
      <vt:lpstr>MAPPING!SD_8055x14_23_B_0</vt:lpstr>
      <vt:lpstr>MAPPING!SD_8055x14_24_B_1</vt:lpstr>
      <vt:lpstr>MAPPING!SD_8055x15_10_B_0</vt:lpstr>
      <vt:lpstr>MAPPING!SD_8055x15_12_B_1</vt:lpstr>
      <vt:lpstr>MAPPING!SD_8055x15_13_B_1</vt:lpstr>
      <vt:lpstr>MAPPING!SD_8055x15_14_B_0</vt:lpstr>
      <vt:lpstr>MAPPING!SD_8055x15_15_B_0</vt:lpstr>
      <vt:lpstr>MAPPING!SD_8055x15_19_B_0</vt:lpstr>
      <vt:lpstr>MAPPING!SD_8055x15_21_B_0</vt:lpstr>
      <vt:lpstr>MAPPING!SD_8055x15_23_B_0</vt:lpstr>
      <vt:lpstr>MAPPING!SD_8055x15_24_B_1</vt:lpstr>
      <vt:lpstr>MAPPING!SD_8055x16_10_B_0</vt:lpstr>
      <vt:lpstr>MAPPING!SD_8055x16_12_B_1</vt:lpstr>
      <vt:lpstr>MAPPING!SD_8055x16_13_B_1</vt:lpstr>
      <vt:lpstr>MAPPING!SD_8055x16_14_B_0</vt:lpstr>
      <vt:lpstr>MAPPING!SD_8055x16_15_B_0</vt:lpstr>
      <vt:lpstr>MAPPING!SD_8055x16_19_B_0</vt:lpstr>
      <vt:lpstr>MAPPING!SD_8055x16_21_B_0</vt:lpstr>
      <vt:lpstr>MAPPING!SD_8055x16_23_B_0</vt:lpstr>
      <vt:lpstr>MAPPING!SD_8055x16_24_B_1</vt:lpstr>
      <vt:lpstr>MAPPING!SD_8055x17_10_B_0</vt:lpstr>
      <vt:lpstr>MAPPING!SD_8055x17_12_B_1</vt:lpstr>
      <vt:lpstr>MAPPING!SD_8055x17_13_B_1</vt:lpstr>
      <vt:lpstr>MAPPING!SD_8055x17_14_B_0</vt:lpstr>
      <vt:lpstr>MAPPING!SD_8055x17_15_B_0</vt:lpstr>
      <vt:lpstr>MAPPING!SD_8055x17_19_B_0</vt:lpstr>
      <vt:lpstr>MAPPING!SD_8055x17_21_B_0</vt:lpstr>
      <vt:lpstr>MAPPING!SD_8055x17_23_B_0</vt:lpstr>
      <vt:lpstr>MAPPING!SD_8055x17_24_B_1</vt:lpstr>
      <vt:lpstr>MAPPING!SD_8055x18_10_B_0</vt:lpstr>
      <vt:lpstr>MAPPING!SD_8055x18_12_B_1</vt:lpstr>
      <vt:lpstr>MAPPING!SD_8055x18_13_B_1</vt:lpstr>
      <vt:lpstr>MAPPING!SD_8055x18_14_B_0</vt:lpstr>
      <vt:lpstr>MAPPING!SD_8055x18_15_B_0</vt:lpstr>
      <vt:lpstr>MAPPING!SD_8055x18_19_B_0</vt:lpstr>
      <vt:lpstr>MAPPING!SD_8055x18_21_B_0</vt:lpstr>
      <vt:lpstr>MAPPING!SD_8055x18_23_B_0</vt:lpstr>
      <vt:lpstr>MAPPING!SD_8055x18_24_B_1</vt:lpstr>
      <vt:lpstr>MAPPING!SD_8055x19_10_B_0</vt:lpstr>
      <vt:lpstr>MAPPING!SD_8055x19_12_B_1</vt:lpstr>
      <vt:lpstr>MAPPING!SD_8055x19_13_B_1</vt:lpstr>
      <vt:lpstr>MAPPING!SD_8055x19_14_B_0</vt:lpstr>
      <vt:lpstr>MAPPING!SD_8055x19_15_B_0</vt:lpstr>
      <vt:lpstr>MAPPING!SD_8055x19_19_B_0</vt:lpstr>
      <vt:lpstr>MAPPING!SD_8055x19_21_B_0</vt:lpstr>
      <vt:lpstr>MAPPING!SD_8055x19_23_B_0</vt:lpstr>
      <vt:lpstr>MAPPING!SD_8055x19_24_B_1</vt:lpstr>
      <vt:lpstr>MAPPING!SD_8055x2_11_B_0</vt:lpstr>
      <vt:lpstr>MAPPING!SD_8055x2_13_B_1</vt:lpstr>
      <vt:lpstr>MAPPING!SD_8055x2_15_B_0</vt:lpstr>
      <vt:lpstr>MAPPING!SD_8055x2_24_B_1</vt:lpstr>
      <vt:lpstr>MAPPING!SD_8055x20_10_B_0</vt:lpstr>
      <vt:lpstr>MAPPING!SD_8055x20_12_B_1</vt:lpstr>
      <vt:lpstr>MAPPING!SD_8055x20_13_B_1</vt:lpstr>
      <vt:lpstr>MAPPING!SD_8055x20_14_B_0</vt:lpstr>
      <vt:lpstr>MAPPING!SD_8055x20_15_B_0</vt:lpstr>
      <vt:lpstr>MAPPING!SD_8055x20_19_B_0</vt:lpstr>
      <vt:lpstr>MAPPING!SD_8055x20_21_B_0</vt:lpstr>
      <vt:lpstr>MAPPING!SD_8055x20_23_B_0</vt:lpstr>
      <vt:lpstr>MAPPING!SD_8055x20_24_B_1</vt:lpstr>
      <vt:lpstr>MAPPING!SD_8055x21_10_B_0</vt:lpstr>
      <vt:lpstr>MAPPING!SD_8055x21_12_B_1</vt:lpstr>
      <vt:lpstr>MAPPING!SD_8055x21_13_B_1</vt:lpstr>
      <vt:lpstr>MAPPING!SD_8055x21_14_B_0</vt:lpstr>
      <vt:lpstr>MAPPING!SD_8055x21_15_B_0</vt:lpstr>
      <vt:lpstr>MAPPING!SD_8055x21_19_B_0</vt:lpstr>
      <vt:lpstr>MAPPING!SD_8055x21_21_B_0</vt:lpstr>
      <vt:lpstr>MAPPING!SD_8055x21_23_B_0</vt:lpstr>
      <vt:lpstr>MAPPING!SD_8055x21_24_B_1</vt:lpstr>
      <vt:lpstr>MAPPING!SD_8055x22_10_B_0</vt:lpstr>
      <vt:lpstr>MAPPING!SD_8055x22_12_B_1</vt:lpstr>
      <vt:lpstr>MAPPING!SD_8055x22_13_B_1</vt:lpstr>
      <vt:lpstr>MAPPING!SD_8055x22_14_B_0</vt:lpstr>
      <vt:lpstr>MAPPING!SD_8055x22_15_B_0</vt:lpstr>
      <vt:lpstr>MAPPING!SD_8055x22_19_B_0</vt:lpstr>
      <vt:lpstr>MAPPING!SD_8055x22_21_B_0</vt:lpstr>
      <vt:lpstr>MAPPING!SD_8055x22_23_B_0</vt:lpstr>
      <vt:lpstr>MAPPING!SD_8055x22_24_B_1</vt:lpstr>
      <vt:lpstr>MAPPING!SD_8055x23_10_B_0</vt:lpstr>
      <vt:lpstr>MAPPING!SD_8055x23_12_B_1</vt:lpstr>
      <vt:lpstr>MAPPING!SD_8055x23_13_B_1</vt:lpstr>
      <vt:lpstr>MAPPING!SD_8055x23_14_B_0</vt:lpstr>
      <vt:lpstr>MAPPING!SD_8055x23_15_B_0</vt:lpstr>
      <vt:lpstr>MAPPING!SD_8055x23_19_B_0</vt:lpstr>
      <vt:lpstr>MAPPING!SD_8055x23_21_B_0</vt:lpstr>
      <vt:lpstr>MAPPING!SD_8055x23_23_B_0</vt:lpstr>
      <vt:lpstr>MAPPING!SD_8055x23_24_B_1</vt:lpstr>
      <vt:lpstr>MAPPING!SD_8055x24_10_B_0</vt:lpstr>
      <vt:lpstr>MAPPING!SD_8055x24_12_B_1</vt:lpstr>
      <vt:lpstr>MAPPING!SD_8055x24_13_B_1</vt:lpstr>
      <vt:lpstr>MAPPING!SD_8055x24_14_B_0</vt:lpstr>
      <vt:lpstr>MAPPING!SD_8055x24_15_B_0</vt:lpstr>
      <vt:lpstr>MAPPING!SD_8055x24_19_B_0</vt:lpstr>
      <vt:lpstr>MAPPING!SD_8055x24_21_B_0</vt:lpstr>
      <vt:lpstr>MAPPING!SD_8055x24_23_B_0</vt:lpstr>
      <vt:lpstr>MAPPING!SD_8055x24_24_B_1</vt:lpstr>
      <vt:lpstr>MAPPING!SD_8055x25_10_B_0</vt:lpstr>
      <vt:lpstr>MAPPING!SD_8055x25_12_B_1</vt:lpstr>
      <vt:lpstr>MAPPING!SD_8055x25_13_B_1</vt:lpstr>
      <vt:lpstr>MAPPING!SD_8055x25_14_B_0</vt:lpstr>
      <vt:lpstr>MAPPING!SD_8055x25_15_B_0</vt:lpstr>
      <vt:lpstr>MAPPING!SD_8055x25_19_B_0</vt:lpstr>
      <vt:lpstr>MAPPING!SD_8055x25_21_B_0</vt:lpstr>
      <vt:lpstr>MAPPING!SD_8055x25_23_B_0</vt:lpstr>
      <vt:lpstr>MAPPING!SD_8055x25_24_B_1</vt:lpstr>
      <vt:lpstr>MAPPING!SD_8055x26_10_B_0</vt:lpstr>
      <vt:lpstr>MAPPING!SD_8055x26_12_B_1</vt:lpstr>
      <vt:lpstr>MAPPING!SD_8055x26_13_B_1</vt:lpstr>
      <vt:lpstr>MAPPING!SD_8055x26_14_B_0</vt:lpstr>
      <vt:lpstr>MAPPING!SD_8055x26_15_B_0</vt:lpstr>
      <vt:lpstr>MAPPING!SD_8055x26_19_B_0</vt:lpstr>
      <vt:lpstr>MAPPING!SD_8055x26_21_B_0</vt:lpstr>
      <vt:lpstr>MAPPING!SD_8055x26_23_B_0</vt:lpstr>
      <vt:lpstr>MAPPING!SD_8055x26_24_B_1</vt:lpstr>
      <vt:lpstr>MAPPING!SD_8055x27_10_B_0</vt:lpstr>
      <vt:lpstr>MAPPING!SD_8055x27_12_B_1</vt:lpstr>
      <vt:lpstr>MAPPING!SD_8055x27_13_B_1</vt:lpstr>
      <vt:lpstr>MAPPING!SD_8055x27_14_B_0</vt:lpstr>
      <vt:lpstr>MAPPING!SD_8055x27_15_B_0</vt:lpstr>
      <vt:lpstr>MAPPING!SD_8055x27_19_B_0</vt:lpstr>
      <vt:lpstr>MAPPING!SD_8055x27_21_B_0</vt:lpstr>
      <vt:lpstr>MAPPING!SD_8055x27_23_B_0</vt:lpstr>
      <vt:lpstr>MAPPING!SD_8055x27_24_B_1</vt:lpstr>
      <vt:lpstr>MAPPING!SD_8055x28_10_B_0</vt:lpstr>
      <vt:lpstr>MAPPING!SD_8055x28_12_B_1</vt:lpstr>
      <vt:lpstr>MAPPING!SD_8055x28_13_B_1</vt:lpstr>
      <vt:lpstr>MAPPING!SD_8055x28_14_B_0</vt:lpstr>
      <vt:lpstr>MAPPING!SD_8055x28_15_B_0</vt:lpstr>
      <vt:lpstr>MAPPING!SD_8055x28_19_B_0</vt:lpstr>
      <vt:lpstr>MAPPING!SD_8055x28_21_B_0</vt:lpstr>
      <vt:lpstr>MAPPING!SD_8055x28_23_B_0</vt:lpstr>
      <vt:lpstr>MAPPING!SD_8055x28_24_B_1</vt:lpstr>
      <vt:lpstr>MAPPING!SD_8055x29_10_B_0</vt:lpstr>
      <vt:lpstr>MAPPING!SD_8055x29_12_B_1</vt:lpstr>
      <vt:lpstr>MAPPING!SD_8055x29_13_B_1</vt:lpstr>
      <vt:lpstr>MAPPING!SD_8055x29_14_B_0</vt:lpstr>
      <vt:lpstr>MAPPING!SD_8055x29_15_B_0</vt:lpstr>
      <vt:lpstr>MAPPING!SD_8055x29_19_B_0</vt:lpstr>
      <vt:lpstr>MAPPING!SD_8055x29_21_B_0</vt:lpstr>
      <vt:lpstr>MAPPING!SD_8055x29_23_B_0</vt:lpstr>
      <vt:lpstr>MAPPING!SD_8055x29_24_B_1</vt:lpstr>
      <vt:lpstr>MAPPING!SD_8055x3_11_B_0</vt:lpstr>
      <vt:lpstr>MAPPING!SD_8055x3_13_B_1</vt:lpstr>
      <vt:lpstr>MAPPING!SD_8055x3_15_B_0</vt:lpstr>
      <vt:lpstr>MAPPING!SD_8055x3_24_B_1</vt:lpstr>
      <vt:lpstr>MAPPING!SD_8055x30_10_B_0</vt:lpstr>
      <vt:lpstr>MAPPING!SD_8055x30_12_B_1</vt:lpstr>
      <vt:lpstr>MAPPING!SD_8055x30_13_B_1</vt:lpstr>
      <vt:lpstr>MAPPING!SD_8055x30_14_B_0</vt:lpstr>
      <vt:lpstr>MAPPING!SD_8055x30_15_B_0</vt:lpstr>
      <vt:lpstr>MAPPING!SD_8055x30_19_B_0</vt:lpstr>
      <vt:lpstr>MAPPING!SD_8055x30_21_B_0</vt:lpstr>
      <vt:lpstr>MAPPING!SD_8055x30_23_B_0</vt:lpstr>
      <vt:lpstr>MAPPING!SD_8055x30_24_B_1</vt:lpstr>
      <vt:lpstr>MAPPING!SD_8055x31_10_B_0</vt:lpstr>
      <vt:lpstr>MAPPING!SD_8055x31_12_B_1</vt:lpstr>
      <vt:lpstr>MAPPING!SD_8055x31_13_B_1</vt:lpstr>
      <vt:lpstr>MAPPING!SD_8055x31_14_B_0</vt:lpstr>
      <vt:lpstr>MAPPING!SD_8055x31_15_B_0</vt:lpstr>
      <vt:lpstr>MAPPING!SD_8055x31_19_B_0</vt:lpstr>
      <vt:lpstr>MAPPING!SD_8055x31_21_B_0</vt:lpstr>
      <vt:lpstr>MAPPING!SD_8055x31_23_B_0</vt:lpstr>
      <vt:lpstr>MAPPING!SD_8055x31_24_B_1</vt:lpstr>
      <vt:lpstr>MAPPING!SD_8055x4_11_B_0</vt:lpstr>
      <vt:lpstr>MAPPING!SD_8055x4_13_B_1</vt:lpstr>
      <vt:lpstr>MAPPING!SD_8055x4_15_B_0</vt:lpstr>
      <vt:lpstr>MAPPING!SD_8055x4_24_B_1</vt:lpstr>
      <vt:lpstr>MAPPING!SD_8055x5_11_B_0</vt:lpstr>
      <vt:lpstr>MAPPING!SD_8055x5_13_B_1</vt:lpstr>
      <vt:lpstr>MAPPING!SD_8055x5_15_B_0</vt:lpstr>
      <vt:lpstr>MAPPING!SD_8055x5_24_B_1</vt:lpstr>
      <vt:lpstr>MAPPING!SD_8055x6_10_B_0</vt:lpstr>
      <vt:lpstr>MAPPING!SD_8055x6_12_B_1</vt:lpstr>
      <vt:lpstr>MAPPING!SD_8055x6_13_B_1</vt:lpstr>
      <vt:lpstr>MAPPING!SD_8055x6_14_B_0</vt:lpstr>
      <vt:lpstr>MAPPING!SD_8055x6_15_B_0</vt:lpstr>
      <vt:lpstr>MAPPING!SD_8055x6_19_B_0</vt:lpstr>
      <vt:lpstr>MAPPING!SD_8055x6_21_B_0</vt:lpstr>
      <vt:lpstr>MAPPING!SD_8055x6_23_B_0</vt:lpstr>
      <vt:lpstr>MAPPING!SD_8055x6_24_B_1</vt:lpstr>
      <vt:lpstr>MAPPING!SD_8055x7_10_B_0</vt:lpstr>
      <vt:lpstr>MAPPING!SD_8055x7_12_B_1</vt:lpstr>
      <vt:lpstr>MAPPING!SD_8055x7_13_B_1</vt:lpstr>
      <vt:lpstr>MAPPING!SD_8055x7_14_B_0</vt:lpstr>
      <vt:lpstr>MAPPING!SD_8055x7_15_B_0</vt:lpstr>
      <vt:lpstr>MAPPING!SD_8055x7_19_B_0</vt:lpstr>
      <vt:lpstr>MAPPING!SD_8055x7_21_B_0</vt:lpstr>
      <vt:lpstr>MAPPING!SD_8055x7_23_B_0</vt:lpstr>
      <vt:lpstr>MAPPING!SD_8055x7_24_B_1</vt:lpstr>
      <vt:lpstr>MAPPING!SD_8055x8_10_B_0</vt:lpstr>
      <vt:lpstr>MAPPING!SD_8055x8_12_B_1</vt:lpstr>
      <vt:lpstr>MAPPING!SD_8055x8_13_B_1</vt:lpstr>
      <vt:lpstr>MAPPING!SD_8055x8_14_B_0</vt:lpstr>
      <vt:lpstr>MAPPING!SD_8055x8_15_B_0</vt:lpstr>
      <vt:lpstr>MAPPING!SD_8055x8_19_B_0</vt:lpstr>
      <vt:lpstr>MAPPING!SD_8055x8_21_B_0</vt:lpstr>
      <vt:lpstr>MAPPING!SD_8055x8_23_B_0</vt:lpstr>
      <vt:lpstr>MAPPING!SD_8055x8_24_B_1</vt:lpstr>
      <vt:lpstr>MAPPING!SD_8055x9_10_B_0</vt:lpstr>
      <vt:lpstr>MAPPING!SD_8055x9_12_B_1</vt:lpstr>
      <vt:lpstr>MAPPING!SD_8055x9_13_B_1</vt:lpstr>
      <vt:lpstr>MAPPING!SD_8055x9_14_B_0</vt:lpstr>
      <vt:lpstr>MAPPING!SD_8055x9_15_B_0</vt:lpstr>
      <vt:lpstr>MAPPING!SD_8055x9_19_B_0</vt:lpstr>
      <vt:lpstr>MAPPING!SD_8055x9_21_B_0</vt:lpstr>
      <vt:lpstr>MAPPING!SD_8055x9_23_B_0</vt:lpstr>
      <vt:lpstr>MAPPING!SD_8055x9_24_B_1</vt:lpstr>
      <vt:lpstr>MAPPING!SD_81x1_100_B_0</vt:lpstr>
      <vt:lpstr>MAPPING!SD_81x1_101_B_0</vt:lpstr>
      <vt:lpstr>MAPPING!SD_81x1_102_B_0</vt:lpstr>
      <vt:lpstr>MAPPING!SD_81x1_103_B_0</vt:lpstr>
      <vt:lpstr>MAPPING!SD_81x1_105_B_0</vt:lpstr>
      <vt:lpstr>MAPPING!SD_81x1_107_B_0</vt:lpstr>
      <vt:lpstr>MAPPING!SD_81x1_109_B_0</vt:lpstr>
      <vt:lpstr>MAPPING!SD_81x1_110_B_0</vt:lpstr>
      <vt:lpstr>MAPPING!SD_81x1_111_B_0</vt:lpstr>
      <vt:lpstr>MAPPING!SD_81x1_112_B_0</vt:lpstr>
      <vt:lpstr>MAPPING!SD_81x1_113_B_0</vt:lpstr>
      <vt:lpstr>MAPPING!SD_81x1_114_B_0</vt:lpstr>
      <vt:lpstr>MAPPING!SD_81x1_115_B_0</vt:lpstr>
      <vt:lpstr>MAPPING!SD_81x1_116_B_0</vt:lpstr>
      <vt:lpstr>MAPPING!SD_81x1_117_B_0</vt:lpstr>
      <vt:lpstr>MAPPING!SD_81x1_118_B_0</vt:lpstr>
      <vt:lpstr>MAPPING!SD_81x1_119_B_0</vt:lpstr>
      <vt:lpstr>MAPPING!SD_81x1_12_B_0</vt:lpstr>
      <vt:lpstr>MAPPING!SD_81x1_120_B_0</vt:lpstr>
      <vt:lpstr>MAPPING!SD_81x1_123_B_0</vt:lpstr>
      <vt:lpstr>MAPPING!SD_81x1_127_B_0</vt:lpstr>
      <vt:lpstr>MAPPING!SD_81x1_128_B_0</vt:lpstr>
      <vt:lpstr>MAPPING!SD_81x1_129_B_0</vt:lpstr>
      <vt:lpstr>MAPPING!SD_81x1_130_B_0</vt:lpstr>
      <vt:lpstr>MAPPING!SD_81x1_132_B_0</vt:lpstr>
      <vt:lpstr>MAPPING!SD_81x1_133_B_0</vt:lpstr>
      <vt:lpstr>MAPPING!SD_81x1_134_B_0</vt:lpstr>
      <vt:lpstr>MAPPING!SD_81x1_175_B_0</vt:lpstr>
      <vt:lpstr>MAPPING!SD_81x1_208_B_0</vt:lpstr>
      <vt:lpstr>MAPPING!SD_81x1_26_B_0</vt:lpstr>
      <vt:lpstr>MAPPING!SD_81x1_31_B_0</vt:lpstr>
      <vt:lpstr>MAPPING!SD_81x1_33_B_0</vt:lpstr>
      <vt:lpstr>MAPPING!SD_81x1_34_B_0</vt:lpstr>
      <vt:lpstr>MAPPING!SD_81x1_43_B_0</vt:lpstr>
      <vt:lpstr>MAPPING!SD_81x1_47_B_0</vt:lpstr>
      <vt:lpstr>MAPPING!SD_81x1_5325x1_136_B_1</vt:lpstr>
      <vt:lpstr>MAPPING!SD_81x1_5325x1_137_B_0</vt:lpstr>
      <vt:lpstr>MAPPING!SD_81x1_5325x1_138_B_0</vt:lpstr>
      <vt:lpstr>MAPPING!SD_81x1_5325x1_139_B_0</vt:lpstr>
      <vt:lpstr>MAPPING!SD_81x1_5325x1_140_B_0</vt:lpstr>
      <vt:lpstr>MAPPING!SD_81x1_5325x1_141_B_0</vt:lpstr>
      <vt:lpstr>MAPPING!SD_81x1_5325x1_142_B_0</vt:lpstr>
      <vt:lpstr>MAPPING!SD_81x1_5325x1_143_B_0</vt:lpstr>
      <vt:lpstr>MAPPING!SD_81x1_5325x1_144_B_0</vt:lpstr>
      <vt:lpstr>MAPPING!SD_81x1_5325x1_145_B_0</vt:lpstr>
      <vt:lpstr>MAPPING!SD_81x1_5325x1_146_B_0</vt:lpstr>
      <vt:lpstr>MAPPING!SD_81x1_5325x1_147_B_0</vt:lpstr>
      <vt:lpstr>MAPPING!SD_81x1_5325x1_148_B_0</vt:lpstr>
      <vt:lpstr>MAPPING!SD_81x1_5325x1_149_B_0</vt:lpstr>
      <vt:lpstr>MAPPING!SD_81x1_5325x1_150_B_0</vt:lpstr>
      <vt:lpstr>MAPPING!SD_81x1_5325x1_151_B_0</vt:lpstr>
      <vt:lpstr>MAPPING!SD_81x1_5325x1_152_B_0</vt:lpstr>
      <vt:lpstr>MAPPING!SD_81x1_5325x1_153_B_0</vt:lpstr>
      <vt:lpstr>MAPPING!SD_81x1_5325x1_154_B_0</vt:lpstr>
      <vt:lpstr>MAPPING!SD_81x1_5325x1_155_B_0</vt:lpstr>
      <vt:lpstr>MAPPING!SD_81x1_5325x1_156_B_0</vt:lpstr>
      <vt:lpstr>MAPPING!SD_81x1_5325x1_157_B_0</vt:lpstr>
      <vt:lpstr>MAPPING!SD_81x1_5325x1_158_B_0</vt:lpstr>
      <vt:lpstr>MAPPING!SD_81x1_5325x1_159_B_0</vt:lpstr>
      <vt:lpstr>MAPPING!SD_81x1_5325x1_160_B_0</vt:lpstr>
      <vt:lpstr>MAPPING!SD_81x1_5325x1_161_B_0</vt:lpstr>
      <vt:lpstr>MAPPING!SD_81x1_5325x1_162_B_0</vt:lpstr>
      <vt:lpstr>MAPPING!SD_81x1_5325x1_163_B_0</vt:lpstr>
      <vt:lpstr>MAPPING!SD_81x1_5325x1_164_B_0</vt:lpstr>
      <vt:lpstr>MAPPING!SD_81x1_5325x1_165_B_0</vt:lpstr>
      <vt:lpstr>MAPPING!SD_81x1_5325x1_168_B_0</vt:lpstr>
      <vt:lpstr>MAPPING!SD_81x1_5325x1_171_B_0</vt:lpstr>
      <vt:lpstr>MAPPING!SD_81x1_5325x1_183_B_0</vt:lpstr>
      <vt:lpstr>MAPPING!SD_81x1_5325x1_184_B_0</vt:lpstr>
      <vt:lpstr>MAPPING!SD_81x1_5325x1_191_B_0</vt:lpstr>
      <vt:lpstr>MAPPING!SD_81x1_5325x1_193_B_0</vt:lpstr>
      <vt:lpstr>MAPPING!SD_81x1_5325x1_194_B_0</vt:lpstr>
      <vt:lpstr>MAPPING!SD_81x1_5325x1_197_B_0</vt:lpstr>
      <vt:lpstr>MAPPING!SD_81x1_5325x1_198_B_0</vt:lpstr>
      <vt:lpstr>MAPPING!SD_81x1_5325x1_199_B_0</vt:lpstr>
      <vt:lpstr>MAPPING!SD_81x1_5325x1_200_B_0</vt:lpstr>
      <vt:lpstr>MAPPING!SD_81x1_5325x1_201_B_0</vt:lpstr>
      <vt:lpstr>MAPPING!SD_81x1_5325x1_202_B_0</vt:lpstr>
      <vt:lpstr>MAPPING!SD_81x1_5325x1_203_B_0</vt:lpstr>
      <vt:lpstr>MAPPING!SD_81x1_5325x1_204_B_0</vt:lpstr>
      <vt:lpstr>MAPPING!SD_81x1_5325x1_205_B_0</vt:lpstr>
      <vt:lpstr>MAPPING!SD_81x1_5325x1_206_B_0</vt:lpstr>
      <vt:lpstr>MAPPING!SD_81x1_5325x1_207_B_0</vt:lpstr>
      <vt:lpstr>MAPPING!SD_81x1_5325x1_208_B_0</vt:lpstr>
      <vt:lpstr>MAPPING!SD_81x1_5325x1_209_B_0</vt:lpstr>
      <vt:lpstr>MAPPING!SD_81x1_5325x1_210_B_0</vt:lpstr>
      <vt:lpstr>MAPPING!SD_81x1_5325x1_211_B_0</vt:lpstr>
      <vt:lpstr>MAPPING!SD_81x1_5325x1_212_B_0</vt:lpstr>
      <vt:lpstr>MAPPING!SD_81x1_5325x1_213_B_0</vt:lpstr>
      <vt:lpstr>MAPPING!SD_81x1_5325x1_214_B_0</vt:lpstr>
      <vt:lpstr>MAPPING!SD_81x1_5325x1_215_B_0</vt:lpstr>
      <vt:lpstr>MAPPING!SD_81x1_5325x1_216_B_0</vt:lpstr>
      <vt:lpstr>MAPPING!SD_81x1_5325x1_217_B_0</vt:lpstr>
      <vt:lpstr>MAPPING!SD_81x1_5325x1_218_B_0</vt:lpstr>
      <vt:lpstr>MAPPING!SD_81x1_5325x1_219_B_0</vt:lpstr>
      <vt:lpstr>MAPPING!SD_81x1_5325x1_220_B_0</vt:lpstr>
      <vt:lpstr>MAPPING!SD_81x1_5325x1_221_B_0</vt:lpstr>
      <vt:lpstr>MAPPING!SD_81x1_5325x1_222_B_0</vt:lpstr>
      <vt:lpstr>MAPPING!SD_81x1_5325x1_223_B_0</vt:lpstr>
      <vt:lpstr>MAPPING!SD_81x1_5325x1_224_B_0</vt:lpstr>
      <vt:lpstr>MAPPING!SD_81x1_5325x1_225_B_0</vt:lpstr>
      <vt:lpstr>MAPPING!SD_81x1_5325x1_226_B_0</vt:lpstr>
      <vt:lpstr>MAPPING!SD_81x1_5325x1_227_B_0</vt:lpstr>
      <vt:lpstr>MAPPING!SD_81x1_5325x1_228_B_0</vt:lpstr>
      <vt:lpstr>MAPPING!SD_81x1_5325x1_230_B_0</vt:lpstr>
      <vt:lpstr>MAPPING!SD_81x1_5325x1_231_B_0</vt:lpstr>
      <vt:lpstr>MAPPING!SD_81x1_5325x1_232_B_0</vt:lpstr>
      <vt:lpstr>MAPPING!SD_81x1_5325x1_233_B_0</vt:lpstr>
      <vt:lpstr>MAPPING!SD_81x1_5325x1_234_B_0</vt:lpstr>
      <vt:lpstr>MAPPING!SD_81x1_5325x1_235_B_0</vt:lpstr>
      <vt:lpstr>MAPPING!SD_81x1_5325x1_236_B_0</vt:lpstr>
      <vt:lpstr>MAPPING!SD_81x1_5325x1_237_B_0</vt:lpstr>
      <vt:lpstr>MAPPING!SD_81x1_5325x1_238_B_0</vt:lpstr>
      <vt:lpstr>MAPPING!SD_81x1_5325x1_239_B_0</vt:lpstr>
      <vt:lpstr>MAPPING!SD_81x1_5325x1_240_B_0</vt:lpstr>
      <vt:lpstr>MAPPING!SD_81x1_5325x1_241_B_0</vt:lpstr>
      <vt:lpstr>MAPPING!SD_81x1_5325x1_242_B_0</vt:lpstr>
      <vt:lpstr>MAPPING!SD_81x1_5325x1_243_B_0</vt:lpstr>
      <vt:lpstr>MAPPING!SD_81x1_5325x1_244_B_0</vt:lpstr>
      <vt:lpstr>MAPPING!SD_81x1_5325x1_245_B_0</vt:lpstr>
      <vt:lpstr>MAPPING!SD_81x1_5325x1_246_B_0</vt:lpstr>
      <vt:lpstr>MAPPING!SD_81x1_5325x1_247_B_0</vt:lpstr>
      <vt:lpstr>MAPPING!SD_81x1_5325x1_248_B_0</vt:lpstr>
      <vt:lpstr>MAPPING!SD_81x1_5325x1_249_B_0</vt:lpstr>
      <vt:lpstr>MAPPING!SD_81x1_5325x1_250_B_0</vt:lpstr>
      <vt:lpstr>MAPPING!SD_81x1_5325x1_251_B_0</vt:lpstr>
      <vt:lpstr>MAPPING!SD_81x1_60_B_0</vt:lpstr>
      <vt:lpstr>MAPPING!SD_81x1_64_B_0</vt:lpstr>
      <vt:lpstr>MAPPING!SD_81x1_65_B_0</vt:lpstr>
      <vt:lpstr>MAPPING!SD_81x1_66_B_0</vt:lpstr>
      <vt:lpstr>MAPPING!SD_81x1_68_B_0</vt:lpstr>
      <vt:lpstr>MAPPING!SD_81x1_72_B_0</vt:lpstr>
      <vt:lpstr>MAPPING!SD_81x1_74_B_0</vt:lpstr>
      <vt:lpstr>MAPPING!SD_81x1_75_B_0</vt:lpstr>
      <vt:lpstr>MAPPING!SD_81x1_76_B_0</vt:lpstr>
      <vt:lpstr>MAPPING!SD_81x1_77_B_0</vt:lpstr>
      <vt:lpstr>MAPPING!SD_81x1_80_B_0</vt:lpstr>
      <vt:lpstr>MAPPING!SD_81x1_84_B_0</vt:lpstr>
      <vt:lpstr>MAPPING!SD_81x1_86_B_0</vt:lpstr>
      <vt:lpstr>MAPPING!SD_81x1_89_B_0</vt:lpstr>
      <vt:lpstr>MAPPING!SD_81x1_90_B_0</vt:lpstr>
      <vt:lpstr>MAPPING!SD_81x1_93_B_0</vt:lpstr>
      <vt:lpstr>MAPPING!SD_81x1_94_B_0</vt:lpstr>
      <vt:lpstr>MAPPING!SD_81x1_99_B_0</vt:lpstr>
      <vt:lpstr>MAPPING!SD_9089x1_9205x1_104_B_0</vt:lpstr>
      <vt:lpstr>MAPPING!SD_9089x1_9205x1_105_B_0</vt:lpstr>
      <vt:lpstr>MAPPING!SD_9089x1_9205x1_107_B_0</vt:lpstr>
      <vt:lpstr>MAPPING!SD_9089x1_9215x1_9223x1_10_S_0</vt:lpstr>
      <vt:lpstr>MAPPING!SD_9089x1_9215x1_9223x1_11_S_1</vt:lpstr>
      <vt:lpstr>MAPPING!SD_9089x1_9215x1_9223x1_167_B_0</vt:lpstr>
      <vt:lpstr>MAPPING!SD_9089x1_9215x1_9223x1_512_B_0</vt:lpstr>
      <vt:lpstr>MAPPING!SD_9089x1_9215x1_9223x1_513_B_0</vt:lpstr>
      <vt:lpstr>MAPPING!SD_9089x1_9215x1_9223x1_517_B_0</vt:lpstr>
      <vt:lpstr>MAPPING!SD_9089x1_9215x1_9223x1_532_B_0</vt:lpstr>
      <vt:lpstr>MAPPING!SD_9089x1_9215x1_9223x1_536_B_0</vt:lpstr>
      <vt:lpstr>MAPPING!SD_9089x1_9215x1_9223x1_568_B_0</vt:lpstr>
      <vt:lpstr>MAPPING!SD_9089x1_9215x1_9223x1_576_B_0</vt:lpstr>
      <vt:lpstr>MAPPING!SD_9089x1_9215x1_9223x1_578_B_0</vt:lpstr>
      <vt:lpstr>MAPPING!SD_9089x1_9215x1_9223x1_584_B_0</vt:lpstr>
      <vt:lpstr>MAPPING!SD_9089x1_9215x1_9223x1_587_B_0</vt:lpstr>
      <vt:lpstr>MAPPING!SD_9089x1_9215x1_9223x1_588_B_0</vt:lpstr>
      <vt:lpstr>MAPPING!SD_9089x1_9215x1_9223x1_590_B_0</vt:lpstr>
      <vt:lpstr>MAPPING!SD_9089x1_9215x1_9223x1_594_B_0</vt:lpstr>
      <vt:lpstr>MAPPING!SD_9089x1_9215x1_9223x1_596_B_0</vt:lpstr>
      <vt:lpstr>MAPPING!SD_9089x1_9215x1_9223x1_598_B_0</vt:lpstr>
      <vt:lpstr>MAPPING!SD_9089x1_9215x1_9223x1_600_B_0</vt:lpstr>
      <vt:lpstr>MAPPING!SD_9089x1_9215x1_9223x1_602_B_0</vt:lpstr>
      <vt:lpstr>MAPPING!SD_9089x1_9215x1_9223x1_604_B_0</vt:lpstr>
      <vt:lpstr>MAPPING!SD_9089x1_9215x1_9223x1_606_B_0</vt:lpstr>
      <vt:lpstr>MAPPING!SD_9089x1_9215x1_9223x1_609_B_0</vt:lpstr>
      <vt:lpstr>MAPPING!SD_9089x1_9215x1_9223x1_612_B_0</vt:lpstr>
      <vt:lpstr>MAPPING!SD_9089x1_9215x1_9223x1_613_B_0</vt:lpstr>
      <vt:lpstr>MAPPING!SD_9089x1_9215x1_9223x1_615_B_0</vt:lpstr>
      <vt:lpstr>MAPPING!SD_9089x1_9215x1_9223x1_616_B_0</vt:lpstr>
      <vt:lpstr>MAPPING!SD_9089x1_9215x1_9223x1_625_B_0</vt:lpstr>
      <vt:lpstr>MAPPING!SD_9089x1_9215x1_9223x1_626_B_0</vt:lpstr>
      <vt:lpstr>MAPPING!SD_9089x1_9215x1_9223x1_627_B_0</vt:lpstr>
      <vt:lpstr>MAPPING!SD_9089x1_9215x1_9223x1_632_B_0</vt:lpstr>
      <vt:lpstr>MAPPING!SD_9089x1_9215x1_9223x1_633_B_0</vt:lpstr>
      <vt:lpstr>MAPPING!SD_9089x1_9215x1_9223x1_634_B_0</vt:lpstr>
      <vt:lpstr>MAPPING!SD_9089x1_9215x1_9223x1_635_B_0</vt:lpstr>
      <vt:lpstr>MAPPING!SD_9089x1_9215x1_9223x1_636_B_0</vt:lpstr>
      <vt:lpstr>MAPPING!SD_9089x1_9215x1_9223x1_639_B_0</vt:lpstr>
      <vt:lpstr>MAPPING!SD_9089x1_9215x1_9223x1_640_B_0</vt:lpstr>
      <vt:lpstr>MAPPING!SD_9089x1_9215x1_9223x1_641_B_0</vt:lpstr>
      <vt:lpstr>MAPPING!SD_9089x1_9215x1_9223x1_642_B_0</vt:lpstr>
      <vt:lpstr>MAPPING!SD_9089x1_9215x1_9223x1_643_B_0</vt:lpstr>
      <vt:lpstr>MAPPING!SD_9089x1_9215x1_9223x1_644_B_0</vt:lpstr>
      <vt:lpstr>MAPPING!SD_9089x1_9215x1_9223x1_645_B_0</vt:lpstr>
      <vt:lpstr>MAPPING!SD_9089x1_9215x1_9223x1_647_B_0</vt:lpstr>
      <vt:lpstr>MAPPING!SD_9089x1_9215x1_9223x1_650_B_0</vt:lpstr>
      <vt:lpstr>MAPPING!SD_9089x1_9215x1_9223x1_654_B_0</vt:lpstr>
      <vt:lpstr>MAPPING!SD_9089x1_9215x1_9223x1_655_B_0</vt:lpstr>
      <vt:lpstr>MAPPING!SD_9089x1_9215x1_9223x1_661_B_0</vt:lpstr>
      <vt:lpstr>MAPPING!SD_9089x1_9215x1_9223x1_670_B_0</vt:lpstr>
      <vt:lpstr>MAPPING!SD_9089x1_9215x1_9223x1_673_B_0</vt:lpstr>
      <vt:lpstr>MAPPING!SD_9089x1_9215x1_9223x1_677_B_0</vt:lpstr>
      <vt:lpstr>MAPPING!SD_9089x1_9215x1_9223x1_680_B_0</vt:lpstr>
      <vt:lpstr>MAPPING!SD_9089x1_9215x1_9223x1_683_B_0</vt:lpstr>
      <vt:lpstr>MAPPING!SD_9089x1_9215x1_9223x1_684_B_0</vt:lpstr>
      <vt:lpstr>MAPPING!SD_9089x1_9215x1_9223x1_685_B_0</vt:lpstr>
      <vt:lpstr>MAPPING!SD_9089x1_9215x1_9223x1_687_B_0</vt:lpstr>
      <vt:lpstr>MAPPING!SD_9089x1_9215x10_9223x1_10_S_0</vt:lpstr>
      <vt:lpstr>MAPPING!SD_9089x1_9215x10_9223x1_11_S_1</vt:lpstr>
      <vt:lpstr>MAPPING!SD_9089x1_9215x10_9223x1_167_B_0</vt:lpstr>
      <vt:lpstr>MAPPING!SD_9089x1_9215x10_9223x1_512_B_0</vt:lpstr>
      <vt:lpstr>MAPPING!SD_9089x1_9215x10_9223x1_513_B_0</vt:lpstr>
      <vt:lpstr>MAPPING!SD_9089x1_9215x10_9223x1_517_B_0</vt:lpstr>
      <vt:lpstr>MAPPING!SD_9089x1_9215x10_9223x1_532_B_0</vt:lpstr>
      <vt:lpstr>MAPPING!SD_9089x1_9215x10_9223x1_536_B_0</vt:lpstr>
      <vt:lpstr>MAPPING!SD_9089x1_9215x10_9223x1_568_B_0</vt:lpstr>
      <vt:lpstr>MAPPING!SD_9089x1_9215x10_9223x1_576_B_0</vt:lpstr>
      <vt:lpstr>MAPPING!SD_9089x1_9215x10_9223x1_578_B_0</vt:lpstr>
      <vt:lpstr>MAPPING!SD_9089x1_9215x10_9223x1_584_B_0</vt:lpstr>
      <vt:lpstr>MAPPING!SD_9089x1_9215x10_9223x1_587_B_0</vt:lpstr>
      <vt:lpstr>MAPPING!SD_9089x1_9215x10_9223x1_588_B_0</vt:lpstr>
      <vt:lpstr>MAPPING!SD_9089x1_9215x10_9223x1_590_B_0</vt:lpstr>
      <vt:lpstr>MAPPING!SD_9089x1_9215x10_9223x1_594_B_0</vt:lpstr>
      <vt:lpstr>MAPPING!SD_9089x1_9215x10_9223x1_596_B_0</vt:lpstr>
      <vt:lpstr>MAPPING!SD_9089x1_9215x10_9223x1_598_B_0</vt:lpstr>
      <vt:lpstr>MAPPING!SD_9089x1_9215x10_9223x1_600_B_0</vt:lpstr>
      <vt:lpstr>MAPPING!SD_9089x1_9215x10_9223x1_602_B_0</vt:lpstr>
      <vt:lpstr>MAPPING!SD_9089x1_9215x10_9223x1_604_B_0</vt:lpstr>
      <vt:lpstr>MAPPING!SD_9089x1_9215x10_9223x1_606_B_0</vt:lpstr>
      <vt:lpstr>MAPPING!SD_9089x1_9215x10_9223x1_609_B_0</vt:lpstr>
      <vt:lpstr>MAPPING!SD_9089x1_9215x10_9223x1_612_B_0</vt:lpstr>
      <vt:lpstr>MAPPING!SD_9089x1_9215x10_9223x1_613_B_0</vt:lpstr>
      <vt:lpstr>MAPPING!SD_9089x1_9215x10_9223x1_615_B_0</vt:lpstr>
      <vt:lpstr>MAPPING!SD_9089x1_9215x10_9223x1_616_B_0</vt:lpstr>
      <vt:lpstr>MAPPING!SD_9089x1_9215x10_9223x1_625_B_0</vt:lpstr>
      <vt:lpstr>MAPPING!SD_9089x1_9215x10_9223x1_626_B_0</vt:lpstr>
      <vt:lpstr>MAPPING!SD_9089x1_9215x10_9223x1_627_B_0</vt:lpstr>
      <vt:lpstr>MAPPING!SD_9089x1_9215x10_9223x1_632_B_0</vt:lpstr>
      <vt:lpstr>MAPPING!SD_9089x1_9215x10_9223x1_633_B_0</vt:lpstr>
      <vt:lpstr>MAPPING!SD_9089x1_9215x10_9223x1_634_B_0</vt:lpstr>
      <vt:lpstr>MAPPING!SD_9089x1_9215x10_9223x1_635_B_0</vt:lpstr>
      <vt:lpstr>MAPPING!SD_9089x1_9215x10_9223x1_636_B_0</vt:lpstr>
      <vt:lpstr>MAPPING!SD_9089x1_9215x10_9223x1_639_B_0</vt:lpstr>
      <vt:lpstr>MAPPING!SD_9089x1_9215x10_9223x1_640_B_0</vt:lpstr>
      <vt:lpstr>MAPPING!SD_9089x1_9215x10_9223x1_641_B_0</vt:lpstr>
      <vt:lpstr>MAPPING!SD_9089x1_9215x10_9223x1_642_B_0</vt:lpstr>
      <vt:lpstr>MAPPING!SD_9089x1_9215x10_9223x1_643_B_0</vt:lpstr>
      <vt:lpstr>MAPPING!SD_9089x1_9215x10_9223x1_644_B_0</vt:lpstr>
      <vt:lpstr>MAPPING!SD_9089x1_9215x10_9223x1_645_B_0</vt:lpstr>
      <vt:lpstr>MAPPING!SD_9089x1_9215x10_9223x1_647_B_0</vt:lpstr>
      <vt:lpstr>MAPPING!SD_9089x1_9215x10_9223x1_650_B_0</vt:lpstr>
      <vt:lpstr>MAPPING!SD_9089x1_9215x10_9223x1_654_B_0</vt:lpstr>
      <vt:lpstr>MAPPING!SD_9089x1_9215x10_9223x1_655_B_0</vt:lpstr>
      <vt:lpstr>MAPPING!SD_9089x1_9215x10_9223x1_661_B_0</vt:lpstr>
      <vt:lpstr>MAPPING!SD_9089x1_9215x10_9223x1_670_B_0</vt:lpstr>
      <vt:lpstr>MAPPING!SD_9089x1_9215x10_9223x1_673_B_0</vt:lpstr>
      <vt:lpstr>MAPPING!SD_9089x1_9215x10_9223x1_677_B_0</vt:lpstr>
      <vt:lpstr>MAPPING!SD_9089x1_9215x10_9223x1_680_B_0</vt:lpstr>
      <vt:lpstr>MAPPING!SD_9089x1_9215x10_9223x1_683_B_0</vt:lpstr>
      <vt:lpstr>MAPPING!SD_9089x1_9215x10_9223x1_684_B_0</vt:lpstr>
      <vt:lpstr>MAPPING!SD_9089x1_9215x10_9223x1_685_B_0</vt:lpstr>
      <vt:lpstr>MAPPING!SD_9089x1_9215x10_9223x1_687_B_0</vt:lpstr>
      <vt:lpstr>MAPPING!SD_9089x1_9215x11_9223x1_10_S_0</vt:lpstr>
      <vt:lpstr>MAPPING!SD_9089x1_9215x11_9223x1_11_S_1</vt:lpstr>
      <vt:lpstr>MAPPING!SD_9089x1_9215x11_9223x1_167_B_0</vt:lpstr>
      <vt:lpstr>MAPPING!SD_9089x1_9215x11_9223x1_512_B_0</vt:lpstr>
      <vt:lpstr>MAPPING!SD_9089x1_9215x11_9223x1_513_B_0</vt:lpstr>
      <vt:lpstr>MAPPING!SD_9089x1_9215x11_9223x1_517_B_0</vt:lpstr>
      <vt:lpstr>MAPPING!SD_9089x1_9215x11_9223x1_532_B_0</vt:lpstr>
      <vt:lpstr>MAPPING!SD_9089x1_9215x11_9223x1_536_B_0</vt:lpstr>
      <vt:lpstr>MAPPING!SD_9089x1_9215x11_9223x1_568_B_0</vt:lpstr>
      <vt:lpstr>MAPPING!SD_9089x1_9215x11_9223x1_576_B_0</vt:lpstr>
      <vt:lpstr>MAPPING!SD_9089x1_9215x11_9223x1_578_B_0</vt:lpstr>
      <vt:lpstr>MAPPING!SD_9089x1_9215x11_9223x1_584_B_0</vt:lpstr>
      <vt:lpstr>MAPPING!SD_9089x1_9215x11_9223x1_587_B_0</vt:lpstr>
      <vt:lpstr>MAPPING!SD_9089x1_9215x11_9223x1_588_B_0</vt:lpstr>
      <vt:lpstr>MAPPING!SD_9089x1_9215x11_9223x1_590_B_0</vt:lpstr>
      <vt:lpstr>MAPPING!SD_9089x1_9215x11_9223x1_594_B_0</vt:lpstr>
      <vt:lpstr>MAPPING!SD_9089x1_9215x11_9223x1_596_B_0</vt:lpstr>
      <vt:lpstr>MAPPING!SD_9089x1_9215x11_9223x1_598_B_0</vt:lpstr>
      <vt:lpstr>MAPPING!SD_9089x1_9215x11_9223x1_600_B_0</vt:lpstr>
      <vt:lpstr>MAPPING!SD_9089x1_9215x11_9223x1_602_B_0</vt:lpstr>
      <vt:lpstr>MAPPING!SD_9089x1_9215x11_9223x1_604_B_0</vt:lpstr>
      <vt:lpstr>MAPPING!SD_9089x1_9215x11_9223x1_606_B_0</vt:lpstr>
      <vt:lpstr>MAPPING!SD_9089x1_9215x11_9223x1_609_B_0</vt:lpstr>
      <vt:lpstr>MAPPING!SD_9089x1_9215x11_9223x1_612_B_0</vt:lpstr>
      <vt:lpstr>MAPPING!SD_9089x1_9215x11_9223x1_613_B_0</vt:lpstr>
      <vt:lpstr>MAPPING!SD_9089x1_9215x11_9223x1_615_B_0</vt:lpstr>
      <vt:lpstr>MAPPING!SD_9089x1_9215x11_9223x1_616_B_0</vt:lpstr>
      <vt:lpstr>MAPPING!SD_9089x1_9215x11_9223x1_625_B_0</vt:lpstr>
      <vt:lpstr>MAPPING!SD_9089x1_9215x11_9223x1_626_B_0</vt:lpstr>
      <vt:lpstr>MAPPING!SD_9089x1_9215x11_9223x1_627_B_0</vt:lpstr>
      <vt:lpstr>MAPPING!SD_9089x1_9215x11_9223x1_632_B_0</vt:lpstr>
      <vt:lpstr>MAPPING!SD_9089x1_9215x11_9223x1_633_B_0</vt:lpstr>
      <vt:lpstr>MAPPING!SD_9089x1_9215x11_9223x1_634_B_0</vt:lpstr>
      <vt:lpstr>MAPPING!SD_9089x1_9215x11_9223x1_635_B_0</vt:lpstr>
      <vt:lpstr>MAPPING!SD_9089x1_9215x11_9223x1_636_B_0</vt:lpstr>
      <vt:lpstr>MAPPING!SD_9089x1_9215x11_9223x1_639_B_0</vt:lpstr>
      <vt:lpstr>MAPPING!SD_9089x1_9215x11_9223x1_640_B_0</vt:lpstr>
      <vt:lpstr>MAPPING!SD_9089x1_9215x11_9223x1_641_B_0</vt:lpstr>
      <vt:lpstr>MAPPING!SD_9089x1_9215x11_9223x1_642_B_0</vt:lpstr>
      <vt:lpstr>MAPPING!SD_9089x1_9215x11_9223x1_643_B_0</vt:lpstr>
      <vt:lpstr>MAPPING!SD_9089x1_9215x11_9223x1_644_B_0</vt:lpstr>
      <vt:lpstr>MAPPING!SD_9089x1_9215x11_9223x1_645_B_0</vt:lpstr>
      <vt:lpstr>MAPPING!SD_9089x1_9215x11_9223x1_647_B_0</vt:lpstr>
      <vt:lpstr>MAPPING!SD_9089x1_9215x11_9223x1_650_B_0</vt:lpstr>
      <vt:lpstr>MAPPING!SD_9089x1_9215x11_9223x1_654_B_0</vt:lpstr>
      <vt:lpstr>MAPPING!SD_9089x1_9215x11_9223x1_655_B_0</vt:lpstr>
      <vt:lpstr>MAPPING!SD_9089x1_9215x11_9223x1_661_B_0</vt:lpstr>
      <vt:lpstr>MAPPING!SD_9089x1_9215x11_9223x1_670_B_0</vt:lpstr>
      <vt:lpstr>MAPPING!SD_9089x1_9215x11_9223x1_673_B_0</vt:lpstr>
      <vt:lpstr>MAPPING!SD_9089x1_9215x11_9223x1_677_B_0</vt:lpstr>
      <vt:lpstr>MAPPING!SD_9089x1_9215x11_9223x1_680_B_0</vt:lpstr>
      <vt:lpstr>MAPPING!SD_9089x1_9215x11_9223x1_683_B_0</vt:lpstr>
      <vt:lpstr>MAPPING!SD_9089x1_9215x11_9223x1_684_B_0</vt:lpstr>
      <vt:lpstr>MAPPING!SD_9089x1_9215x11_9223x1_685_B_0</vt:lpstr>
      <vt:lpstr>MAPPING!SD_9089x1_9215x11_9223x1_687_B_0</vt:lpstr>
      <vt:lpstr>MAPPING!SD_9089x1_9215x12_9223x1_10_S_0</vt:lpstr>
      <vt:lpstr>MAPPING!SD_9089x1_9215x12_9223x1_11_S_1</vt:lpstr>
      <vt:lpstr>MAPPING!SD_9089x1_9215x12_9223x1_167_B_0</vt:lpstr>
      <vt:lpstr>MAPPING!SD_9089x1_9215x12_9223x1_512_B_0</vt:lpstr>
      <vt:lpstr>MAPPING!SD_9089x1_9215x12_9223x1_513_B_0</vt:lpstr>
      <vt:lpstr>MAPPING!SD_9089x1_9215x12_9223x1_517_B_0</vt:lpstr>
      <vt:lpstr>MAPPING!SD_9089x1_9215x12_9223x1_532_B_0</vt:lpstr>
      <vt:lpstr>MAPPING!SD_9089x1_9215x12_9223x1_536_B_0</vt:lpstr>
      <vt:lpstr>MAPPING!SD_9089x1_9215x12_9223x1_568_B_0</vt:lpstr>
      <vt:lpstr>MAPPING!SD_9089x1_9215x12_9223x1_576_B_0</vt:lpstr>
      <vt:lpstr>MAPPING!SD_9089x1_9215x12_9223x1_578_B_0</vt:lpstr>
      <vt:lpstr>MAPPING!SD_9089x1_9215x12_9223x1_584_B_0</vt:lpstr>
      <vt:lpstr>MAPPING!SD_9089x1_9215x12_9223x1_587_B_0</vt:lpstr>
      <vt:lpstr>MAPPING!SD_9089x1_9215x12_9223x1_588_B_0</vt:lpstr>
      <vt:lpstr>MAPPING!SD_9089x1_9215x12_9223x1_590_B_0</vt:lpstr>
      <vt:lpstr>MAPPING!SD_9089x1_9215x12_9223x1_594_B_0</vt:lpstr>
      <vt:lpstr>MAPPING!SD_9089x1_9215x12_9223x1_596_B_0</vt:lpstr>
      <vt:lpstr>MAPPING!SD_9089x1_9215x12_9223x1_598_B_0</vt:lpstr>
      <vt:lpstr>MAPPING!SD_9089x1_9215x12_9223x1_600_B_0</vt:lpstr>
      <vt:lpstr>MAPPING!SD_9089x1_9215x12_9223x1_602_B_0</vt:lpstr>
      <vt:lpstr>MAPPING!SD_9089x1_9215x12_9223x1_604_B_0</vt:lpstr>
      <vt:lpstr>MAPPING!SD_9089x1_9215x12_9223x1_606_B_0</vt:lpstr>
      <vt:lpstr>MAPPING!SD_9089x1_9215x12_9223x1_609_B_0</vt:lpstr>
      <vt:lpstr>MAPPING!SD_9089x1_9215x12_9223x1_612_B_0</vt:lpstr>
      <vt:lpstr>MAPPING!SD_9089x1_9215x12_9223x1_613_B_0</vt:lpstr>
      <vt:lpstr>MAPPING!SD_9089x1_9215x12_9223x1_615_B_0</vt:lpstr>
      <vt:lpstr>MAPPING!SD_9089x1_9215x12_9223x1_616_B_0</vt:lpstr>
      <vt:lpstr>MAPPING!SD_9089x1_9215x12_9223x1_625_B_0</vt:lpstr>
      <vt:lpstr>MAPPING!SD_9089x1_9215x12_9223x1_626_B_0</vt:lpstr>
      <vt:lpstr>MAPPING!SD_9089x1_9215x12_9223x1_627_B_0</vt:lpstr>
      <vt:lpstr>MAPPING!SD_9089x1_9215x12_9223x1_632_B_0</vt:lpstr>
      <vt:lpstr>MAPPING!SD_9089x1_9215x12_9223x1_633_B_0</vt:lpstr>
      <vt:lpstr>MAPPING!SD_9089x1_9215x12_9223x1_634_B_0</vt:lpstr>
      <vt:lpstr>MAPPING!SD_9089x1_9215x12_9223x1_635_B_0</vt:lpstr>
      <vt:lpstr>MAPPING!SD_9089x1_9215x12_9223x1_636_B_0</vt:lpstr>
      <vt:lpstr>MAPPING!SD_9089x1_9215x12_9223x1_639_B_0</vt:lpstr>
      <vt:lpstr>MAPPING!SD_9089x1_9215x12_9223x1_640_B_0</vt:lpstr>
      <vt:lpstr>MAPPING!SD_9089x1_9215x12_9223x1_641_B_0</vt:lpstr>
      <vt:lpstr>MAPPING!SD_9089x1_9215x12_9223x1_642_B_0</vt:lpstr>
      <vt:lpstr>MAPPING!SD_9089x1_9215x12_9223x1_643_B_0</vt:lpstr>
      <vt:lpstr>MAPPING!SD_9089x1_9215x12_9223x1_644_B_0</vt:lpstr>
      <vt:lpstr>MAPPING!SD_9089x1_9215x12_9223x1_645_B_0</vt:lpstr>
      <vt:lpstr>MAPPING!SD_9089x1_9215x12_9223x1_647_B_0</vt:lpstr>
      <vt:lpstr>MAPPING!SD_9089x1_9215x12_9223x1_650_B_0</vt:lpstr>
      <vt:lpstr>MAPPING!SD_9089x1_9215x12_9223x1_654_B_0</vt:lpstr>
      <vt:lpstr>MAPPING!SD_9089x1_9215x12_9223x1_655_B_0</vt:lpstr>
      <vt:lpstr>MAPPING!SD_9089x1_9215x12_9223x1_661_B_0</vt:lpstr>
      <vt:lpstr>MAPPING!SD_9089x1_9215x12_9223x1_670_B_0</vt:lpstr>
      <vt:lpstr>MAPPING!SD_9089x1_9215x12_9223x1_673_B_0</vt:lpstr>
      <vt:lpstr>MAPPING!SD_9089x1_9215x12_9223x1_677_B_0</vt:lpstr>
      <vt:lpstr>MAPPING!SD_9089x1_9215x12_9223x1_680_B_0</vt:lpstr>
      <vt:lpstr>MAPPING!SD_9089x1_9215x12_9223x1_683_B_0</vt:lpstr>
      <vt:lpstr>MAPPING!SD_9089x1_9215x12_9223x1_684_B_0</vt:lpstr>
      <vt:lpstr>MAPPING!SD_9089x1_9215x12_9223x1_685_B_0</vt:lpstr>
      <vt:lpstr>MAPPING!SD_9089x1_9215x12_9223x1_687_B_0</vt:lpstr>
      <vt:lpstr>MAPPING!SD_9089x1_9215x13_9223x1_10_S_0</vt:lpstr>
      <vt:lpstr>MAPPING!SD_9089x1_9215x13_9223x1_11_S_1</vt:lpstr>
      <vt:lpstr>MAPPING!SD_9089x1_9215x13_9223x1_167_B_0</vt:lpstr>
      <vt:lpstr>MAPPING!SD_9089x1_9215x13_9223x1_512_B_0</vt:lpstr>
      <vt:lpstr>MAPPING!SD_9089x1_9215x13_9223x1_513_B_0</vt:lpstr>
      <vt:lpstr>MAPPING!SD_9089x1_9215x13_9223x1_517_B_0</vt:lpstr>
      <vt:lpstr>MAPPING!SD_9089x1_9215x13_9223x1_532_B_0</vt:lpstr>
      <vt:lpstr>MAPPING!SD_9089x1_9215x13_9223x1_536_B_0</vt:lpstr>
      <vt:lpstr>MAPPING!SD_9089x1_9215x13_9223x1_568_B_0</vt:lpstr>
      <vt:lpstr>MAPPING!SD_9089x1_9215x13_9223x1_576_B_0</vt:lpstr>
      <vt:lpstr>MAPPING!SD_9089x1_9215x13_9223x1_578_B_0</vt:lpstr>
      <vt:lpstr>MAPPING!SD_9089x1_9215x13_9223x1_584_B_0</vt:lpstr>
      <vt:lpstr>MAPPING!SD_9089x1_9215x13_9223x1_587_B_0</vt:lpstr>
      <vt:lpstr>MAPPING!SD_9089x1_9215x13_9223x1_588_B_0</vt:lpstr>
      <vt:lpstr>MAPPING!SD_9089x1_9215x13_9223x1_590_B_0</vt:lpstr>
      <vt:lpstr>MAPPING!SD_9089x1_9215x13_9223x1_594_B_0</vt:lpstr>
      <vt:lpstr>MAPPING!SD_9089x1_9215x13_9223x1_596_B_0</vt:lpstr>
      <vt:lpstr>MAPPING!SD_9089x1_9215x13_9223x1_598_B_0</vt:lpstr>
      <vt:lpstr>MAPPING!SD_9089x1_9215x13_9223x1_600_B_0</vt:lpstr>
      <vt:lpstr>MAPPING!SD_9089x1_9215x13_9223x1_602_B_0</vt:lpstr>
      <vt:lpstr>MAPPING!SD_9089x1_9215x13_9223x1_604_B_0</vt:lpstr>
      <vt:lpstr>MAPPING!SD_9089x1_9215x13_9223x1_606_B_0</vt:lpstr>
      <vt:lpstr>MAPPING!SD_9089x1_9215x13_9223x1_609_B_0</vt:lpstr>
      <vt:lpstr>MAPPING!SD_9089x1_9215x13_9223x1_612_B_0</vt:lpstr>
      <vt:lpstr>MAPPING!SD_9089x1_9215x13_9223x1_613_B_0</vt:lpstr>
      <vt:lpstr>MAPPING!SD_9089x1_9215x13_9223x1_615_B_0</vt:lpstr>
      <vt:lpstr>MAPPING!SD_9089x1_9215x13_9223x1_616_B_0</vt:lpstr>
      <vt:lpstr>MAPPING!SD_9089x1_9215x13_9223x1_625_B_0</vt:lpstr>
      <vt:lpstr>MAPPING!SD_9089x1_9215x13_9223x1_626_B_0</vt:lpstr>
      <vt:lpstr>MAPPING!SD_9089x1_9215x13_9223x1_627_B_0</vt:lpstr>
      <vt:lpstr>MAPPING!SD_9089x1_9215x13_9223x1_632_B_0</vt:lpstr>
      <vt:lpstr>MAPPING!SD_9089x1_9215x13_9223x1_633_B_0</vt:lpstr>
      <vt:lpstr>MAPPING!SD_9089x1_9215x13_9223x1_634_B_0</vt:lpstr>
      <vt:lpstr>MAPPING!SD_9089x1_9215x13_9223x1_635_B_0</vt:lpstr>
      <vt:lpstr>MAPPING!SD_9089x1_9215x13_9223x1_636_B_0</vt:lpstr>
      <vt:lpstr>MAPPING!SD_9089x1_9215x13_9223x1_639_B_0</vt:lpstr>
      <vt:lpstr>MAPPING!SD_9089x1_9215x13_9223x1_640_B_0</vt:lpstr>
      <vt:lpstr>MAPPING!SD_9089x1_9215x13_9223x1_641_B_0</vt:lpstr>
      <vt:lpstr>MAPPING!SD_9089x1_9215x13_9223x1_642_B_0</vt:lpstr>
      <vt:lpstr>MAPPING!SD_9089x1_9215x13_9223x1_643_B_0</vt:lpstr>
      <vt:lpstr>MAPPING!SD_9089x1_9215x13_9223x1_644_B_0</vt:lpstr>
      <vt:lpstr>MAPPING!SD_9089x1_9215x13_9223x1_645_B_0</vt:lpstr>
      <vt:lpstr>MAPPING!SD_9089x1_9215x13_9223x1_647_B_0</vt:lpstr>
      <vt:lpstr>MAPPING!SD_9089x1_9215x13_9223x1_650_B_0</vt:lpstr>
      <vt:lpstr>MAPPING!SD_9089x1_9215x13_9223x1_654_B_0</vt:lpstr>
      <vt:lpstr>MAPPING!SD_9089x1_9215x13_9223x1_655_B_0</vt:lpstr>
      <vt:lpstr>MAPPING!SD_9089x1_9215x13_9223x1_661_B_0</vt:lpstr>
      <vt:lpstr>MAPPING!SD_9089x1_9215x13_9223x1_670_B_0</vt:lpstr>
      <vt:lpstr>MAPPING!SD_9089x1_9215x13_9223x1_673_B_0</vt:lpstr>
      <vt:lpstr>MAPPING!SD_9089x1_9215x13_9223x1_677_B_0</vt:lpstr>
      <vt:lpstr>MAPPING!SD_9089x1_9215x13_9223x1_680_B_0</vt:lpstr>
      <vt:lpstr>MAPPING!SD_9089x1_9215x13_9223x1_683_B_0</vt:lpstr>
      <vt:lpstr>MAPPING!SD_9089x1_9215x13_9223x1_684_B_0</vt:lpstr>
      <vt:lpstr>MAPPING!SD_9089x1_9215x13_9223x1_685_B_0</vt:lpstr>
      <vt:lpstr>MAPPING!SD_9089x1_9215x13_9223x1_687_B_0</vt:lpstr>
      <vt:lpstr>MAPPING!SD_9089x1_9215x14_9223x1_10_S_0</vt:lpstr>
      <vt:lpstr>MAPPING!SD_9089x1_9215x14_9223x1_11_S_1</vt:lpstr>
      <vt:lpstr>MAPPING!SD_9089x1_9215x14_9223x1_167_B_0</vt:lpstr>
      <vt:lpstr>MAPPING!SD_9089x1_9215x14_9223x1_512_B_0</vt:lpstr>
      <vt:lpstr>MAPPING!SD_9089x1_9215x14_9223x1_513_B_0</vt:lpstr>
      <vt:lpstr>MAPPING!SD_9089x1_9215x14_9223x1_517_B_0</vt:lpstr>
      <vt:lpstr>MAPPING!SD_9089x1_9215x14_9223x1_532_B_0</vt:lpstr>
      <vt:lpstr>MAPPING!SD_9089x1_9215x14_9223x1_536_B_0</vt:lpstr>
      <vt:lpstr>MAPPING!SD_9089x1_9215x14_9223x1_568_B_0</vt:lpstr>
      <vt:lpstr>MAPPING!SD_9089x1_9215x14_9223x1_576_B_0</vt:lpstr>
      <vt:lpstr>MAPPING!SD_9089x1_9215x14_9223x1_578_B_0</vt:lpstr>
      <vt:lpstr>MAPPING!SD_9089x1_9215x14_9223x1_584_B_0</vt:lpstr>
      <vt:lpstr>MAPPING!SD_9089x1_9215x14_9223x1_587_B_0</vt:lpstr>
      <vt:lpstr>MAPPING!SD_9089x1_9215x14_9223x1_588_B_0</vt:lpstr>
      <vt:lpstr>MAPPING!SD_9089x1_9215x14_9223x1_590_B_0</vt:lpstr>
      <vt:lpstr>MAPPING!SD_9089x1_9215x14_9223x1_594_B_0</vt:lpstr>
      <vt:lpstr>MAPPING!SD_9089x1_9215x14_9223x1_596_B_0</vt:lpstr>
      <vt:lpstr>MAPPING!SD_9089x1_9215x14_9223x1_598_B_0</vt:lpstr>
      <vt:lpstr>MAPPING!SD_9089x1_9215x14_9223x1_600_B_0</vt:lpstr>
      <vt:lpstr>MAPPING!SD_9089x1_9215x14_9223x1_602_B_0</vt:lpstr>
      <vt:lpstr>MAPPING!SD_9089x1_9215x14_9223x1_604_B_0</vt:lpstr>
      <vt:lpstr>MAPPING!SD_9089x1_9215x14_9223x1_606_B_0</vt:lpstr>
      <vt:lpstr>MAPPING!SD_9089x1_9215x14_9223x1_609_B_0</vt:lpstr>
      <vt:lpstr>MAPPING!SD_9089x1_9215x14_9223x1_612_B_0</vt:lpstr>
      <vt:lpstr>MAPPING!SD_9089x1_9215x14_9223x1_613_B_0</vt:lpstr>
      <vt:lpstr>MAPPING!SD_9089x1_9215x14_9223x1_615_B_0</vt:lpstr>
      <vt:lpstr>MAPPING!SD_9089x1_9215x14_9223x1_616_B_0</vt:lpstr>
      <vt:lpstr>MAPPING!SD_9089x1_9215x14_9223x1_625_B_0</vt:lpstr>
      <vt:lpstr>MAPPING!SD_9089x1_9215x14_9223x1_626_B_0</vt:lpstr>
      <vt:lpstr>MAPPING!SD_9089x1_9215x14_9223x1_627_B_0</vt:lpstr>
      <vt:lpstr>MAPPING!SD_9089x1_9215x14_9223x1_632_B_0</vt:lpstr>
      <vt:lpstr>MAPPING!SD_9089x1_9215x14_9223x1_633_B_0</vt:lpstr>
      <vt:lpstr>MAPPING!SD_9089x1_9215x14_9223x1_634_B_0</vt:lpstr>
      <vt:lpstr>MAPPING!SD_9089x1_9215x14_9223x1_635_B_0</vt:lpstr>
      <vt:lpstr>MAPPING!SD_9089x1_9215x14_9223x1_636_B_0</vt:lpstr>
      <vt:lpstr>MAPPING!SD_9089x1_9215x14_9223x1_639_B_0</vt:lpstr>
      <vt:lpstr>MAPPING!SD_9089x1_9215x14_9223x1_640_B_0</vt:lpstr>
      <vt:lpstr>MAPPING!SD_9089x1_9215x14_9223x1_641_B_0</vt:lpstr>
      <vt:lpstr>MAPPING!SD_9089x1_9215x14_9223x1_642_B_0</vt:lpstr>
      <vt:lpstr>MAPPING!SD_9089x1_9215x14_9223x1_643_B_0</vt:lpstr>
      <vt:lpstr>MAPPING!SD_9089x1_9215x14_9223x1_644_B_0</vt:lpstr>
      <vt:lpstr>MAPPING!SD_9089x1_9215x14_9223x1_645_B_0</vt:lpstr>
      <vt:lpstr>MAPPING!SD_9089x1_9215x14_9223x1_647_B_0</vt:lpstr>
      <vt:lpstr>MAPPING!SD_9089x1_9215x14_9223x1_650_B_0</vt:lpstr>
      <vt:lpstr>MAPPING!SD_9089x1_9215x14_9223x1_654_B_0</vt:lpstr>
      <vt:lpstr>MAPPING!SD_9089x1_9215x14_9223x1_655_B_0</vt:lpstr>
      <vt:lpstr>MAPPING!SD_9089x1_9215x14_9223x1_661_B_0</vt:lpstr>
      <vt:lpstr>MAPPING!SD_9089x1_9215x14_9223x1_670_B_0</vt:lpstr>
      <vt:lpstr>MAPPING!SD_9089x1_9215x14_9223x1_673_B_0</vt:lpstr>
      <vt:lpstr>MAPPING!SD_9089x1_9215x14_9223x1_677_B_0</vt:lpstr>
      <vt:lpstr>MAPPING!SD_9089x1_9215x14_9223x1_680_B_0</vt:lpstr>
      <vt:lpstr>MAPPING!SD_9089x1_9215x14_9223x1_683_B_0</vt:lpstr>
      <vt:lpstr>MAPPING!SD_9089x1_9215x14_9223x1_684_B_0</vt:lpstr>
      <vt:lpstr>MAPPING!SD_9089x1_9215x14_9223x1_685_B_0</vt:lpstr>
      <vt:lpstr>MAPPING!SD_9089x1_9215x14_9223x1_687_B_0</vt:lpstr>
      <vt:lpstr>MAPPING!SD_9089x1_9215x15_9223x1_10_S_0</vt:lpstr>
      <vt:lpstr>MAPPING!SD_9089x1_9215x15_9223x1_11_S_1</vt:lpstr>
      <vt:lpstr>MAPPING!SD_9089x1_9215x15_9223x1_167_B_0</vt:lpstr>
      <vt:lpstr>MAPPING!SD_9089x1_9215x15_9223x1_512_B_0</vt:lpstr>
      <vt:lpstr>MAPPING!SD_9089x1_9215x15_9223x1_513_B_0</vt:lpstr>
      <vt:lpstr>MAPPING!SD_9089x1_9215x15_9223x1_517_B_0</vt:lpstr>
      <vt:lpstr>MAPPING!SD_9089x1_9215x15_9223x1_532_B_0</vt:lpstr>
      <vt:lpstr>MAPPING!SD_9089x1_9215x15_9223x1_536_B_0</vt:lpstr>
      <vt:lpstr>MAPPING!SD_9089x1_9215x15_9223x1_568_B_0</vt:lpstr>
      <vt:lpstr>MAPPING!SD_9089x1_9215x15_9223x1_576_B_0</vt:lpstr>
      <vt:lpstr>MAPPING!SD_9089x1_9215x15_9223x1_578_B_0</vt:lpstr>
      <vt:lpstr>MAPPING!SD_9089x1_9215x15_9223x1_584_B_0</vt:lpstr>
      <vt:lpstr>MAPPING!SD_9089x1_9215x15_9223x1_587_B_0</vt:lpstr>
      <vt:lpstr>MAPPING!SD_9089x1_9215x15_9223x1_588_B_0</vt:lpstr>
      <vt:lpstr>MAPPING!SD_9089x1_9215x15_9223x1_590_B_0</vt:lpstr>
      <vt:lpstr>MAPPING!SD_9089x1_9215x15_9223x1_594_B_0</vt:lpstr>
      <vt:lpstr>MAPPING!SD_9089x1_9215x15_9223x1_596_B_0</vt:lpstr>
      <vt:lpstr>MAPPING!SD_9089x1_9215x15_9223x1_598_B_0</vt:lpstr>
      <vt:lpstr>MAPPING!SD_9089x1_9215x15_9223x1_600_B_0</vt:lpstr>
      <vt:lpstr>MAPPING!SD_9089x1_9215x15_9223x1_602_B_0</vt:lpstr>
      <vt:lpstr>MAPPING!SD_9089x1_9215x15_9223x1_604_B_0</vt:lpstr>
      <vt:lpstr>MAPPING!SD_9089x1_9215x15_9223x1_606_B_0</vt:lpstr>
      <vt:lpstr>MAPPING!SD_9089x1_9215x15_9223x1_609_B_0</vt:lpstr>
      <vt:lpstr>MAPPING!SD_9089x1_9215x15_9223x1_612_B_0</vt:lpstr>
      <vt:lpstr>MAPPING!SD_9089x1_9215x15_9223x1_613_B_0</vt:lpstr>
      <vt:lpstr>MAPPING!SD_9089x1_9215x15_9223x1_615_B_0</vt:lpstr>
      <vt:lpstr>MAPPING!SD_9089x1_9215x15_9223x1_616_B_0</vt:lpstr>
      <vt:lpstr>MAPPING!SD_9089x1_9215x15_9223x1_625_B_0</vt:lpstr>
      <vt:lpstr>MAPPING!SD_9089x1_9215x15_9223x1_626_B_0</vt:lpstr>
      <vt:lpstr>MAPPING!SD_9089x1_9215x15_9223x1_627_B_0</vt:lpstr>
      <vt:lpstr>MAPPING!SD_9089x1_9215x15_9223x1_632_B_0</vt:lpstr>
      <vt:lpstr>MAPPING!SD_9089x1_9215x15_9223x1_633_B_0</vt:lpstr>
      <vt:lpstr>MAPPING!SD_9089x1_9215x15_9223x1_634_B_0</vt:lpstr>
      <vt:lpstr>MAPPING!SD_9089x1_9215x15_9223x1_635_B_0</vt:lpstr>
      <vt:lpstr>MAPPING!SD_9089x1_9215x15_9223x1_636_B_0</vt:lpstr>
      <vt:lpstr>MAPPING!SD_9089x1_9215x15_9223x1_639_B_0</vt:lpstr>
      <vt:lpstr>MAPPING!SD_9089x1_9215x15_9223x1_640_B_0</vt:lpstr>
      <vt:lpstr>MAPPING!SD_9089x1_9215x15_9223x1_641_B_0</vt:lpstr>
      <vt:lpstr>MAPPING!SD_9089x1_9215x15_9223x1_642_B_0</vt:lpstr>
      <vt:lpstr>MAPPING!SD_9089x1_9215x15_9223x1_643_B_0</vt:lpstr>
      <vt:lpstr>MAPPING!SD_9089x1_9215x15_9223x1_644_B_0</vt:lpstr>
      <vt:lpstr>MAPPING!SD_9089x1_9215x15_9223x1_645_B_0</vt:lpstr>
      <vt:lpstr>MAPPING!SD_9089x1_9215x15_9223x1_647_B_0</vt:lpstr>
      <vt:lpstr>MAPPING!SD_9089x1_9215x15_9223x1_650_B_0</vt:lpstr>
      <vt:lpstr>MAPPING!SD_9089x1_9215x15_9223x1_654_B_0</vt:lpstr>
      <vt:lpstr>MAPPING!SD_9089x1_9215x15_9223x1_655_B_0</vt:lpstr>
      <vt:lpstr>MAPPING!SD_9089x1_9215x15_9223x1_661_B_0</vt:lpstr>
      <vt:lpstr>MAPPING!SD_9089x1_9215x15_9223x1_670_B_0</vt:lpstr>
      <vt:lpstr>MAPPING!SD_9089x1_9215x15_9223x1_673_B_0</vt:lpstr>
      <vt:lpstr>MAPPING!SD_9089x1_9215x15_9223x1_677_B_0</vt:lpstr>
      <vt:lpstr>MAPPING!SD_9089x1_9215x15_9223x1_680_B_0</vt:lpstr>
      <vt:lpstr>MAPPING!SD_9089x1_9215x15_9223x1_683_B_0</vt:lpstr>
      <vt:lpstr>MAPPING!SD_9089x1_9215x15_9223x1_684_B_0</vt:lpstr>
      <vt:lpstr>MAPPING!SD_9089x1_9215x15_9223x1_685_B_0</vt:lpstr>
      <vt:lpstr>MAPPING!SD_9089x1_9215x15_9223x1_687_B_0</vt:lpstr>
      <vt:lpstr>MAPPING!SD_9089x1_9215x16_9223x1_10_S_0</vt:lpstr>
      <vt:lpstr>MAPPING!SD_9089x1_9215x16_9223x1_11_S_1</vt:lpstr>
      <vt:lpstr>MAPPING!SD_9089x1_9215x16_9223x1_167_B_0</vt:lpstr>
      <vt:lpstr>MAPPING!SD_9089x1_9215x16_9223x1_512_B_0</vt:lpstr>
      <vt:lpstr>MAPPING!SD_9089x1_9215x16_9223x1_513_B_0</vt:lpstr>
      <vt:lpstr>MAPPING!SD_9089x1_9215x16_9223x1_517_B_0</vt:lpstr>
      <vt:lpstr>MAPPING!SD_9089x1_9215x16_9223x1_532_B_0</vt:lpstr>
      <vt:lpstr>MAPPING!SD_9089x1_9215x16_9223x1_536_B_0</vt:lpstr>
      <vt:lpstr>MAPPING!SD_9089x1_9215x16_9223x1_568_B_0</vt:lpstr>
      <vt:lpstr>MAPPING!SD_9089x1_9215x16_9223x1_576_B_0</vt:lpstr>
      <vt:lpstr>MAPPING!SD_9089x1_9215x16_9223x1_578_B_0</vt:lpstr>
      <vt:lpstr>MAPPING!SD_9089x1_9215x16_9223x1_584_B_0</vt:lpstr>
      <vt:lpstr>MAPPING!SD_9089x1_9215x16_9223x1_587_B_0</vt:lpstr>
      <vt:lpstr>MAPPING!SD_9089x1_9215x16_9223x1_588_B_0</vt:lpstr>
      <vt:lpstr>MAPPING!SD_9089x1_9215x16_9223x1_590_B_0</vt:lpstr>
      <vt:lpstr>MAPPING!SD_9089x1_9215x16_9223x1_594_B_0</vt:lpstr>
      <vt:lpstr>MAPPING!SD_9089x1_9215x16_9223x1_596_B_0</vt:lpstr>
      <vt:lpstr>MAPPING!SD_9089x1_9215x16_9223x1_598_B_0</vt:lpstr>
      <vt:lpstr>MAPPING!SD_9089x1_9215x16_9223x1_600_B_0</vt:lpstr>
      <vt:lpstr>MAPPING!SD_9089x1_9215x16_9223x1_602_B_0</vt:lpstr>
      <vt:lpstr>MAPPING!SD_9089x1_9215x16_9223x1_604_B_0</vt:lpstr>
      <vt:lpstr>MAPPING!SD_9089x1_9215x16_9223x1_606_B_0</vt:lpstr>
      <vt:lpstr>MAPPING!SD_9089x1_9215x16_9223x1_609_B_0</vt:lpstr>
      <vt:lpstr>MAPPING!SD_9089x1_9215x16_9223x1_612_B_0</vt:lpstr>
      <vt:lpstr>MAPPING!SD_9089x1_9215x16_9223x1_613_B_0</vt:lpstr>
      <vt:lpstr>MAPPING!SD_9089x1_9215x16_9223x1_615_B_0</vt:lpstr>
      <vt:lpstr>MAPPING!SD_9089x1_9215x16_9223x1_616_B_0</vt:lpstr>
      <vt:lpstr>MAPPING!SD_9089x1_9215x16_9223x1_625_B_0</vt:lpstr>
      <vt:lpstr>MAPPING!SD_9089x1_9215x16_9223x1_626_B_0</vt:lpstr>
      <vt:lpstr>MAPPING!SD_9089x1_9215x16_9223x1_627_B_0</vt:lpstr>
      <vt:lpstr>MAPPING!SD_9089x1_9215x16_9223x1_632_B_0</vt:lpstr>
      <vt:lpstr>MAPPING!SD_9089x1_9215x16_9223x1_633_B_0</vt:lpstr>
      <vt:lpstr>MAPPING!SD_9089x1_9215x16_9223x1_634_B_0</vt:lpstr>
      <vt:lpstr>MAPPING!SD_9089x1_9215x16_9223x1_635_B_0</vt:lpstr>
      <vt:lpstr>MAPPING!SD_9089x1_9215x16_9223x1_636_B_0</vt:lpstr>
      <vt:lpstr>MAPPING!SD_9089x1_9215x16_9223x1_639_B_0</vt:lpstr>
      <vt:lpstr>MAPPING!SD_9089x1_9215x16_9223x1_640_B_0</vt:lpstr>
      <vt:lpstr>MAPPING!SD_9089x1_9215x16_9223x1_641_B_0</vt:lpstr>
      <vt:lpstr>MAPPING!SD_9089x1_9215x16_9223x1_642_B_0</vt:lpstr>
      <vt:lpstr>MAPPING!SD_9089x1_9215x16_9223x1_643_B_0</vt:lpstr>
      <vt:lpstr>MAPPING!SD_9089x1_9215x16_9223x1_644_B_0</vt:lpstr>
      <vt:lpstr>MAPPING!SD_9089x1_9215x16_9223x1_645_B_0</vt:lpstr>
      <vt:lpstr>MAPPING!SD_9089x1_9215x16_9223x1_647_B_0</vt:lpstr>
      <vt:lpstr>MAPPING!SD_9089x1_9215x16_9223x1_650_B_0</vt:lpstr>
      <vt:lpstr>MAPPING!SD_9089x1_9215x16_9223x1_654_B_0</vt:lpstr>
      <vt:lpstr>MAPPING!SD_9089x1_9215x16_9223x1_655_B_0</vt:lpstr>
      <vt:lpstr>MAPPING!SD_9089x1_9215x16_9223x1_661_B_0</vt:lpstr>
      <vt:lpstr>MAPPING!SD_9089x1_9215x16_9223x1_670_B_0</vt:lpstr>
      <vt:lpstr>MAPPING!SD_9089x1_9215x16_9223x1_673_B_0</vt:lpstr>
      <vt:lpstr>MAPPING!SD_9089x1_9215x16_9223x1_677_B_0</vt:lpstr>
      <vt:lpstr>MAPPING!SD_9089x1_9215x16_9223x1_680_B_0</vt:lpstr>
      <vt:lpstr>MAPPING!SD_9089x1_9215x16_9223x1_683_B_0</vt:lpstr>
      <vt:lpstr>MAPPING!SD_9089x1_9215x16_9223x1_684_B_0</vt:lpstr>
      <vt:lpstr>MAPPING!SD_9089x1_9215x16_9223x1_685_B_0</vt:lpstr>
      <vt:lpstr>MAPPING!SD_9089x1_9215x16_9223x1_687_B_0</vt:lpstr>
      <vt:lpstr>MAPPING!SD_9089x1_9215x17_9223x1_10_S_0</vt:lpstr>
      <vt:lpstr>MAPPING!SD_9089x1_9215x17_9223x1_11_S_1</vt:lpstr>
      <vt:lpstr>MAPPING!SD_9089x1_9215x17_9223x1_167_B_0</vt:lpstr>
      <vt:lpstr>MAPPING!SD_9089x1_9215x17_9223x1_512_B_0</vt:lpstr>
      <vt:lpstr>MAPPING!SD_9089x1_9215x17_9223x1_513_B_0</vt:lpstr>
      <vt:lpstr>MAPPING!SD_9089x1_9215x17_9223x1_517_B_0</vt:lpstr>
      <vt:lpstr>MAPPING!SD_9089x1_9215x17_9223x1_532_B_0</vt:lpstr>
      <vt:lpstr>MAPPING!SD_9089x1_9215x17_9223x1_536_B_0</vt:lpstr>
      <vt:lpstr>MAPPING!SD_9089x1_9215x17_9223x1_568_B_0</vt:lpstr>
      <vt:lpstr>MAPPING!SD_9089x1_9215x17_9223x1_576_B_0</vt:lpstr>
      <vt:lpstr>MAPPING!SD_9089x1_9215x17_9223x1_578_B_0</vt:lpstr>
      <vt:lpstr>MAPPING!SD_9089x1_9215x17_9223x1_584_B_0</vt:lpstr>
      <vt:lpstr>MAPPING!SD_9089x1_9215x17_9223x1_587_B_0</vt:lpstr>
      <vt:lpstr>MAPPING!SD_9089x1_9215x17_9223x1_588_B_0</vt:lpstr>
      <vt:lpstr>MAPPING!SD_9089x1_9215x17_9223x1_590_B_0</vt:lpstr>
      <vt:lpstr>MAPPING!SD_9089x1_9215x17_9223x1_594_B_0</vt:lpstr>
      <vt:lpstr>MAPPING!SD_9089x1_9215x17_9223x1_596_B_0</vt:lpstr>
      <vt:lpstr>MAPPING!SD_9089x1_9215x17_9223x1_598_B_0</vt:lpstr>
      <vt:lpstr>MAPPING!SD_9089x1_9215x17_9223x1_600_B_0</vt:lpstr>
      <vt:lpstr>MAPPING!SD_9089x1_9215x17_9223x1_602_B_0</vt:lpstr>
      <vt:lpstr>MAPPING!SD_9089x1_9215x17_9223x1_604_B_0</vt:lpstr>
      <vt:lpstr>MAPPING!SD_9089x1_9215x17_9223x1_606_B_0</vt:lpstr>
      <vt:lpstr>MAPPING!SD_9089x1_9215x17_9223x1_609_B_0</vt:lpstr>
      <vt:lpstr>MAPPING!SD_9089x1_9215x17_9223x1_612_B_0</vt:lpstr>
      <vt:lpstr>MAPPING!SD_9089x1_9215x17_9223x1_613_B_0</vt:lpstr>
      <vt:lpstr>MAPPING!SD_9089x1_9215x17_9223x1_615_B_0</vt:lpstr>
      <vt:lpstr>MAPPING!SD_9089x1_9215x17_9223x1_616_B_0</vt:lpstr>
      <vt:lpstr>MAPPING!SD_9089x1_9215x17_9223x1_625_B_0</vt:lpstr>
      <vt:lpstr>MAPPING!SD_9089x1_9215x17_9223x1_626_B_0</vt:lpstr>
      <vt:lpstr>MAPPING!SD_9089x1_9215x17_9223x1_627_B_0</vt:lpstr>
      <vt:lpstr>MAPPING!SD_9089x1_9215x17_9223x1_632_B_0</vt:lpstr>
      <vt:lpstr>MAPPING!SD_9089x1_9215x17_9223x1_633_B_0</vt:lpstr>
      <vt:lpstr>MAPPING!SD_9089x1_9215x17_9223x1_634_B_0</vt:lpstr>
      <vt:lpstr>MAPPING!SD_9089x1_9215x17_9223x1_635_B_0</vt:lpstr>
      <vt:lpstr>MAPPING!SD_9089x1_9215x17_9223x1_636_B_0</vt:lpstr>
      <vt:lpstr>MAPPING!SD_9089x1_9215x17_9223x1_639_B_0</vt:lpstr>
      <vt:lpstr>MAPPING!SD_9089x1_9215x17_9223x1_640_B_0</vt:lpstr>
      <vt:lpstr>MAPPING!SD_9089x1_9215x17_9223x1_641_B_0</vt:lpstr>
      <vt:lpstr>MAPPING!SD_9089x1_9215x17_9223x1_642_B_0</vt:lpstr>
      <vt:lpstr>MAPPING!SD_9089x1_9215x17_9223x1_643_B_0</vt:lpstr>
      <vt:lpstr>MAPPING!SD_9089x1_9215x17_9223x1_644_B_0</vt:lpstr>
      <vt:lpstr>MAPPING!SD_9089x1_9215x17_9223x1_645_B_0</vt:lpstr>
      <vt:lpstr>MAPPING!SD_9089x1_9215x17_9223x1_647_B_0</vt:lpstr>
      <vt:lpstr>MAPPING!SD_9089x1_9215x17_9223x1_650_B_0</vt:lpstr>
      <vt:lpstr>MAPPING!SD_9089x1_9215x17_9223x1_654_B_0</vt:lpstr>
      <vt:lpstr>MAPPING!SD_9089x1_9215x17_9223x1_655_B_0</vt:lpstr>
      <vt:lpstr>MAPPING!SD_9089x1_9215x17_9223x1_661_B_0</vt:lpstr>
      <vt:lpstr>MAPPING!SD_9089x1_9215x17_9223x1_670_B_0</vt:lpstr>
      <vt:lpstr>MAPPING!SD_9089x1_9215x17_9223x1_673_B_0</vt:lpstr>
      <vt:lpstr>MAPPING!SD_9089x1_9215x17_9223x1_677_B_0</vt:lpstr>
      <vt:lpstr>MAPPING!SD_9089x1_9215x17_9223x1_680_B_0</vt:lpstr>
      <vt:lpstr>MAPPING!SD_9089x1_9215x17_9223x1_683_B_0</vt:lpstr>
      <vt:lpstr>MAPPING!SD_9089x1_9215x17_9223x1_684_B_0</vt:lpstr>
      <vt:lpstr>MAPPING!SD_9089x1_9215x17_9223x1_685_B_0</vt:lpstr>
      <vt:lpstr>MAPPING!SD_9089x1_9215x17_9223x1_687_B_0</vt:lpstr>
      <vt:lpstr>MAPPING!SD_9089x1_9215x18_9223x1_10_S_0</vt:lpstr>
      <vt:lpstr>MAPPING!SD_9089x1_9215x18_9223x1_11_S_1</vt:lpstr>
      <vt:lpstr>MAPPING!SD_9089x1_9215x18_9223x1_167_B_0</vt:lpstr>
      <vt:lpstr>MAPPING!SD_9089x1_9215x18_9223x1_512_B_0</vt:lpstr>
      <vt:lpstr>MAPPING!SD_9089x1_9215x18_9223x1_513_B_0</vt:lpstr>
      <vt:lpstr>MAPPING!SD_9089x1_9215x18_9223x1_517_B_0</vt:lpstr>
      <vt:lpstr>MAPPING!SD_9089x1_9215x18_9223x1_532_B_0</vt:lpstr>
      <vt:lpstr>MAPPING!SD_9089x1_9215x18_9223x1_536_B_0</vt:lpstr>
      <vt:lpstr>MAPPING!SD_9089x1_9215x18_9223x1_568_B_0</vt:lpstr>
      <vt:lpstr>MAPPING!SD_9089x1_9215x18_9223x1_576_B_0</vt:lpstr>
      <vt:lpstr>MAPPING!SD_9089x1_9215x18_9223x1_578_B_0</vt:lpstr>
      <vt:lpstr>MAPPING!SD_9089x1_9215x18_9223x1_584_B_0</vt:lpstr>
      <vt:lpstr>MAPPING!SD_9089x1_9215x18_9223x1_587_B_0</vt:lpstr>
      <vt:lpstr>MAPPING!SD_9089x1_9215x18_9223x1_588_B_0</vt:lpstr>
      <vt:lpstr>MAPPING!SD_9089x1_9215x18_9223x1_590_B_0</vt:lpstr>
      <vt:lpstr>MAPPING!SD_9089x1_9215x18_9223x1_594_B_0</vt:lpstr>
      <vt:lpstr>MAPPING!SD_9089x1_9215x18_9223x1_596_B_0</vt:lpstr>
      <vt:lpstr>MAPPING!SD_9089x1_9215x18_9223x1_598_B_0</vt:lpstr>
      <vt:lpstr>MAPPING!SD_9089x1_9215x18_9223x1_600_B_0</vt:lpstr>
      <vt:lpstr>MAPPING!SD_9089x1_9215x18_9223x1_602_B_0</vt:lpstr>
      <vt:lpstr>MAPPING!SD_9089x1_9215x18_9223x1_604_B_0</vt:lpstr>
      <vt:lpstr>MAPPING!SD_9089x1_9215x18_9223x1_606_B_0</vt:lpstr>
      <vt:lpstr>MAPPING!SD_9089x1_9215x18_9223x1_609_B_0</vt:lpstr>
      <vt:lpstr>MAPPING!SD_9089x1_9215x18_9223x1_612_B_0</vt:lpstr>
      <vt:lpstr>MAPPING!SD_9089x1_9215x18_9223x1_613_B_0</vt:lpstr>
      <vt:lpstr>MAPPING!SD_9089x1_9215x18_9223x1_615_B_0</vt:lpstr>
      <vt:lpstr>MAPPING!SD_9089x1_9215x18_9223x1_616_B_0</vt:lpstr>
      <vt:lpstr>MAPPING!SD_9089x1_9215x18_9223x1_625_B_0</vt:lpstr>
      <vt:lpstr>MAPPING!SD_9089x1_9215x18_9223x1_626_B_0</vt:lpstr>
      <vt:lpstr>MAPPING!SD_9089x1_9215x18_9223x1_627_B_0</vt:lpstr>
      <vt:lpstr>MAPPING!SD_9089x1_9215x18_9223x1_632_B_0</vt:lpstr>
      <vt:lpstr>MAPPING!SD_9089x1_9215x18_9223x1_633_B_0</vt:lpstr>
      <vt:lpstr>MAPPING!SD_9089x1_9215x18_9223x1_634_B_0</vt:lpstr>
      <vt:lpstr>MAPPING!SD_9089x1_9215x18_9223x1_635_B_0</vt:lpstr>
      <vt:lpstr>MAPPING!SD_9089x1_9215x18_9223x1_636_B_0</vt:lpstr>
      <vt:lpstr>MAPPING!SD_9089x1_9215x18_9223x1_639_B_0</vt:lpstr>
      <vt:lpstr>MAPPING!SD_9089x1_9215x18_9223x1_640_B_0</vt:lpstr>
      <vt:lpstr>MAPPING!SD_9089x1_9215x18_9223x1_641_B_0</vt:lpstr>
      <vt:lpstr>MAPPING!SD_9089x1_9215x18_9223x1_642_B_0</vt:lpstr>
      <vt:lpstr>MAPPING!SD_9089x1_9215x18_9223x1_643_B_0</vt:lpstr>
      <vt:lpstr>MAPPING!SD_9089x1_9215x18_9223x1_644_B_0</vt:lpstr>
      <vt:lpstr>MAPPING!SD_9089x1_9215x18_9223x1_645_B_0</vt:lpstr>
      <vt:lpstr>MAPPING!SD_9089x1_9215x18_9223x1_647_B_0</vt:lpstr>
      <vt:lpstr>MAPPING!SD_9089x1_9215x18_9223x1_650_B_0</vt:lpstr>
      <vt:lpstr>MAPPING!SD_9089x1_9215x18_9223x1_654_B_0</vt:lpstr>
      <vt:lpstr>MAPPING!SD_9089x1_9215x18_9223x1_655_B_0</vt:lpstr>
      <vt:lpstr>MAPPING!SD_9089x1_9215x18_9223x1_661_B_0</vt:lpstr>
      <vt:lpstr>MAPPING!SD_9089x1_9215x18_9223x1_670_B_0</vt:lpstr>
      <vt:lpstr>MAPPING!SD_9089x1_9215x18_9223x1_673_B_0</vt:lpstr>
      <vt:lpstr>MAPPING!SD_9089x1_9215x18_9223x1_677_B_0</vt:lpstr>
      <vt:lpstr>MAPPING!SD_9089x1_9215x18_9223x1_680_B_0</vt:lpstr>
      <vt:lpstr>MAPPING!SD_9089x1_9215x18_9223x1_683_B_0</vt:lpstr>
      <vt:lpstr>MAPPING!SD_9089x1_9215x18_9223x1_684_B_0</vt:lpstr>
      <vt:lpstr>MAPPING!SD_9089x1_9215x18_9223x1_685_B_0</vt:lpstr>
      <vt:lpstr>MAPPING!SD_9089x1_9215x18_9223x1_687_B_0</vt:lpstr>
      <vt:lpstr>MAPPING!SD_9089x1_9215x19_9223x1_10_S_0</vt:lpstr>
      <vt:lpstr>MAPPING!SD_9089x1_9215x19_9223x1_11_S_1</vt:lpstr>
      <vt:lpstr>MAPPING!SD_9089x1_9215x19_9223x1_167_B_0</vt:lpstr>
      <vt:lpstr>MAPPING!SD_9089x1_9215x19_9223x1_512_B_0</vt:lpstr>
      <vt:lpstr>MAPPING!SD_9089x1_9215x19_9223x1_513_B_0</vt:lpstr>
      <vt:lpstr>MAPPING!SD_9089x1_9215x19_9223x1_517_B_0</vt:lpstr>
      <vt:lpstr>MAPPING!SD_9089x1_9215x19_9223x1_532_B_0</vt:lpstr>
      <vt:lpstr>MAPPING!SD_9089x1_9215x19_9223x1_536_B_0</vt:lpstr>
      <vt:lpstr>MAPPING!SD_9089x1_9215x19_9223x1_568_B_0</vt:lpstr>
      <vt:lpstr>MAPPING!SD_9089x1_9215x19_9223x1_576_B_0</vt:lpstr>
      <vt:lpstr>MAPPING!SD_9089x1_9215x19_9223x1_578_B_0</vt:lpstr>
      <vt:lpstr>MAPPING!SD_9089x1_9215x19_9223x1_584_B_0</vt:lpstr>
      <vt:lpstr>MAPPING!SD_9089x1_9215x19_9223x1_587_B_0</vt:lpstr>
      <vt:lpstr>MAPPING!SD_9089x1_9215x19_9223x1_588_B_0</vt:lpstr>
      <vt:lpstr>MAPPING!SD_9089x1_9215x19_9223x1_590_B_0</vt:lpstr>
      <vt:lpstr>MAPPING!SD_9089x1_9215x19_9223x1_594_B_0</vt:lpstr>
      <vt:lpstr>MAPPING!SD_9089x1_9215x19_9223x1_596_B_0</vt:lpstr>
      <vt:lpstr>MAPPING!SD_9089x1_9215x19_9223x1_598_B_0</vt:lpstr>
      <vt:lpstr>MAPPING!SD_9089x1_9215x19_9223x1_600_B_0</vt:lpstr>
      <vt:lpstr>MAPPING!SD_9089x1_9215x19_9223x1_602_B_0</vt:lpstr>
      <vt:lpstr>MAPPING!SD_9089x1_9215x19_9223x1_604_B_0</vt:lpstr>
      <vt:lpstr>MAPPING!SD_9089x1_9215x19_9223x1_606_B_0</vt:lpstr>
      <vt:lpstr>MAPPING!SD_9089x1_9215x19_9223x1_609_B_0</vt:lpstr>
      <vt:lpstr>MAPPING!SD_9089x1_9215x19_9223x1_612_B_0</vt:lpstr>
      <vt:lpstr>MAPPING!SD_9089x1_9215x19_9223x1_613_B_0</vt:lpstr>
      <vt:lpstr>MAPPING!SD_9089x1_9215x19_9223x1_615_B_0</vt:lpstr>
      <vt:lpstr>MAPPING!SD_9089x1_9215x19_9223x1_616_B_0</vt:lpstr>
      <vt:lpstr>MAPPING!SD_9089x1_9215x19_9223x1_625_B_0</vt:lpstr>
      <vt:lpstr>MAPPING!SD_9089x1_9215x19_9223x1_626_B_0</vt:lpstr>
      <vt:lpstr>MAPPING!SD_9089x1_9215x19_9223x1_627_B_0</vt:lpstr>
      <vt:lpstr>MAPPING!SD_9089x1_9215x19_9223x1_632_B_0</vt:lpstr>
      <vt:lpstr>MAPPING!SD_9089x1_9215x19_9223x1_633_B_0</vt:lpstr>
      <vt:lpstr>MAPPING!SD_9089x1_9215x19_9223x1_634_B_0</vt:lpstr>
      <vt:lpstr>MAPPING!SD_9089x1_9215x19_9223x1_635_B_0</vt:lpstr>
      <vt:lpstr>MAPPING!SD_9089x1_9215x19_9223x1_636_B_0</vt:lpstr>
      <vt:lpstr>MAPPING!SD_9089x1_9215x19_9223x1_639_B_0</vt:lpstr>
      <vt:lpstr>MAPPING!SD_9089x1_9215x19_9223x1_640_B_0</vt:lpstr>
      <vt:lpstr>MAPPING!SD_9089x1_9215x19_9223x1_641_B_0</vt:lpstr>
      <vt:lpstr>MAPPING!SD_9089x1_9215x19_9223x1_642_B_0</vt:lpstr>
      <vt:lpstr>MAPPING!SD_9089x1_9215x19_9223x1_643_B_0</vt:lpstr>
      <vt:lpstr>MAPPING!SD_9089x1_9215x19_9223x1_644_B_0</vt:lpstr>
      <vt:lpstr>MAPPING!SD_9089x1_9215x19_9223x1_645_B_0</vt:lpstr>
      <vt:lpstr>MAPPING!SD_9089x1_9215x19_9223x1_647_B_0</vt:lpstr>
      <vt:lpstr>MAPPING!SD_9089x1_9215x19_9223x1_650_B_0</vt:lpstr>
      <vt:lpstr>MAPPING!SD_9089x1_9215x19_9223x1_654_B_0</vt:lpstr>
      <vt:lpstr>MAPPING!SD_9089x1_9215x19_9223x1_655_B_0</vt:lpstr>
      <vt:lpstr>MAPPING!SD_9089x1_9215x19_9223x1_661_B_0</vt:lpstr>
      <vt:lpstr>MAPPING!SD_9089x1_9215x19_9223x1_670_B_0</vt:lpstr>
      <vt:lpstr>MAPPING!SD_9089x1_9215x19_9223x1_673_B_0</vt:lpstr>
      <vt:lpstr>MAPPING!SD_9089x1_9215x19_9223x1_677_B_0</vt:lpstr>
      <vt:lpstr>MAPPING!SD_9089x1_9215x19_9223x1_680_B_0</vt:lpstr>
      <vt:lpstr>MAPPING!SD_9089x1_9215x19_9223x1_683_B_0</vt:lpstr>
      <vt:lpstr>MAPPING!SD_9089x1_9215x19_9223x1_684_B_0</vt:lpstr>
      <vt:lpstr>MAPPING!SD_9089x1_9215x19_9223x1_685_B_0</vt:lpstr>
      <vt:lpstr>MAPPING!SD_9089x1_9215x19_9223x1_687_B_0</vt:lpstr>
      <vt:lpstr>MAPPING!SD_9089x1_9215x2_9223x1_10_S_0</vt:lpstr>
      <vt:lpstr>MAPPING!SD_9089x1_9215x2_9223x1_11_S_1</vt:lpstr>
      <vt:lpstr>MAPPING!SD_9089x1_9215x2_9223x1_167_B_0</vt:lpstr>
      <vt:lpstr>MAPPING!SD_9089x1_9215x2_9223x1_512_B_0</vt:lpstr>
      <vt:lpstr>MAPPING!SD_9089x1_9215x2_9223x1_513_B_0</vt:lpstr>
      <vt:lpstr>MAPPING!SD_9089x1_9215x2_9223x1_517_B_0</vt:lpstr>
      <vt:lpstr>MAPPING!SD_9089x1_9215x2_9223x1_532_B_0</vt:lpstr>
      <vt:lpstr>MAPPING!SD_9089x1_9215x2_9223x1_536_B_0</vt:lpstr>
      <vt:lpstr>MAPPING!SD_9089x1_9215x2_9223x1_568_B_0</vt:lpstr>
      <vt:lpstr>MAPPING!SD_9089x1_9215x2_9223x1_576_B_0</vt:lpstr>
      <vt:lpstr>MAPPING!SD_9089x1_9215x2_9223x1_578_B_0</vt:lpstr>
      <vt:lpstr>MAPPING!SD_9089x1_9215x2_9223x1_584_B_0</vt:lpstr>
      <vt:lpstr>MAPPING!SD_9089x1_9215x2_9223x1_587_B_0</vt:lpstr>
      <vt:lpstr>MAPPING!SD_9089x1_9215x2_9223x1_588_B_0</vt:lpstr>
      <vt:lpstr>MAPPING!SD_9089x1_9215x2_9223x1_590_B_0</vt:lpstr>
      <vt:lpstr>MAPPING!SD_9089x1_9215x2_9223x1_594_B_0</vt:lpstr>
      <vt:lpstr>MAPPING!SD_9089x1_9215x2_9223x1_596_B_0</vt:lpstr>
      <vt:lpstr>MAPPING!SD_9089x1_9215x2_9223x1_598_B_0</vt:lpstr>
      <vt:lpstr>MAPPING!SD_9089x1_9215x2_9223x1_600_B_0</vt:lpstr>
      <vt:lpstr>MAPPING!SD_9089x1_9215x2_9223x1_602_B_0</vt:lpstr>
      <vt:lpstr>MAPPING!SD_9089x1_9215x2_9223x1_604_B_0</vt:lpstr>
      <vt:lpstr>MAPPING!SD_9089x1_9215x2_9223x1_606_B_0</vt:lpstr>
      <vt:lpstr>MAPPING!SD_9089x1_9215x2_9223x1_609_B_0</vt:lpstr>
      <vt:lpstr>MAPPING!SD_9089x1_9215x2_9223x1_612_B_0</vt:lpstr>
      <vt:lpstr>MAPPING!SD_9089x1_9215x2_9223x1_613_B_0</vt:lpstr>
      <vt:lpstr>MAPPING!SD_9089x1_9215x2_9223x1_615_B_0</vt:lpstr>
      <vt:lpstr>MAPPING!SD_9089x1_9215x2_9223x1_616_B_0</vt:lpstr>
      <vt:lpstr>MAPPING!SD_9089x1_9215x2_9223x1_625_B_0</vt:lpstr>
      <vt:lpstr>MAPPING!SD_9089x1_9215x2_9223x1_626_B_0</vt:lpstr>
      <vt:lpstr>MAPPING!SD_9089x1_9215x2_9223x1_627_B_0</vt:lpstr>
      <vt:lpstr>MAPPING!SD_9089x1_9215x2_9223x1_632_B_0</vt:lpstr>
      <vt:lpstr>MAPPING!SD_9089x1_9215x2_9223x1_633_B_0</vt:lpstr>
      <vt:lpstr>MAPPING!SD_9089x1_9215x2_9223x1_634_B_0</vt:lpstr>
      <vt:lpstr>MAPPING!SD_9089x1_9215x2_9223x1_635_B_0</vt:lpstr>
      <vt:lpstr>MAPPING!SD_9089x1_9215x2_9223x1_636_B_0</vt:lpstr>
      <vt:lpstr>MAPPING!SD_9089x1_9215x2_9223x1_639_B_0</vt:lpstr>
      <vt:lpstr>MAPPING!SD_9089x1_9215x2_9223x1_640_B_0</vt:lpstr>
      <vt:lpstr>MAPPING!SD_9089x1_9215x2_9223x1_641_B_0</vt:lpstr>
      <vt:lpstr>MAPPING!SD_9089x1_9215x2_9223x1_642_B_0</vt:lpstr>
      <vt:lpstr>MAPPING!SD_9089x1_9215x2_9223x1_643_B_0</vt:lpstr>
      <vt:lpstr>MAPPING!SD_9089x1_9215x2_9223x1_644_B_0</vt:lpstr>
      <vt:lpstr>MAPPING!SD_9089x1_9215x2_9223x1_645_B_0</vt:lpstr>
      <vt:lpstr>MAPPING!SD_9089x1_9215x2_9223x1_647_B_0</vt:lpstr>
      <vt:lpstr>MAPPING!SD_9089x1_9215x2_9223x1_650_B_0</vt:lpstr>
      <vt:lpstr>MAPPING!SD_9089x1_9215x2_9223x1_654_B_0</vt:lpstr>
      <vt:lpstr>MAPPING!SD_9089x1_9215x2_9223x1_655_B_0</vt:lpstr>
      <vt:lpstr>MAPPING!SD_9089x1_9215x2_9223x1_661_B_0</vt:lpstr>
      <vt:lpstr>MAPPING!SD_9089x1_9215x2_9223x1_670_B_0</vt:lpstr>
      <vt:lpstr>MAPPING!SD_9089x1_9215x2_9223x1_673_B_0</vt:lpstr>
      <vt:lpstr>MAPPING!SD_9089x1_9215x2_9223x1_677_B_0</vt:lpstr>
      <vt:lpstr>MAPPING!SD_9089x1_9215x2_9223x1_680_B_0</vt:lpstr>
      <vt:lpstr>MAPPING!SD_9089x1_9215x2_9223x1_683_B_0</vt:lpstr>
      <vt:lpstr>MAPPING!SD_9089x1_9215x2_9223x1_684_B_0</vt:lpstr>
      <vt:lpstr>MAPPING!SD_9089x1_9215x2_9223x1_685_B_0</vt:lpstr>
      <vt:lpstr>MAPPING!SD_9089x1_9215x2_9223x1_687_B_0</vt:lpstr>
      <vt:lpstr>MAPPING!SD_9089x1_9215x20_9223x1_10_S_0</vt:lpstr>
      <vt:lpstr>MAPPING!SD_9089x1_9215x20_9223x1_11_S_1</vt:lpstr>
      <vt:lpstr>MAPPING!SD_9089x1_9215x20_9223x1_167_B_0</vt:lpstr>
      <vt:lpstr>MAPPING!SD_9089x1_9215x20_9223x1_512_B_0</vt:lpstr>
      <vt:lpstr>MAPPING!SD_9089x1_9215x20_9223x1_513_B_0</vt:lpstr>
      <vt:lpstr>MAPPING!SD_9089x1_9215x20_9223x1_517_B_0</vt:lpstr>
      <vt:lpstr>MAPPING!SD_9089x1_9215x20_9223x1_532_B_0</vt:lpstr>
      <vt:lpstr>MAPPING!SD_9089x1_9215x20_9223x1_536_B_0</vt:lpstr>
      <vt:lpstr>MAPPING!SD_9089x1_9215x20_9223x1_568_B_0</vt:lpstr>
      <vt:lpstr>MAPPING!SD_9089x1_9215x20_9223x1_576_B_0</vt:lpstr>
      <vt:lpstr>MAPPING!SD_9089x1_9215x20_9223x1_578_B_0</vt:lpstr>
      <vt:lpstr>MAPPING!SD_9089x1_9215x20_9223x1_584_B_0</vt:lpstr>
      <vt:lpstr>MAPPING!SD_9089x1_9215x20_9223x1_587_B_0</vt:lpstr>
      <vt:lpstr>MAPPING!SD_9089x1_9215x20_9223x1_588_B_0</vt:lpstr>
      <vt:lpstr>MAPPING!SD_9089x1_9215x20_9223x1_590_B_0</vt:lpstr>
      <vt:lpstr>MAPPING!SD_9089x1_9215x20_9223x1_594_B_0</vt:lpstr>
      <vt:lpstr>MAPPING!SD_9089x1_9215x20_9223x1_596_B_0</vt:lpstr>
      <vt:lpstr>MAPPING!SD_9089x1_9215x20_9223x1_598_B_0</vt:lpstr>
      <vt:lpstr>MAPPING!SD_9089x1_9215x20_9223x1_600_B_0</vt:lpstr>
      <vt:lpstr>MAPPING!SD_9089x1_9215x20_9223x1_602_B_0</vt:lpstr>
      <vt:lpstr>MAPPING!SD_9089x1_9215x20_9223x1_604_B_0</vt:lpstr>
      <vt:lpstr>MAPPING!SD_9089x1_9215x20_9223x1_606_B_0</vt:lpstr>
      <vt:lpstr>MAPPING!SD_9089x1_9215x20_9223x1_609_B_0</vt:lpstr>
      <vt:lpstr>MAPPING!SD_9089x1_9215x20_9223x1_612_B_0</vt:lpstr>
      <vt:lpstr>MAPPING!SD_9089x1_9215x20_9223x1_613_B_0</vt:lpstr>
      <vt:lpstr>MAPPING!SD_9089x1_9215x20_9223x1_615_B_0</vt:lpstr>
      <vt:lpstr>MAPPING!SD_9089x1_9215x20_9223x1_616_B_0</vt:lpstr>
      <vt:lpstr>MAPPING!SD_9089x1_9215x20_9223x1_625_B_0</vt:lpstr>
      <vt:lpstr>MAPPING!SD_9089x1_9215x20_9223x1_626_B_0</vt:lpstr>
      <vt:lpstr>MAPPING!SD_9089x1_9215x20_9223x1_627_B_0</vt:lpstr>
      <vt:lpstr>MAPPING!SD_9089x1_9215x20_9223x1_632_B_0</vt:lpstr>
      <vt:lpstr>MAPPING!SD_9089x1_9215x20_9223x1_633_B_0</vt:lpstr>
      <vt:lpstr>MAPPING!SD_9089x1_9215x20_9223x1_634_B_0</vt:lpstr>
      <vt:lpstr>MAPPING!SD_9089x1_9215x20_9223x1_635_B_0</vt:lpstr>
      <vt:lpstr>MAPPING!SD_9089x1_9215x20_9223x1_636_B_0</vt:lpstr>
      <vt:lpstr>MAPPING!SD_9089x1_9215x20_9223x1_639_B_0</vt:lpstr>
      <vt:lpstr>MAPPING!SD_9089x1_9215x20_9223x1_640_B_0</vt:lpstr>
      <vt:lpstr>MAPPING!SD_9089x1_9215x20_9223x1_641_B_0</vt:lpstr>
      <vt:lpstr>MAPPING!SD_9089x1_9215x20_9223x1_642_B_0</vt:lpstr>
      <vt:lpstr>MAPPING!SD_9089x1_9215x20_9223x1_643_B_0</vt:lpstr>
      <vt:lpstr>MAPPING!SD_9089x1_9215x20_9223x1_644_B_0</vt:lpstr>
      <vt:lpstr>MAPPING!SD_9089x1_9215x20_9223x1_645_B_0</vt:lpstr>
      <vt:lpstr>MAPPING!SD_9089x1_9215x20_9223x1_647_B_0</vt:lpstr>
      <vt:lpstr>MAPPING!SD_9089x1_9215x20_9223x1_650_B_0</vt:lpstr>
      <vt:lpstr>MAPPING!SD_9089x1_9215x20_9223x1_654_B_0</vt:lpstr>
      <vt:lpstr>MAPPING!SD_9089x1_9215x20_9223x1_655_B_0</vt:lpstr>
      <vt:lpstr>MAPPING!SD_9089x1_9215x20_9223x1_661_B_0</vt:lpstr>
      <vt:lpstr>MAPPING!SD_9089x1_9215x20_9223x1_670_B_0</vt:lpstr>
      <vt:lpstr>MAPPING!SD_9089x1_9215x20_9223x1_673_B_0</vt:lpstr>
      <vt:lpstr>MAPPING!SD_9089x1_9215x20_9223x1_677_B_0</vt:lpstr>
      <vt:lpstr>MAPPING!SD_9089x1_9215x20_9223x1_680_B_0</vt:lpstr>
      <vt:lpstr>MAPPING!SD_9089x1_9215x20_9223x1_683_B_0</vt:lpstr>
      <vt:lpstr>MAPPING!SD_9089x1_9215x20_9223x1_684_B_0</vt:lpstr>
      <vt:lpstr>MAPPING!SD_9089x1_9215x20_9223x1_685_B_0</vt:lpstr>
      <vt:lpstr>MAPPING!SD_9089x1_9215x20_9223x1_687_B_0</vt:lpstr>
      <vt:lpstr>MAPPING!SD_9089x1_9215x3_9223x1_10_S_0</vt:lpstr>
      <vt:lpstr>MAPPING!SD_9089x1_9215x3_9223x1_11_S_1</vt:lpstr>
      <vt:lpstr>MAPPING!SD_9089x1_9215x3_9223x1_167_B_0</vt:lpstr>
      <vt:lpstr>MAPPING!SD_9089x1_9215x3_9223x1_512_B_0</vt:lpstr>
      <vt:lpstr>MAPPING!SD_9089x1_9215x3_9223x1_513_B_0</vt:lpstr>
      <vt:lpstr>MAPPING!SD_9089x1_9215x3_9223x1_517_B_0</vt:lpstr>
      <vt:lpstr>MAPPING!SD_9089x1_9215x3_9223x1_532_B_0</vt:lpstr>
      <vt:lpstr>MAPPING!SD_9089x1_9215x3_9223x1_536_B_0</vt:lpstr>
      <vt:lpstr>MAPPING!SD_9089x1_9215x3_9223x1_568_B_0</vt:lpstr>
      <vt:lpstr>MAPPING!SD_9089x1_9215x3_9223x1_576_B_0</vt:lpstr>
      <vt:lpstr>MAPPING!SD_9089x1_9215x3_9223x1_578_B_0</vt:lpstr>
      <vt:lpstr>MAPPING!SD_9089x1_9215x3_9223x1_584_B_0</vt:lpstr>
      <vt:lpstr>MAPPING!SD_9089x1_9215x3_9223x1_587_B_0</vt:lpstr>
      <vt:lpstr>MAPPING!SD_9089x1_9215x3_9223x1_588_B_0</vt:lpstr>
      <vt:lpstr>MAPPING!SD_9089x1_9215x3_9223x1_590_B_0</vt:lpstr>
      <vt:lpstr>MAPPING!SD_9089x1_9215x3_9223x1_594_B_0</vt:lpstr>
      <vt:lpstr>MAPPING!SD_9089x1_9215x3_9223x1_596_B_0</vt:lpstr>
      <vt:lpstr>MAPPING!SD_9089x1_9215x3_9223x1_598_B_0</vt:lpstr>
      <vt:lpstr>MAPPING!SD_9089x1_9215x3_9223x1_600_B_0</vt:lpstr>
      <vt:lpstr>MAPPING!SD_9089x1_9215x3_9223x1_602_B_0</vt:lpstr>
      <vt:lpstr>MAPPING!SD_9089x1_9215x3_9223x1_604_B_0</vt:lpstr>
      <vt:lpstr>MAPPING!SD_9089x1_9215x3_9223x1_606_B_0</vt:lpstr>
      <vt:lpstr>MAPPING!SD_9089x1_9215x3_9223x1_609_B_0</vt:lpstr>
      <vt:lpstr>MAPPING!SD_9089x1_9215x3_9223x1_612_B_0</vt:lpstr>
      <vt:lpstr>MAPPING!SD_9089x1_9215x3_9223x1_613_B_0</vt:lpstr>
      <vt:lpstr>MAPPING!SD_9089x1_9215x3_9223x1_615_B_0</vt:lpstr>
      <vt:lpstr>MAPPING!SD_9089x1_9215x3_9223x1_616_B_0</vt:lpstr>
      <vt:lpstr>MAPPING!SD_9089x1_9215x3_9223x1_625_B_0</vt:lpstr>
      <vt:lpstr>MAPPING!SD_9089x1_9215x3_9223x1_626_B_0</vt:lpstr>
      <vt:lpstr>MAPPING!SD_9089x1_9215x3_9223x1_627_B_0</vt:lpstr>
      <vt:lpstr>MAPPING!SD_9089x1_9215x3_9223x1_632_B_0</vt:lpstr>
      <vt:lpstr>MAPPING!SD_9089x1_9215x3_9223x1_633_B_0</vt:lpstr>
      <vt:lpstr>MAPPING!SD_9089x1_9215x3_9223x1_634_B_0</vt:lpstr>
      <vt:lpstr>MAPPING!SD_9089x1_9215x3_9223x1_635_B_0</vt:lpstr>
      <vt:lpstr>MAPPING!SD_9089x1_9215x3_9223x1_636_B_0</vt:lpstr>
      <vt:lpstr>MAPPING!SD_9089x1_9215x3_9223x1_639_B_0</vt:lpstr>
      <vt:lpstr>MAPPING!SD_9089x1_9215x3_9223x1_640_B_0</vt:lpstr>
      <vt:lpstr>MAPPING!SD_9089x1_9215x3_9223x1_641_B_0</vt:lpstr>
      <vt:lpstr>MAPPING!SD_9089x1_9215x3_9223x1_642_B_0</vt:lpstr>
      <vt:lpstr>MAPPING!SD_9089x1_9215x3_9223x1_643_B_0</vt:lpstr>
      <vt:lpstr>MAPPING!SD_9089x1_9215x3_9223x1_644_B_0</vt:lpstr>
      <vt:lpstr>MAPPING!SD_9089x1_9215x3_9223x1_645_B_0</vt:lpstr>
      <vt:lpstr>MAPPING!SD_9089x1_9215x3_9223x1_647_B_0</vt:lpstr>
      <vt:lpstr>MAPPING!SD_9089x1_9215x3_9223x1_650_B_0</vt:lpstr>
      <vt:lpstr>MAPPING!SD_9089x1_9215x3_9223x1_654_B_0</vt:lpstr>
      <vt:lpstr>MAPPING!SD_9089x1_9215x3_9223x1_655_B_0</vt:lpstr>
      <vt:lpstr>MAPPING!SD_9089x1_9215x3_9223x1_661_B_0</vt:lpstr>
      <vt:lpstr>MAPPING!SD_9089x1_9215x3_9223x1_670_B_0</vt:lpstr>
      <vt:lpstr>MAPPING!SD_9089x1_9215x3_9223x1_673_B_0</vt:lpstr>
      <vt:lpstr>MAPPING!SD_9089x1_9215x3_9223x1_677_B_0</vt:lpstr>
      <vt:lpstr>MAPPING!SD_9089x1_9215x3_9223x1_680_B_0</vt:lpstr>
      <vt:lpstr>MAPPING!SD_9089x1_9215x3_9223x1_683_B_0</vt:lpstr>
      <vt:lpstr>MAPPING!SD_9089x1_9215x3_9223x1_684_B_0</vt:lpstr>
      <vt:lpstr>MAPPING!SD_9089x1_9215x3_9223x1_685_B_0</vt:lpstr>
      <vt:lpstr>MAPPING!SD_9089x1_9215x3_9223x1_687_B_0</vt:lpstr>
      <vt:lpstr>MAPPING!SD_9089x1_9215x4_9223x1_10_S_0</vt:lpstr>
      <vt:lpstr>MAPPING!SD_9089x1_9215x4_9223x1_11_S_1</vt:lpstr>
      <vt:lpstr>MAPPING!SD_9089x1_9215x4_9223x1_167_B_0</vt:lpstr>
      <vt:lpstr>MAPPING!SD_9089x1_9215x4_9223x1_512_B_0</vt:lpstr>
      <vt:lpstr>MAPPING!SD_9089x1_9215x4_9223x1_513_B_0</vt:lpstr>
      <vt:lpstr>MAPPING!SD_9089x1_9215x4_9223x1_517_B_0</vt:lpstr>
      <vt:lpstr>MAPPING!SD_9089x1_9215x4_9223x1_532_B_0</vt:lpstr>
      <vt:lpstr>MAPPING!SD_9089x1_9215x4_9223x1_536_B_0</vt:lpstr>
      <vt:lpstr>MAPPING!SD_9089x1_9215x4_9223x1_568_B_0</vt:lpstr>
      <vt:lpstr>MAPPING!SD_9089x1_9215x4_9223x1_576_B_0</vt:lpstr>
      <vt:lpstr>MAPPING!SD_9089x1_9215x4_9223x1_578_B_0</vt:lpstr>
      <vt:lpstr>MAPPING!SD_9089x1_9215x4_9223x1_584_B_0</vt:lpstr>
      <vt:lpstr>MAPPING!SD_9089x1_9215x4_9223x1_587_B_0</vt:lpstr>
      <vt:lpstr>MAPPING!SD_9089x1_9215x4_9223x1_588_B_0</vt:lpstr>
      <vt:lpstr>MAPPING!SD_9089x1_9215x4_9223x1_590_B_0</vt:lpstr>
      <vt:lpstr>MAPPING!SD_9089x1_9215x4_9223x1_594_B_0</vt:lpstr>
      <vt:lpstr>MAPPING!SD_9089x1_9215x4_9223x1_596_B_0</vt:lpstr>
      <vt:lpstr>MAPPING!SD_9089x1_9215x4_9223x1_598_B_0</vt:lpstr>
      <vt:lpstr>MAPPING!SD_9089x1_9215x4_9223x1_600_B_0</vt:lpstr>
      <vt:lpstr>MAPPING!SD_9089x1_9215x4_9223x1_602_B_0</vt:lpstr>
      <vt:lpstr>MAPPING!SD_9089x1_9215x4_9223x1_604_B_0</vt:lpstr>
      <vt:lpstr>MAPPING!SD_9089x1_9215x4_9223x1_606_B_0</vt:lpstr>
      <vt:lpstr>MAPPING!SD_9089x1_9215x4_9223x1_609_B_0</vt:lpstr>
      <vt:lpstr>MAPPING!SD_9089x1_9215x4_9223x1_612_B_0</vt:lpstr>
      <vt:lpstr>MAPPING!SD_9089x1_9215x4_9223x1_613_B_0</vt:lpstr>
      <vt:lpstr>MAPPING!SD_9089x1_9215x4_9223x1_615_B_0</vt:lpstr>
      <vt:lpstr>MAPPING!SD_9089x1_9215x4_9223x1_616_B_0</vt:lpstr>
      <vt:lpstr>MAPPING!SD_9089x1_9215x4_9223x1_625_B_0</vt:lpstr>
      <vt:lpstr>MAPPING!SD_9089x1_9215x4_9223x1_626_B_0</vt:lpstr>
      <vt:lpstr>MAPPING!SD_9089x1_9215x4_9223x1_627_B_0</vt:lpstr>
      <vt:lpstr>MAPPING!SD_9089x1_9215x4_9223x1_632_B_0</vt:lpstr>
      <vt:lpstr>MAPPING!SD_9089x1_9215x4_9223x1_633_B_0</vt:lpstr>
      <vt:lpstr>MAPPING!SD_9089x1_9215x4_9223x1_634_B_0</vt:lpstr>
      <vt:lpstr>MAPPING!SD_9089x1_9215x4_9223x1_635_B_0</vt:lpstr>
      <vt:lpstr>MAPPING!SD_9089x1_9215x4_9223x1_636_B_0</vt:lpstr>
      <vt:lpstr>MAPPING!SD_9089x1_9215x4_9223x1_639_B_0</vt:lpstr>
      <vt:lpstr>MAPPING!SD_9089x1_9215x4_9223x1_640_B_0</vt:lpstr>
      <vt:lpstr>MAPPING!SD_9089x1_9215x4_9223x1_641_B_0</vt:lpstr>
      <vt:lpstr>MAPPING!SD_9089x1_9215x4_9223x1_642_B_0</vt:lpstr>
      <vt:lpstr>MAPPING!SD_9089x1_9215x4_9223x1_643_B_0</vt:lpstr>
      <vt:lpstr>MAPPING!SD_9089x1_9215x4_9223x1_644_B_0</vt:lpstr>
      <vt:lpstr>MAPPING!SD_9089x1_9215x4_9223x1_645_B_0</vt:lpstr>
      <vt:lpstr>MAPPING!SD_9089x1_9215x4_9223x1_647_B_0</vt:lpstr>
      <vt:lpstr>MAPPING!SD_9089x1_9215x4_9223x1_650_B_0</vt:lpstr>
      <vt:lpstr>MAPPING!SD_9089x1_9215x4_9223x1_654_B_0</vt:lpstr>
      <vt:lpstr>MAPPING!SD_9089x1_9215x4_9223x1_655_B_0</vt:lpstr>
      <vt:lpstr>MAPPING!SD_9089x1_9215x4_9223x1_661_B_0</vt:lpstr>
      <vt:lpstr>MAPPING!SD_9089x1_9215x4_9223x1_670_B_0</vt:lpstr>
      <vt:lpstr>MAPPING!SD_9089x1_9215x4_9223x1_673_B_0</vt:lpstr>
      <vt:lpstr>MAPPING!SD_9089x1_9215x4_9223x1_677_B_0</vt:lpstr>
      <vt:lpstr>MAPPING!SD_9089x1_9215x4_9223x1_680_B_0</vt:lpstr>
      <vt:lpstr>MAPPING!SD_9089x1_9215x4_9223x1_683_B_0</vt:lpstr>
      <vt:lpstr>MAPPING!SD_9089x1_9215x4_9223x1_684_B_0</vt:lpstr>
      <vt:lpstr>MAPPING!SD_9089x1_9215x4_9223x1_685_B_0</vt:lpstr>
      <vt:lpstr>MAPPING!SD_9089x1_9215x4_9223x1_687_B_0</vt:lpstr>
      <vt:lpstr>MAPPING!SD_9089x1_9215x5_9223x1_10_S_0</vt:lpstr>
      <vt:lpstr>MAPPING!SD_9089x1_9215x5_9223x1_11_S_1</vt:lpstr>
      <vt:lpstr>MAPPING!SD_9089x1_9215x5_9223x1_167_B_0</vt:lpstr>
      <vt:lpstr>MAPPING!SD_9089x1_9215x5_9223x1_512_B_0</vt:lpstr>
      <vt:lpstr>MAPPING!SD_9089x1_9215x5_9223x1_513_B_0</vt:lpstr>
      <vt:lpstr>MAPPING!SD_9089x1_9215x5_9223x1_517_B_0</vt:lpstr>
      <vt:lpstr>MAPPING!SD_9089x1_9215x5_9223x1_532_B_0</vt:lpstr>
      <vt:lpstr>MAPPING!SD_9089x1_9215x5_9223x1_536_B_0</vt:lpstr>
      <vt:lpstr>MAPPING!SD_9089x1_9215x5_9223x1_568_B_0</vt:lpstr>
      <vt:lpstr>MAPPING!SD_9089x1_9215x5_9223x1_576_B_0</vt:lpstr>
      <vt:lpstr>MAPPING!SD_9089x1_9215x5_9223x1_578_B_0</vt:lpstr>
      <vt:lpstr>MAPPING!SD_9089x1_9215x5_9223x1_584_B_0</vt:lpstr>
      <vt:lpstr>MAPPING!SD_9089x1_9215x5_9223x1_587_B_0</vt:lpstr>
      <vt:lpstr>MAPPING!SD_9089x1_9215x5_9223x1_588_B_0</vt:lpstr>
      <vt:lpstr>MAPPING!SD_9089x1_9215x5_9223x1_590_B_0</vt:lpstr>
      <vt:lpstr>MAPPING!SD_9089x1_9215x5_9223x1_594_B_0</vt:lpstr>
      <vt:lpstr>MAPPING!SD_9089x1_9215x5_9223x1_596_B_0</vt:lpstr>
      <vt:lpstr>MAPPING!SD_9089x1_9215x5_9223x1_598_B_0</vt:lpstr>
      <vt:lpstr>MAPPING!SD_9089x1_9215x5_9223x1_600_B_0</vt:lpstr>
      <vt:lpstr>MAPPING!SD_9089x1_9215x5_9223x1_602_B_0</vt:lpstr>
      <vt:lpstr>MAPPING!SD_9089x1_9215x5_9223x1_604_B_0</vt:lpstr>
      <vt:lpstr>MAPPING!SD_9089x1_9215x5_9223x1_606_B_0</vt:lpstr>
      <vt:lpstr>MAPPING!SD_9089x1_9215x5_9223x1_609_B_0</vt:lpstr>
      <vt:lpstr>MAPPING!SD_9089x1_9215x5_9223x1_612_B_0</vt:lpstr>
      <vt:lpstr>MAPPING!SD_9089x1_9215x5_9223x1_613_B_0</vt:lpstr>
      <vt:lpstr>MAPPING!SD_9089x1_9215x5_9223x1_615_B_0</vt:lpstr>
      <vt:lpstr>MAPPING!SD_9089x1_9215x5_9223x1_616_B_0</vt:lpstr>
      <vt:lpstr>MAPPING!SD_9089x1_9215x5_9223x1_625_B_0</vt:lpstr>
      <vt:lpstr>MAPPING!SD_9089x1_9215x5_9223x1_626_B_0</vt:lpstr>
      <vt:lpstr>MAPPING!SD_9089x1_9215x5_9223x1_627_B_0</vt:lpstr>
      <vt:lpstr>MAPPING!SD_9089x1_9215x5_9223x1_632_B_0</vt:lpstr>
      <vt:lpstr>MAPPING!SD_9089x1_9215x5_9223x1_633_B_0</vt:lpstr>
      <vt:lpstr>MAPPING!SD_9089x1_9215x5_9223x1_634_B_0</vt:lpstr>
      <vt:lpstr>MAPPING!SD_9089x1_9215x5_9223x1_635_B_0</vt:lpstr>
      <vt:lpstr>MAPPING!SD_9089x1_9215x5_9223x1_636_B_0</vt:lpstr>
      <vt:lpstr>MAPPING!SD_9089x1_9215x5_9223x1_639_B_0</vt:lpstr>
      <vt:lpstr>MAPPING!SD_9089x1_9215x5_9223x1_640_B_0</vt:lpstr>
      <vt:lpstr>MAPPING!SD_9089x1_9215x5_9223x1_641_B_0</vt:lpstr>
      <vt:lpstr>MAPPING!SD_9089x1_9215x5_9223x1_642_B_0</vt:lpstr>
      <vt:lpstr>MAPPING!SD_9089x1_9215x5_9223x1_643_B_0</vt:lpstr>
      <vt:lpstr>MAPPING!SD_9089x1_9215x5_9223x1_644_B_0</vt:lpstr>
      <vt:lpstr>MAPPING!SD_9089x1_9215x5_9223x1_645_B_0</vt:lpstr>
      <vt:lpstr>MAPPING!SD_9089x1_9215x5_9223x1_647_B_0</vt:lpstr>
      <vt:lpstr>MAPPING!SD_9089x1_9215x5_9223x1_650_B_0</vt:lpstr>
      <vt:lpstr>MAPPING!SD_9089x1_9215x5_9223x1_654_B_0</vt:lpstr>
      <vt:lpstr>MAPPING!SD_9089x1_9215x5_9223x1_655_B_0</vt:lpstr>
      <vt:lpstr>MAPPING!SD_9089x1_9215x5_9223x1_661_B_0</vt:lpstr>
      <vt:lpstr>MAPPING!SD_9089x1_9215x5_9223x1_670_B_0</vt:lpstr>
      <vt:lpstr>MAPPING!SD_9089x1_9215x5_9223x1_673_B_0</vt:lpstr>
      <vt:lpstr>MAPPING!SD_9089x1_9215x5_9223x1_677_B_0</vt:lpstr>
      <vt:lpstr>MAPPING!SD_9089x1_9215x5_9223x1_680_B_0</vt:lpstr>
      <vt:lpstr>MAPPING!SD_9089x1_9215x5_9223x1_683_B_0</vt:lpstr>
      <vt:lpstr>MAPPING!SD_9089x1_9215x5_9223x1_684_B_0</vt:lpstr>
      <vt:lpstr>MAPPING!SD_9089x1_9215x5_9223x1_685_B_0</vt:lpstr>
      <vt:lpstr>MAPPING!SD_9089x1_9215x5_9223x1_687_B_0</vt:lpstr>
      <vt:lpstr>MAPPING!SD_9089x1_9215x6_9223x1_10_S_0</vt:lpstr>
      <vt:lpstr>MAPPING!SD_9089x1_9215x6_9223x1_11_S_1</vt:lpstr>
      <vt:lpstr>MAPPING!SD_9089x1_9215x6_9223x1_167_B_0</vt:lpstr>
      <vt:lpstr>MAPPING!SD_9089x1_9215x6_9223x1_512_B_0</vt:lpstr>
      <vt:lpstr>MAPPING!SD_9089x1_9215x6_9223x1_513_B_0</vt:lpstr>
      <vt:lpstr>MAPPING!SD_9089x1_9215x6_9223x1_517_B_0</vt:lpstr>
      <vt:lpstr>MAPPING!SD_9089x1_9215x6_9223x1_532_B_0</vt:lpstr>
      <vt:lpstr>MAPPING!SD_9089x1_9215x6_9223x1_536_B_0</vt:lpstr>
      <vt:lpstr>MAPPING!SD_9089x1_9215x6_9223x1_568_B_0</vt:lpstr>
      <vt:lpstr>MAPPING!SD_9089x1_9215x6_9223x1_576_B_0</vt:lpstr>
      <vt:lpstr>MAPPING!SD_9089x1_9215x6_9223x1_578_B_0</vt:lpstr>
      <vt:lpstr>MAPPING!SD_9089x1_9215x6_9223x1_584_B_0</vt:lpstr>
      <vt:lpstr>MAPPING!SD_9089x1_9215x6_9223x1_587_B_0</vt:lpstr>
      <vt:lpstr>MAPPING!SD_9089x1_9215x6_9223x1_588_B_0</vt:lpstr>
      <vt:lpstr>MAPPING!SD_9089x1_9215x6_9223x1_590_B_0</vt:lpstr>
      <vt:lpstr>MAPPING!SD_9089x1_9215x6_9223x1_594_B_0</vt:lpstr>
      <vt:lpstr>MAPPING!SD_9089x1_9215x6_9223x1_596_B_0</vt:lpstr>
      <vt:lpstr>MAPPING!SD_9089x1_9215x6_9223x1_598_B_0</vt:lpstr>
      <vt:lpstr>MAPPING!SD_9089x1_9215x6_9223x1_600_B_0</vt:lpstr>
      <vt:lpstr>MAPPING!SD_9089x1_9215x6_9223x1_602_B_0</vt:lpstr>
      <vt:lpstr>MAPPING!SD_9089x1_9215x6_9223x1_604_B_0</vt:lpstr>
      <vt:lpstr>MAPPING!SD_9089x1_9215x6_9223x1_606_B_0</vt:lpstr>
      <vt:lpstr>MAPPING!SD_9089x1_9215x6_9223x1_609_B_0</vt:lpstr>
      <vt:lpstr>MAPPING!SD_9089x1_9215x6_9223x1_612_B_0</vt:lpstr>
      <vt:lpstr>MAPPING!SD_9089x1_9215x6_9223x1_613_B_0</vt:lpstr>
      <vt:lpstr>MAPPING!SD_9089x1_9215x6_9223x1_615_B_0</vt:lpstr>
      <vt:lpstr>MAPPING!SD_9089x1_9215x6_9223x1_616_B_0</vt:lpstr>
      <vt:lpstr>MAPPING!SD_9089x1_9215x6_9223x1_625_B_0</vt:lpstr>
      <vt:lpstr>MAPPING!SD_9089x1_9215x6_9223x1_626_B_0</vt:lpstr>
      <vt:lpstr>MAPPING!SD_9089x1_9215x6_9223x1_627_B_0</vt:lpstr>
      <vt:lpstr>MAPPING!SD_9089x1_9215x6_9223x1_632_B_0</vt:lpstr>
      <vt:lpstr>MAPPING!SD_9089x1_9215x6_9223x1_633_B_0</vt:lpstr>
      <vt:lpstr>MAPPING!SD_9089x1_9215x6_9223x1_634_B_0</vt:lpstr>
      <vt:lpstr>MAPPING!SD_9089x1_9215x6_9223x1_635_B_0</vt:lpstr>
      <vt:lpstr>MAPPING!SD_9089x1_9215x6_9223x1_636_B_0</vt:lpstr>
      <vt:lpstr>MAPPING!SD_9089x1_9215x6_9223x1_639_B_0</vt:lpstr>
      <vt:lpstr>MAPPING!SD_9089x1_9215x6_9223x1_640_B_0</vt:lpstr>
      <vt:lpstr>MAPPING!SD_9089x1_9215x6_9223x1_641_B_0</vt:lpstr>
      <vt:lpstr>MAPPING!SD_9089x1_9215x6_9223x1_642_B_0</vt:lpstr>
      <vt:lpstr>MAPPING!SD_9089x1_9215x6_9223x1_643_B_0</vt:lpstr>
      <vt:lpstr>MAPPING!SD_9089x1_9215x6_9223x1_644_B_0</vt:lpstr>
      <vt:lpstr>MAPPING!SD_9089x1_9215x6_9223x1_645_B_0</vt:lpstr>
      <vt:lpstr>MAPPING!SD_9089x1_9215x6_9223x1_647_B_0</vt:lpstr>
      <vt:lpstr>MAPPING!SD_9089x1_9215x6_9223x1_650_B_0</vt:lpstr>
      <vt:lpstr>MAPPING!SD_9089x1_9215x6_9223x1_654_B_0</vt:lpstr>
      <vt:lpstr>MAPPING!SD_9089x1_9215x6_9223x1_655_B_0</vt:lpstr>
      <vt:lpstr>MAPPING!SD_9089x1_9215x6_9223x1_661_B_0</vt:lpstr>
      <vt:lpstr>MAPPING!SD_9089x1_9215x6_9223x1_670_B_0</vt:lpstr>
      <vt:lpstr>MAPPING!SD_9089x1_9215x6_9223x1_673_B_0</vt:lpstr>
      <vt:lpstr>MAPPING!SD_9089x1_9215x6_9223x1_677_B_0</vt:lpstr>
      <vt:lpstr>MAPPING!SD_9089x1_9215x6_9223x1_680_B_0</vt:lpstr>
      <vt:lpstr>MAPPING!SD_9089x1_9215x6_9223x1_683_B_0</vt:lpstr>
      <vt:lpstr>MAPPING!SD_9089x1_9215x6_9223x1_684_B_0</vt:lpstr>
      <vt:lpstr>MAPPING!SD_9089x1_9215x6_9223x1_685_B_0</vt:lpstr>
      <vt:lpstr>MAPPING!SD_9089x1_9215x6_9223x1_687_B_0</vt:lpstr>
      <vt:lpstr>MAPPING!SD_9089x1_9215x7_9223x1_10_S_0</vt:lpstr>
      <vt:lpstr>MAPPING!SD_9089x1_9215x7_9223x1_11_S_1</vt:lpstr>
      <vt:lpstr>MAPPING!SD_9089x1_9215x7_9223x1_167_B_0</vt:lpstr>
      <vt:lpstr>MAPPING!SD_9089x1_9215x7_9223x1_512_B_0</vt:lpstr>
      <vt:lpstr>MAPPING!SD_9089x1_9215x7_9223x1_513_B_0</vt:lpstr>
      <vt:lpstr>MAPPING!SD_9089x1_9215x7_9223x1_517_B_0</vt:lpstr>
      <vt:lpstr>MAPPING!SD_9089x1_9215x7_9223x1_532_B_0</vt:lpstr>
      <vt:lpstr>MAPPING!SD_9089x1_9215x7_9223x1_536_B_0</vt:lpstr>
      <vt:lpstr>MAPPING!SD_9089x1_9215x7_9223x1_568_B_0</vt:lpstr>
      <vt:lpstr>MAPPING!SD_9089x1_9215x7_9223x1_576_B_0</vt:lpstr>
      <vt:lpstr>MAPPING!SD_9089x1_9215x7_9223x1_578_B_0</vt:lpstr>
      <vt:lpstr>MAPPING!SD_9089x1_9215x7_9223x1_584_B_0</vt:lpstr>
      <vt:lpstr>MAPPING!SD_9089x1_9215x7_9223x1_587_B_0</vt:lpstr>
      <vt:lpstr>MAPPING!SD_9089x1_9215x7_9223x1_588_B_0</vt:lpstr>
      <vt:lpstr>MAPPING!SD_9089x1_9215x7_9223x1_590_B_0</vt:lpstr>
      <vt:lpstr>MAPPING!SD_9089x1_9215x7_9223x1_594_B_0</vt:lpstr>
      <vt:lpstr>MAPPING!SD_9089x1_9215x7_9223x1_596_B_0</vt:lpstr>
      <vt:lpstr>MAPPING!SD_9089x1_9215x7_9223x1_598_B_0</vt:lpstr>
      <vt:lpstr>MAPPING!SD_9089x1_9215x7_9223x1_600_B_0</vt:lpstr>
      <vt:lpstr>MAPPING!SD_9089x1_9215x7_9223x1_602_B_0</vt:lpstr>
      <vt:lpstr>MAPPING!SD_9089x1_9215x7_9223x1_604_B_0</vt:lpstr>
      <vt:lpstr>MAPPING!SD_9089x1_9215x7_9223x1_606_B_0</vt:lpstr>
      <vt:lpstr>MAPPING!SD_9089x1_9215x7_9223x1_609_B_0</vt:lpstr>
      <vt:lpstr>MAPPING!SD_9089x1_9215x7_9223x1_612_B_0</vt:lpstr>
      <vt:lpstr>MAPPING!SD_9089x1_9215x7_9223x1_613_B_0</vt:lpstr>
      <vt:lpstr>MAPPING!SD_9089x1_9215x7_9223x1_615_B_0</vt:lpstr>
      <vt:lpstr>MAPPING!SD_9089x1_9215x7_9223x1_616_B_0</vt:lpstr>
      <vt:lpstr>MAPPING!SD_9089x1_9215x7_9223x1_625_B_0</vt:lpstr>
      <vt:lpstr>MAPPING!SD_9089x1_9215x7_9223x1_626_B_0</vt:lpstr>
      <vt:lpstr>MAPPING!SD_9089x1_9215x7_9223x1_627_B_0</vt:lpstr>
      <vt:lpstr>MAPPING!SD_9089x1_9215x7_9223x1_632_B_0</vt:lpstr>
      <vt:lpstr>MAPPING!SD_9089x1_9215x7_9223x1_633_B_0</vt:lpstr>
      <vt:lpstr>MAPPING!SD_9089x1_9215x7_9223x1_634_B_0</vt:lpstr>
      <vt:lpstr>MAPPING!SD_9089x1_9215x7_9223x1_635_B_0</vt:lpstr>
      <vt:lpstr>MAPPING!SD_9089x1_9215x7_9223x1_636_B_0</vt:lpstr>
      <vt:lpstr>MAPPING!SD_9089x1_9215x7_9223x1_639_B_0</vt:lpstr>
      <vt:lpstr>MAPPING!SD_9089x1_9215x7_9223x1_640_B_0</vt:lpstr>
      <vt:lpstr>MAPPING!SD_9089x1_9215x7_9223x1_641_B_0</vt:lpstr>
      <vt:lpstr>MAPPING!SD_9089x1_9215x7_9223x1_642_B_0</vt:lpstr>
      <vt:lpstr>MAPPING!SD_9089x1_9215x7_9223x1_643_B_0</vt:lpstr>
      <vt:lpstr>MAPPING!SD_9089x1_9215x7_9223x1_644_B_0</vt:lpstr>
      <vt:lpstr>MAPPING!SD_9089x1_9215x7_9223x1_645_B_0</vt:lpstr>
      <vt:lpstr>MAPPING!SD_9089x1_9215x7_9223x1_647_B_0</vt:lpstr>
      <vt:lpstr>MAPPING!SD_9089x1_9215x7_9223x1_650_B_0</vt:lpstr>
      <vt:lpstr>MAPPING!SD_9089x1_9215x7_9223x1_654_B_0</vt:lpstr>
      <vt:lpstr>MAPPING!SD_9089x1_9215x7_9223x1_655_B_0</vt:lpstr>
      <vt:lpstr>MAPPING!SD_9089x1_9215x7_9223x1_661_B_0</vt:lpstr>
      <vt:lpstr>MAPPING!SD_9089x1_9215x7_9223x1_670_B_0</vt:lpstr>
      <vt:lpstr>MAPPING!SD_9089x1_9215x7_9223x1_673_B_0</vt:lpstr>
      <vt:lpstr>MAPPING!SD_9089x1_9215x7_9223x1_677_B_0</vt:lpstr>
      <vt:lpstr>MAPPING!SD_9089x1_9215x7_9223x1_680_B_0</vt:lpstr>
      <vt:lpstr>MAPPING!SD_9089x1_9215x7_9223x1_683_B_0</vt:lpstr>
      <vt:lpstr>MAPPING!SD_9089x1_9215x7_9223x1_684_B_0</vt:lpstr>
      <vt:lpstr>MAPPING!SD_9089x1_9215x7_9223x1_685_B_0</vt:lpstr>
      <vt:lpstr>MAPPING!SD_9089x1_9215x7_9223x1_687_B_0</vt:lpstr>
      <vt:lpstr>MAPPING!SD_9089x1_9215x8_9223x1_10_S_0</vt:lpstr>
      <vt:lpstr>MAPPING!SD_9089x1_9215x8_9223x1_11_S_1</vt:lpstr>
      <vt:lpstr>MAPPING!SD_9089x1_9215x8_9223x1_167_B_0</vt:lpstr>
      <vt:lpstr>MAPPING!SD_9089x1_9215x8_9223x1_512_B_0</vt:lpstr>
      <vt:lpstr>MAPPING!SD_9089x1_9215x8_9223x1_513_B_0</vt:lpstr>
      <vt:lpstr>MAPPING!SD_9089x1_9215x8_9223x1_517_B_0</vt:lpstr>
      <vt:lpstr>MAPPING!SD_9089x1_9215x8_9223x1_532_B_0</vt:lpstr>
      <vt:lpstr>MAPPING!SD_9089x1_9215x8_9223x1_536_B_0</vt:lpstr>
      <vt:lpstr>MAPPING!SD_9089x1_9215x8_9223x1_568_B_0</vt:lpstr>
      <vt:lpstr>MAPPING!SD_9089x1_9215x8_9223x1_576_B_0</vt:lpstr>
      <vt:lpstr>MAPPING!SD_9089x1_9215x8_9223x1_578_B_0</vt:lpstr>
      <vt:lpstr>MAPPING!SD_9089x1_9215x8_9223x1_584_B_0</vt:lpstr>
      <vt:lpstr>MAPPING!SD_9089x1_9215x8_9223x1_587_B_0</vt:lpstr>
      <vt:lpstr>MAPPING!SD_9089x1_9215x8_9223x1_588_B_0</vt:lpstr>
      <vt:lpstr>MAPPING!SD_9089x1_9215x8_9223x1_590_B_0</vt:lpstr>
      <vt:lpstr>MAPPING!SD_9089x1_9215x8_9223x1_594_B_0</vt:lpstr>
      <vt:lpstr>MAPPING!SD_9089x1_9215x8_9223x1_596_B_0</vt:lpstr>
      <vt:lpstr>MAPPING!SD_9089x1_9215x8_9223x1_598_B_0</vt:lpstr>
      <vt:lpstr>MAPPING!SD_9089x1_9215x8_9223x1_600_B_0</vt:lpstr>
      <vt:lpstr>MAPPING!SD_9089x1_9215x8_9223x1_602_B_0</vt:lpstr>
      <vt:lpstr>MAPPING!SD_9089x1_9215x8_9223x1_604_B_0</vt:lpstr>
      <vt:lpstr>MAPPING!SD_9089x1_9215x8_9223x1_606_B_0</vt:lpstr>
      <vt:lpstr>MAPPING!SD_9089x1_9215x8_9223x1_609_B_0</vt:lpstr>
      <vt:lpstr>MAPPING!SD_9089x1_9215x8_9223x1_612_B_0</vt:lpstr>
      <vt:lpstr>MAPPING!SD_9089x1_9215x8_9223x1_613_B_0</vt:lpstr>
      <vt:lpstr>MAPPING!SD_9089x1_9215x8_9223x1_615_B_0</vt:lpstr>
      <vt:lpstr>MAPPING!SD_9089x1_9215x8_9223x1_616_B_0</vt:lpstr>
      <vt:lpstr>MAPPING!SD_9089x1_9215x8_9223x1_625_B_0</vt:lpstr>
      <vt:lpstr>MAPPING!SD_9089x1_9215x8_9223x1_626_B_0</vt:lpstr>
      <vt:lpstr>MAPPING!SD_9089x1_9215x8_9223x1_627_B_0</vt:lpstr>
      <vt:lpstr>MAPPING!SD_9089x1_9215x8_9223x1_632_B_0</vt:lpstr>
      <vt:lpstr>MAPPING!SD_9089x1_9215x8_9223x1_633_B_0</vt:lpstr>
      <vt:lpstr>MAPPING!SD_9089x1_9215x8_9223x1_634_B_0</vt:lpstr>
      <vt:lpstr>MAPPING!SD_9089x1_9215x8_9223x1_635_B_0</vt:lpstr>
      <vt:lpstr>MAPPING!SD_9089x1_9215x8_9223x1_636_B_0</vt:lpstr>
      <vt:lpstr>MAPPING!SD_9089x1_9215x8_9223x1_639_B_0</vt:lpstr>
      <vt:lpstr>MAPPING!SD_9089x1_9215x8_9223x1_640_B_0</vt:lpstr>
      <vt:lpstr>MAPPING!SD_9089x1_9215x8_9223x1_641_B_0</vt:lpstr>
      <vt:lpstr>MAPPING!SD_9089x1_9215x8_9223x1_642_B_0</vt:lpstr>
      <vt:lpstr>MAPPING!SD_9089x1_9215x8_9223x1_643_B_0</vt:lpstr>
      <vt:lpstr>MAPPING!SD_9089x1_9215x8_9223x1_644_B_0</vt:lpstr>
      <vt:lpstr>MAPPING!SD_9089x1_9215x8_9223x1_645_B_0</vt:lpstr>
      <vt:lpstr>MAPPING!SD_9089x1_9215x8_9223x1_647_B_0</vt:lpstr>
      <vt:lpstr>MAPPING!SD_9089x1_9215x8_9223x1_650_B_0</vt:lpstr>
      <vt:lpstr>MAPPING!SD_9089x1_9215x8_9223x1_654_B_0</vt:lpstr>
      <vt:lpstr>MAPPING!SD_9089x1_9215x8_9223x1_655_B_0</vt:lpstr>
      <vt:lpstr>MAPPING!SD_9089x1_9215x8_9223x1_661_B_0</vt:lpstr>
      <vt:lpstr>MAPPING!SD_9089x1_9215x8_9223x1_670_B_0</vt:lpstr>
      <vt:lpstr>MAPPING!SD_9089x1_9215x8_9223x1_673_B_0</vt:lpstr>
      <vt:lpstr>MAPPING!SD_9089x1_9215x8_9223x1_677_B_0</vt:lpstr>
      <vt:lpstr>MAPPING!SD_9089x1_9215x8_9223x1_680_B_0</vt:lpstr>
      <vt:lpstr>MAPPING!SD_9089x1_9215x8_9223x1_683_B_0</vt:lpstr>
      <vt:lpstr>MAPPING!SD_9089x1_9215x8_9223x1_684_B_0</vt:lpstr>
      <vt:lpstr>MAPPING!SD_9089x1_9215x8_9223x1_685_B_0</vt:lpstr>
      <vt:lpstr>MAPPING!SD_9089x1_9215x8_9223x1_687_B_0</vt:lpstr>
      <vt:lpstr>MAPPING!SD_9089x1_9215x9_9223x1_10_S_0</vt:lpstr>
      <vt:lpstr>MAPPING!SD_9089x1_9215x9_9223x1_11_S_1</vt:lpstr>
      <vt:lpstr>MAPPING!SD_9089x1_9215x9_9223x1_167_B_0</vt:lpstr>
      <vt:lpstr>MAPPING!SD_9089x1_9215x9_9223x1_512_B_0</vt:lpstr>
      <vt:lpstr>MAPPING!SD_9089x1_9215x9_9223x1_513_B_0</vt:lpstr>
      <vt:lpstr>MAPPING!SD_9089x1_9215x9_9223x1_517_B_0</vt:lpstr>
      <vt:lpstr>MAPPING!SD_9089x1_9215x9_9223x1_532_B_0</vt:lpstr>
      <vt:lpstr>MAPPING!SD_9089x1_9215x9_9223x1_536_B_0</vt:lpstr>
      <vt:lpstr>MAPPING!SD_9089x1_9215x9_9223x1_568_B_0</vt:lpstr>
      <vt:lpstr>MAPPING!SD_9089x1_9215x9_9223x1_576_B_0</vt:lpstr>
      <vt:lpstr>MAPPING!SD_9089x1_9215x9_9223x1_578_B_0</vt:lpstr>
      <vt:lpstr>MAPPING!SD_9089x1_9215x9_9223x1_584_B_0</vt:lpstr>
      <vt:lpstr>MAPPING!SD_9089x1_9215x9_9223x1_587_B_0</vt:lpstr>
      <vt:lpstr>MAPPING!SD_9089x1_9215x9_9223x1_588_B_0</vt:lpstr>
      <vt:lpstr>MAPPING!SD_9089x1_9215x9_9223x1_590_B_0</vt:lpstr>
      <vt:lpstr>MAPPING!SD_9089x1_9215x9_9223x1_594_B_0</vt:lpstr>
      <vt:lpstr>MAPPING!SD_9089x1_9215x9_9223x1_596_B_0</vt:lpstr>
      <vt:lpstr>MAPPING!SD_9089x1_9215x9_9223x1_598_B_0</vt:lpstr>
      <vt:lpstr>MAPPING!SD_9089x1_9215x9_9223x1_600_B_0</vt:lpstr>
      <vt:lpstr>MAPPING!SD_9089x1_9215x9_9223x1_602_B_0</vt:lpstr>
      <vt:lpstr>MAPPING!SD_9089x1_9215x9_9223x1_604_B_0</vt:lpstr>
      <vt:lpstr>MAPPING!SD_9089x1_9215x9_9223x1_606_B_0</vt:lpstr>
      <vt:lpstr>MAPPING!SD_9089x1_9215x9_9223x1_609_B_0</vt:lpstr>
      <vt:lpstr>MAPPING!SD_9089x1_9215x9_9223x1_612_B_0</vt:lpstr>
      <vt:lpstr>MAPPING!SD_9089x1_9215x9_9223x1_613_B_0</vt:lpstr>
      <vt:lpstr>MAPPING!SD_9089x1_9215x9_9223x1_615_B_0</vt:lpstr>
      <vt:lpstr>MAPPING!SD_9089x1_9215x9_9223x1_616_B_0</vt:lpstr>
      <vt:lpstr>MAPPING!SD_9089x1_9215x9_9223x1_625_B_0</vt:lpstr>
      <vt:lpstr>MAPPING!SD_9089x1_9215x9_9223x1_626_B_0</vt:lpstr>
      <vt:lpstr>MAPPING!SD_9089x1_9215x9_9223x1_627_B_0</vt:lpstr>
      <vt:lpstr>MAPPING!SD_9089x1_9215x9_9223x1_632_B_0</vt:lpstr>
      <vt:lpstr>MAPPING!SD_9089x1_9215x9_9223x1_633_B_0</vt:lpstr>
      <vt:lpstr>MAPPING!SD_9089x1_9215x9_9223x1_634_B_0</vt:lpstr>
      <vt:lpstr>MAPPING!SD_9089x1_9215x9_9223x1_635_B_0</vt:lpstr>
      <vt:lpstr>MAPPING!SD_9089x1_9215x9_9223x1_636_B_0</vt:lpstr>
      <vt:lpstr>MAPPING!SD_9089x1_9215x9_9223x1_639_B_0</vt:lpstr>
      <vt:lpstr>MAPPING!SD_9089x1_9215x9_9223x1_640_B_0</vt:lpstr>
      <vt:lpstr>MAPPING!SD_9089x1_9215x9_9223x1_641_B_0</vt:lpstr>
      <vt:lpstr>MAPPING!SD_9089x1_9215x9_9223x1_642_B_0</vt:lpstr>
      <vt:lpstr>MAPPING!SD_9089x1_9215x9_9223x1_643_B_0</vt:lpstr>
      <vt:lpstr>MAPPING!SD_9089x1_9215x9_9223x1_644_B_0</vt:lpstr>
      <vt:lpstr>MAPPING!SD_9089x1_9215x9_9223x1_645_B_0</vt:lpstr>
      <vt:lpstr>MAPPING!SD_9089x1_9215x9_9223x1_647_B_0</vt:lpstr>
      <vt:lpstr>MAPPING!SD_9089x1_9215x9_9223x1_650_B_0</vt:lpstr>
      <vt:lpstr>MAPPING!SD_9089x1_9215x9_9223x1_654_B_0</vt:lpstr>
      <vt:lpstr>MAPPING!SD_9089x1_9215x9_9223x1_655_B_0</vt:lpstr>
      <vt:lpstr>MAPPING!SD_9089x1_9215x9_9223x1_661_B_0</vt:lpstr>
      <vt:lpstr>MAPPING!SD_9089x1_9215x9_9223x1_670_B_0</vt:lpstr>
      <vt:lpstr>MAPPING!SD_9089x1_9215x9_9223x1_673_B_0</vt:lpstr>
      <vt:lpstr>MAPPING!SD_9089x1_9215x9_9223x1_677_B_0</vt:lpstr>
      <vt:lpstr>MAPPING!SD_9089x1_9215x9_9223x1_680_B_0</vt:lpstr>
      <vt:lpstr>MAPPING!SD_9089x1_9215x9_9223x1_683_B_0</vt:lpstr>
      <vt:lpstr>MAPPING!SD_9089x1_9215x9_9223x1_684_B_0</vt:lpstr>
      <vt:lpstr>MAPPING!SD_9089x1_9215x9_9223x1_685_B_0</vt:lpstr>
      <vt:lpstr>MAPPING!SD_9089x1_9215x9_9223x1_687_B_0</vt:lpstr>
      <vt:lpstr>SOURCE_CFAmortizationTerm1</vt:lpstr>
      <vt:lpstr>SOURCE_CFAmortizationTerm10</vt:lpstr>
      <vt:lpstr>SOURCE_CFAmortizationTerm11</vt:lpstr>
      <vt:lpstr>SOURCE_CFAmortizationTerm12</vt:lpstr>
      <vt:lpstr>SOURCE_CFAmortizationTerm13</vt:lpstr>
      <vt:lpstr>SOURCE_CFAmortizationTerm14</vt:lpstr>
      <vt:lpstr>SOURCE_CFAmortizationTerm15</vt:lpstr>
      <vt:lpstr>SOURCE_CFAmortizationTerm16</vt:lpstr>
      <vt:lpstr>SOURCE_CFAmortizationTerm17</vt:lpstr>
      <vt:lpstr>SOURCE_CFAmortizationTerm18</vt:lpstr>
      <vt:lpstr>SOURCE_CFAmortizationTerm19</vt:lpstr>
      <vt:lpstr>SOURCE_CFAmortizationTerm2</vt:lpstr>
      <vt:lpstr>SOURCE_CFAmortizationTerm20</vt:lpstr>
      <vt:lpstr>SOURCE_CFAmortizationTerm21</vt:lpstr>
      <vt:lpstr>SOURCE_CFAmortizationTerm22</vt:lpstr>
      <vt:lpstr>SOURCE_CFAmortizationTerm3</vt:lpstr>
      <vt:lpstr>SOURCE_CFAmortizationTerm4</vt:lpstr>
      <vt:lpstr>SOURCE_CFAmortizationTerm5</vt:lpstr>
      <vt:lpstr>SOURCE_CFAnnualPayment1</vt:lpstr>
      <vt:lpstr>SOURCE_CFAnnualPayment10</vt:lpstr>
      <vt:lpstr>SOURCE_CFAnnualPayment11</vt:lpstr>
      <vt:lpstr>SOURCE_CFAnnualPayment12</vt:lpstr>
      <vt:lpstr>SOURCE_CFAnnualPayment13</vt:lpstr>
      <vt:lpstr>SOURCE_CFAnnualPayment14</vt:lpstr>
      <vt:lpstr>SOURCE_CFAnnualPayment15</vt:lpstr>
      <vt:lpstr>SOURCE_CFAnnualPayment16</vt:lpstr>
      <vt:lpstr>SOURCE_CFAnnualPayment17</vt:lpstr>
      <vt:lpstr>SOURCE_CFAnnualPayment18</vt:lpstr>
      <vt:lpstr>SOURCE_CFAnnualPayment19</vt:lpstr>
      <vt:lpstr>SOURCE_CFAnnualPayment2</vt:lpstr>
      <vt:lpstr>SOURCE_CFAnnualPayment20</vt:lpstr>
      <vt:lpstr>SOURCE_CFAnnualPayment21</vt:lpstr>
      <vt:lpstr>SOURCE_CFAnnualPayment22</vt:lpstr>
      <vt:lpstr>SOURCE_CFAnnualPayment3</vt:lpstr>
      <vt:lpstr>SOURCE_CFAnnualPayment4</vt:lpstr>
      <vt:lpstr>SOURCE_CFAnnualPayment5</vt:lpstr>
      <vt:lpstr>SOURCE_CFInterestRate1</vt:lpstr>
      <vt:lpstr>SOURCE_CFInterestRate10</vt:lpstr>
      <vt:lpstr>SOURCE_CFInterestRate11</vt:lpstr>
      <vt:lpstr>SOURCE_CFInterestRate12</vt:lpstr>
      <vt:lpstr>SOURCE_CFInterestRate13</vt:lpstr>
      <vt:lpstr>SOURCE_CFInterestRate14</vt:lpstr>
      <vt:lpstr>SOURCE_CFInterestRate15</vt:lpstr>
      <vt:lpstr>SOURCE_CFInterestRate16</vt:lpstr>
      <vt:lpstr>SOURCE_CFInterestRate17</vt:lpstr>
      <vt:lpstr>SOURCE_CFInterestRate18</vt:lpstr>
      <vt:lpstr>SOURCE_CFInterestRate19</vt:lpstr>
      <vt:lpstr>SOURCE_CFInterestRate2</vt:lpstr>
      <vt:lpstr>SOURCE_CFInterestRate20</vt:lpstr>
      <vt:lpstr>SOURCE_CFInterestRate21</vt:lpstr>
      <vt:lpstr>SOURCE_CFInterestRate22</vt:lpstr>
      <vt:lpstr>SOURCE_CFInterestRate3</vt:lpstr>
      <vt:lpstr>SOURCE_CFInterestRate4</vt:lpstr>
      <vt:lpstr>SOURCE_CFInterestRate5</vt:lpstr>
      <vt:lpstr>SOURCE_CFLienPosition1</vt:lpstr>
      <vt:lpstr>SOURCE_CFLienPosition10</vt:lpstr>
      <vt:lpstr>SOURCE_CFLienPosition11</vt:lpstr>
      <vt:lpstr>SOURCE_CFLienPosition12</vt:lpstr>
      <vt:lpstr>SOURCE_CFLienPosition13</vt:lpstr>
      <vt:lpstr>SOURCE_CFLienPosition14</vt:lpstr>
      <vt:lpstr>SOURCE_CFLienPosition15</vt:lpstr>
      <vt:lpstr>SOURCE_CFLienPosition16</vt:lpstr>
      <vt:lpstr>SOURCE_CFLienPosition17</vt:lpstr>
      <vt:lpstr>SOURCE_CFLienPosition18</vt:lpstr>
      <vt:lpstr>SOURCE_CFLienPosition19</vt:lpstr>
      <vt:lpstr>SOURCE_CFLienPosition2</vt:lpstr>
      <vt:lpstr>SOURCE_CFLienPosition20</vt:lpstr>
      <vt:lpstr>SOURCE_CFLienPosition21</vt:lpstr>
      <vt:lpstr>SOURCE_CFLienPosition22</vt:lpstr>
      <vt:lpstr>SOURCE_CFLienPosition3</vt:lpstr>
      <vt:lpstr>SOURCE_CFLienPosition39</vt:lpstr>
      <vt:lpstr>SOURCE_CFLienPosition4</vt:lpstr>
      <vt:lpstr>SOURCE_CFLienPosition5</vt:lpstr>
      <vt:lpstr>SOURCE_CFLienPosition6</vt:lpstr>
      <vt:lpstr>SOURCE_CFLienPosition7</vt:lpstr>
      <vt:lpstr>SOURCE_CFLienPosition8</vt:lpstr>
      <vt:lpstr>SOURCE_CFLienPosition9</vt:lpstr>
      <vt:lpstr>SOURCE_CFLoanAmount1</vt:lpstr>
      <vt:lpstr>SOURCE_CFLoanAmount10</vt:lpstr>
      <vt:lpstr>SOURCE_CFLoanAmount11</vt:lpstr>
      <vt:lpstr>SOURCE_CFLoanAmount12</vt:lpstr>
      <vt:lpstr>SOURCE_CFLoanAmount13</vt:lpstr>
      <vt:lpstr>SOURCE_CFLoanAmount14</vt:lpstr>
      <vt:lpstr>SOURCE_CFLoanAmount15</vt:lpstr>
      <vt:lpstr>SOURCE_CFLoanAmount16</vt:lpstr>
      <vt:lpstr>SOURCE_CFLoanAmount17</vt:lpstr>
      <vt:lpstr>SOURCE_CFLoanAmount18</vt:lpstr>
      <vt:lpstr>SOURCE_CFLoanAmount19</vt:lpstr>
      <vt:lpstr>SOURCE_CFLoanAmount2</vt:lpstr>
      <vt:lpstr>SOURCE_CFLoanAmount20</vt:lpstr>
      <vt:lpstr>SOURCE_CFLoanAmount21</vt:lpstr>
      <vt:lpstr>SOURCE_CFLoanAmount22</vt:lpstr>
      <vt:lpstr>SOURCE_CFLoanAmount3</vt:lpstr>
      <vt:lpstr>SOURCE_CFLoanAmount39</vt:lpstr>
      <vt:lpstr>SOURCE_CFLoanAmount4</vt:lpstr>
      <vt:lpstr>SOURCE_CFLoanAmount5</vt:lpstr>
      <vt:lpstr>SOURCE_CFLoanAmount6</vt:lpstr>
      <vt:lpstr>SOURCE_CFLoanAmount7</vt:lpstr>
      <vt:lpstr>SOURCE_CFLoanAmount8</vt:lpstr>
      <vt:lpstr>SOURCE_CFLoanAmount9</vt:lpstr>
      <vt:lpstr>SOURCE_CFOther10Describe</vt:lpstr>
      <vt:lpstr>SOURCE_CFOther11Describe</vt:lpstr>
      <vt:lpstr>SOURCE_CFOther12Describe</vt:lpstr>
      <vt:lpstr>SOURCE_CFOther13Describe</vt:lpstr>
      <vt:lpstr>SOURCE_CFOther1Describe</vt:lpstr>
      <vt:lpstr>SOURCE_CFOther2Describe</vt:lpstr>
      <vt:lpstr>SOURCE_CFOther3Describe</vt:lpstr>
      <vt:lpstr>SOURCE_CFOther4Describe</vt:lpstr>
      <vt:lpstr>SOURCE_CFOther5Describe</vt:lpstr>
      <vt:lpstr>SOURCE_CFOther6Describe</vt:lpstr>
      <vt:lpstr>SOURCE_CFOther7Describe</vt:lpstr>
      <vt:lpstr>SOURCE_CFOther8Describe</vt:lpstr>
      <vt:lpstr>SOURCE_CFOther9Describe</vt:lpstr>
      <vt:lpstr>SOURCE_CFSource10HOMEnonDHCD</vt:lpstr>
      <vt:lpstr>SOURCE_CFSource11SellerNote</vt:lpstr>
      <vt:lpstr>SOURCE_CFSource12Other3</vt:lpstr>
      <vt:lpstr>SOURCE_CFSource13Other4</vt:lpstr>
      <vt:lpstr>SOURCE_CFSource14Other5</vt:lpstr>
      <vt:lpstr>SOURCE_CFSource15Other6</vt:lpstr>
      <vt:lpstr>SOURCE_CFSource16Other7</vt:lpstr>
      <vt:lpstr>SOURCE_CFSource17Other8</vt:lpstr>
      <vt:lpstr>SOURCE_CFSource18Other9</vt:lpstr>
      <vt:lpstr>SOURCE_CFSource19Other10</vt:lpstr>
      <vt:lpstr>SOURCE_CFSource1RHPF</vt:lpstr>
      <vt:lpstr>SOURCE_CFSource20Other11</vt:lpstr>
      <vt:lpstr>SOURCE_CFSource21Other12</vt:lpstr>
      <vt:lpstr>SOURCE_CFSource22Other13</vt:lpstr>
      <vt:lpstr>SOURCE_CFSource2RHW</vt:lpstr>
      <vt:lpstr>SOURCE_CFSource39MEEHA</vt:lpstr>
      <vt:lpstr>SOURCE_CFSource3HTF</vt:lpstr>
      <vt:lpstr>SOURCE_CFSource4HOMEFunds</vt:lpstr>
      <vt:lpstr>SOURCE_CFSource5HOMEARP</vt:lpstr>
      <vt:lpstr>SOURCE_CFSource6PRHPF</vt:lpstr>
      <vt:lpstr>SOURCE_CFSource7Weinberg</vt:lpstr>
      <vt:lpstr>SOURCE_CFSource8Other1</vt:lpstr>
      <vt:lpstr>SOURCE_CFSource9Other2</vt:lpstr>
      <vt:lpstr>SOURCE_CFSurplusCashRepayment1</vt:lpstr>
      <vt:lpstr>SOURCE_CFSurplusCashRepayment10</vt:lpstr>
      <vt:lpstr>SOURCE_CFSurplusCashRepayment11</vt:lpstr>
      <vt:lpstr>SOURCE_CFSurplusCashRepayment12</vt:lpstr>
      <vt:lpstr>SOURCE_CFSurplusCashRepayment13</vt:lpstr>
      <vt:lpstr>SOURCE_CFSurplusCashRepayment14</vt:lpstr>
      <vt:lpstr>SOURCE_CFSurplusCashRepayment15</vt:lpstr>
      <vt:lpstr>SOURCE_CFSurplusCashRepayment16</vt:lpstr>
      <vt:lpstr>SOURCE_CFSurplusCashRepayment17</vt:lpstr>
      <vt:lpstr>SOURCE_CFSurplusCashRepayment18</vt:lpstr>
      <vt:lpstr>SOURCE_CFSurplusCashRepayment19</vt:lpstr>
      <vt:lpstr>SOURCE_CFSurplusCashRepayment20</vt:lpstr>
      <vt:lpstr>SOURCE_CFSurplusCashRepayment21</vt:lpstr>
      <vt:lpstr>SOURCE_CFSurplusCashRepayment22</vt:lpstr>
      <vt:lpstr>SOURCE_CFSurplusCashRepayment39</vt:lpstr>
      <vt:lpstr>SOURCE_CFSurplusCashRepayment6</vt:lpstr>
      <vt:lpstr>SOURCE_CFSurplusCashRepayment7</vt:lpstr>
      <vt:lpstr>SOURCE_CFSurplusCashRepayment8</vt:lpstr>
      <vt:lpstr>SOURCE_CFSurplusCashRepayment9</vt:lpstr>
      <vt:lpstr>SOURCE_CFTerm1</vt:lpstr>
      <vt:lpstr>SOURCE_CFTerm10</vt:lpstr>
      <vt:lpstr>SOURCE_CFTerm11</vt:lpstr>
      <vt:lpstr>SOURCE_CFTerm12</vt:lpstr>
      <vt:lpstr>SOURCE_CFTerm13</vt:lpstr>
      <vt:lpstr>SOURCE_CFTerm14</vt:lpstr>
      <vt:lpstr>SOURCE_CFTerm15</vt:lpstr>
      <vt:lpstr>SOURCE_CFTerm16</vt:lpstr>
      <vt:lpstr>SOURCE_CFTerm17</vt:lpstr>
      <vt:lpstr>SOURCE_CFTerm18</vt:lpstr>
      <vt:lpstr>SOURCE_CFTerm19</vt:lpstr>
      <vt:lpstr>SOURCE_CFTerm2</vt:lpstr>
      <vt:lpstr>SOURCE_CFTerm20</vt:lpstr>
      <vt:lpstr>SOURCE_CFTerm21</vt:lpstr>
      <vt:lpstr>SOURCE_CFTerm22</vt:lpstr>
      <vt:lpstr>SOURCE_CFTerm3</vt:lpstr>
      <vt:lpstr>SOURCE_CFTerm4</vt:lpstr>
      <vt:lpstr>SOURCE_CFTerm5</vt:lpstr>
      <vt:lpstr>SOURCE_EquityAmount1</vt:lpstr>
      <vt:lpstr>SOURCE_EquityAmount10</vt:lpstr>
      <vt:lpstr>SOURCE_EquityAmount11</vt:lpstr>
      <vt:lpstr>SOURCE_EquityAmount12</vt:lpstr>
      <vt:lpstr>SOURCE_EquityAmount13</vt:lpstr>
      <vt:lpstr>SOURCE_EquityAmount14</vt:lpstr>
      <vt:lpstr>SOURCE_EquityAmount15</vt:lpstr>
      <vt:lpstr>SOURCE_EquityAmount16</vt:lpstr>
      <vt:lpstr>SOURCE_EquityAmount17</vt:lpstr>
      <vt:lpstr>SOURCE_EquityAmount2</vt:lpstr>
      <vt:lpstr>SOURCE_EquityAmount3</vt:lpstr>
      <vt:lpstr>SOURCE_EquityAmount4</vt:lpstr>
      <vt:lpstr>SOURCE_EquityAmount5</vt:lpstr>
      <vt:lpstr>SOURCE_EquityAmount6</vt:lpstr>
      <vt:lpstr>SOURCE_EquityAmount7</vt:lpstr>
      <vt:lpstr>SOURCE_EquityAmount8</vt:lpstr>
      <vt:lpstr>SOURCE_EquityAmount9</vt:lpstr>
      <vt:lpstr>SOURCE_EquityOtherDescribe10</vt:lpstr>
      <vt:lpstr>SOURCE_EquityOtherDescribe11</vt:lpstr>
      <vt:lpstr>SOURCE_EquityOtherDescribe12</vt:lpstr>
      <vt:lpstr>SOURCE_EquityOtherDescribe13</vt:lpstr>
      <vt:lpstr>SOURCE_EquityOtherDescribe14</vt:lpstr>
      <vt:lpstr>SOURCE_EquityOtherDescribe15</vt:lpstr>
      <vt:lpstr>SOURCE_EquityOtherDescribe16</vt:lpstr>
      <vt:lpstr>SOURCE_EquityOtherDescribe17</vt:lpstr>
      <vt:lpstr>SOURCE_EquityOtherDescribe8</vt:lpstr>
      <vt:lpstr>SOURCE_EquityOtherDescribe9</vt:lpstr>
      <vt:lpstr>SOURCE_EquitySourcesofEquity1</vt:lpstr>
      <vt:lpstr>SOURCE_EquitySourcesofEquity10</vt:lpstr>
      <vt:lpstr>SOURCE_EquitySourcesofEquity11</vt:lpstr>
      <vt:lpstr>SOURCE_EquitySourcesofEquity12</vt:lpstr>
      <vt:lpstr>SOURCE_EquitySourcesofEquity13</vt:lpstr>
      <vt:lpstr>SOURCE_EquitySourcesofEquity14</vt:lpstr>
      <vt:lpstr>SOURCE_EquitySourcesofEquity15</vt:lpstr>
      <vt:lpstr>SOURCE_EquitySourcesofEquity16</vt:lpstr>
      <vt:lpstr>SOURCE_EquitySourcesofEquity17</vt:lpstr>
      <vt:lpstr>SOURCE_EquitySourcesofEquity2</vt:lpstr>
      <vt:lpstr>SOURCE_EquitySourcesofEquity3</vt:lpstr>
      <vt:lpstr>SOURCE_EquitySourcesofEquity7</vt:lpstr>
      <vt:lpstr>SOURCE_EquitySourcesofEquity8</vt:lpstr>
      <vt:lpstr>SOURCE_EquitySourcesofEquity9</vt:lpstr>
      <vt:lpstr>SOURCE_Perm1TaxableBonds</vt:lpstr>
      <vt:lpstr>SOURCE_Perm2TaxexemptBondsLongTerm</vt:lpstr>
      <vt:lpstr>SOURCE_Perm3PrivateLoan</vt:lpstr>
      <vt:lpstr>SOURCE_Perm4FHAMIP</vt:lpstr>
      <vt:lpstr>SOURCE_Perm5RFP</vt:lpstr>
      <vt:lpstr>SOURCE_Perm6HOME</vt:lpstr>
      <vt:lpstr>SOURCE_Perm7HOMEnonDHCD</vt:lpstr>
      <vt:lpstr>SOURCE_Perm8Other1</vt:lpstr>
      <vt:lpstr>SOURCE_Perm9Other2</vt:lpstr>
      <vt:lpstr>SOURCE_PermAmortTerm1</vt:lpstr>
      <vt:lpstr>SOURCE_PermAmortTerm2</vt:lpstr>
      <vt:lpstr>SOURCE_PermAmortTerm3</vt:lpstr>
      <vt:lpstr>SOURCE_PermAmortTerm4</vt:lpstr>
      <vt:lpstr>SOURCE_PermAmortTerm5</vt:lpstr>
      <vt:lpstr>SOURCE_PermAmortTerm6</vt:lpstr>
      <vt:lpstr>SOURCE_PermAmortTerm7</vt:lpstr>
      <vt:lpstr>SOURCE_PermAmortTerm8</vt:lpstr>
      <vt:lpstr>SOURCE_PermAmortTerm9</vt:lpstr>
      <vt:lpstr>SOURCE_PermDCR1</vt:lpstr>
      <vt:lpstr>SOURCE_PermDCR2</vt:lpstr>
      <vt:lpstr>SOURCE_PermDCR3</vt:lpstr>
      <vt:lpstr>SOURCE_PermDCR4</vt:lpstr>
      <vt:lpstr>SOURCE_PermDCR5</vt:lpstr>
      <vt:lpstr>SOURCE_PermDCR6</vt:lpstr>
      <vt:lpstr>SOURCE_PermDCR7</vt:lpstr>
      <vt:lpstr>SOURCE_PermDCR8</vt:lpstr>
      <vt:lpstr>SOURCE_PermDCR9</vt:lpstr>
      <vt:lpstr>SOURCE_PermLienPosition1</vt:lpstr>
      <vt:lpstr>SOURCE_PermLienPosition2</vt:lpstr>
      <vt:lpstr>SOURCE_PermLienPosition3</vt:lpstr>
      <vt:lpstr>SOURCE_PermLienPosition4</vt:lpstr>
      <vt:lpstr>SOURCE_PermLienPosition5</vt:lpstr>
      <vt:lpstr>SOURCE_PermLienPosition6</vt:lpstr>
      <vt:lpstr>SOURCE_PermLienPosition7</vt:lpstr>
      <vt:lpstr>SOURCE_PermLienPosition8</vt:lpstr>
      <vt:lpstr>SOURCE_PermLienPosition9</vt:lpstr>
      <vt:lpstr>SOURCE_PermLoanAmount1</vt:lpstr>
      <vt:lpstr>SOURCE_PermLoanAmount2</vt:lpstr>
      <vt:lpstr>SOURCE_PermLoanAmount3</vt:lpstr>
      <vt:lpstr>SOURCE_PermLoanAmount4</vt:lpstr>
      <vt:lpstr>SOURCE_PermLoanAmount5</vt:lpstr>
      <vt:lpstr>SOURCE_PermLoanAmount6</vt:lpstr>
      <vt:lpstr>SOURCE_PermLoanAmount7</vt:lpstr>
      <vt:lpstr>SOURCE_PermLoanAmount8</vt:lpstr>
      <vt:lpstr>SOURCE_PermLoanAmount9</vt:lpstr>
      <vt:lpstr>SOURCE_PermLoanTerm1</vt:lpstr>
      <vt:lpstr>SOURCE_PermLoanTerm2</vt:lpstr>
      <vt:lpstr>SOURCE_PermLoanTerm3</vt:lpstr>
      <vt:lpstr>SOURCE_PermLoanTerm4</vt:lpstr>
      <vt:lpstr>SOURCE_PermLoanTerm5</vt:lpstr>
      <vt:lpstr>SOURCE_PermLoanTerm6</vt:lpstr>
      <vt:lpstr>SOURCE_PermLoanTerm7</vt:lpstr>
      <vt:lpstr>SOURCE_PermLoanTerm8</vt:lpstr>
      <vt:lpstr>SOURCE_PermLoanTerm9</vt:lpstr>
      <vt:lpstr>SOURCE_PermOther1Describe</vt:lpstr>
      <vt:lpstr>SOURCE_PermOther2Describe</vt:lpstr>
      <vt:lpstr>SOURCE_PermPayment1</vt:lpstr>
      <vt:lpstr>SOURCE_PermPayment2</vt:lpstr>
      <vt:lpstr>SOURCE_PermPayment3</vt:lpstr>
      <vt:lpstr>SOURCE_PermPayment4</vt:lpstr>
      <vt:lpstr>SOURCE_PermPayment5</vt:lpstr>
      <vt:lpstr>SOURCE_PermPayment6</vt:lpstr>
      <vt:lpstr>SOURCE_PermPayment7</vt:lpstr>
      <vt:lpstr>SOURCE_PermPayment8</vt:lpstr>
      <vt:lpstr>SOURCE_PermPayment9</vt:lpstr>
      <vt:lpstr>SOURCE_PermRate1</vt:lpstr>
      <vt:lpstr>SOURCE_PermRate2</vt:lpstr>
      <vt:lpstr>SOURCE_PermRate3</vt:lpstr>
      <vt:lpstr>SOURCE_PermRate4</vt:lpstr>
      <vt:lpstr>SOURCE_PermRate5</vt:lpstr>
      <vt:lpstr>SOURCE_PermRate6</vt:lpstr>
      <vt:lpstr>SOURCE_PermRate7</vt:lpstr>
      <vt:lpstr>SOURCE_PermRate8</vt:lpstr>
      <vt:lpstr>SOURCE_PermRate9</vt:lpstr>
      <vt:lpstr>SUM_TrendAdministrative</vt:lpstr>
      <vt:lpstr>SUM_TrendCommercialIncome</vt:lpstr>
      <vt:lpstr>SUM_TrendLowIncome</vt:lpstr>
      <vt:lpstr>SUM_TrendMarketRate</vt:lpstr>
      <vt:lpstr>SUM_TrendNonresidential</vt:lpstr>
      <vt:lpstr>SUM_TrendOM</vt:lpstr>
      <vt:lpstr>SUM_TrendOtherTaxesInsurance</vt:lpstr>
      <vt:lpstr>SUM_TrendPaymentinLieuofRETax</vt:lpstr>
      <vt:lpstr>SUM_TrendRealEstateTaxes</vt:lpstr>
      <vt:lpstr>SUM_TrendReplacementReserve</vt:lpstr>
      <vt:lpstr>SUM_TrendUtilities</vt:lpstr>
      <vt:lpstr>TC_Acquisition</vt:lpstr>
      <vt:lpstr>TC_AmountPaid1</vt:lpstr>
      <vt:lpstr>TC_AmountPaid10</vt:lpstr>
      <vt:lpstr>TC_AmountPaid2</vt:lpstr>
      <vt:lpstr>TC_AmountPaid3</vt:lpstr>
      <vt:lpstr>TC_AmountPaid4</vt:lpstr>
      <vt:lpstr>TC_AmountPaid5</vt:lpstr>
      <vt:lpstr>TC_AmountPaid6</vt:lpstr>
      <vt:lpstr>TC_AmountPaid7</vt:lpstr>
      <vt:lpstr>TC_AmountPaid8</vt:lpstr>
      <vt:lpstr>TC_AmountPaid9</vt:lpstr>
      <vt:lpstr>TC_Basis</vt:lpstr>
      <vt:lpstr>TC_CDBG</vt:lpstr>
      <vt:lpstr>TC_CDBGDeduct</vt:lpstr>
      <vt:lpstr>TC_CensustractDDA</vt:lpstr>
      <vt:lpstr>TC_CostPerAdjustedBasis</vt:lpstr>
      <vt:lpstr>TC_CostPerUnit</vt:lpstr>
      <vt:lpstr>TC_DateLastPIS1</vt:lpstr>
      <vt:lpstr>TC_DateLastPIS10</vt:lpstr>
      <vt:lpstr>TC_DateLastPIS11</vt:lpstr>
      <vt:lpstr>TC_DateLastPIS12</vt:lpstr>
      <vt:lpstr>TC_DateLastPIS13</vt:lpstr>
      <vt:lpstr>TC_DateLastPIS14</vt:lpstr>
      <vt:lpstr>TC_DateLastPIS15</vt:lpstr>
      <vt:lpstr>TC_DateLastPIS16</vt:lpstr>
      <vt:lpstr>TC_DateLastPIS17</vt:lpstr>
      <vt:lpstr>TC_DateLastPIS18</vt:lpstr>
      <vt:lpstr>TC_DateLastPIS19</vt:lpstr>
      <vt:lpstr>TC_DateLastPIS2</vt:lpstr>
      <vt:lpstr>TC_DateLastPIS20</vt:lpstr>
      <vt:lpstr>TC_DateLastPIS3</vt:lpstr>
      <vt:lpstr>TC_DateLastPIS4</vt:lpstr>
      <vt:lpstr>TC_DateLastPIS5</vt:lpstr>
      <vt:lpstr>TC_DateLastPIS6</vt:lpstr>
      <vt:lpstr>TC_DateLastPIS7</vt:lpstr>
      <vt:lpstr>TC_DateLastPIS8</vt:lpstr>
      <vt:lpstr>TC_DateLastPIS9</vt:lpstr>
      <vt:lpstr>TC_DatePaid1</vt:lpstr>
      <vt:lpstr>TC_DatePaid10</vt:lpstr>
      <vt:lpstr>TC_DatePaid2</vt:lpstr>
      <vt:lpstr>TC_DatePaid3</vt:lpstr>
      <vt:lpstr>TC_DatePaid4</vt:lpstr>
      <vt:lpstr>TC_DatePaid5</vt:lpstr>
      <vt:lpstr>TC_DatePaid6</vt:lpstr>
      <vt:lpstr>TC_DatePaid7</vt:lpstr>
      <vt:lpstr>TC_DatePaid8</vt:lpstr>
      <vt:lpstr>TC_DatePaid9</vt:lpstr>
      <vt:lpstr>TC_HDAG</vt:lpstr>
      <vt:lpstr>TC_HDAGDeduct</vt:lpstr>
      <vt:lpstr>TC_HistoricCreditsFederal</vt:lpstr>
      <vt:lpstr>TC_HistoricCreditsState</vt:lpstr>
      <vt:lpstr>TC_HOME</vt:lpstr>
      <vt:lpstr>TC_HOMEDeduct</vt:lpstr>
      <vt:lpstr>TC_MinSetAside2050</vt:lpstr>
      <vt:lpstr>TC_MinSetAside4060</vt:lpstr>
      <vt:lpstr>TC_MinSetAsideIA</vt:lpstr>
      <vt:lpstr>TC_NewConstruction</vt:lpstr>
      <vt:lpstr>TC_Other</vt:lpstr>
      <vt:lpstr>TC_OtherDeduct</vt:lpstr>
      <vt:lpstr>TC_OtherDescribe</vt:lpstr>
      <vt:lpstr>TC_PercentPaid1</vt:lpstr>
      <vt:lpstr>TC_PercentPaid10</vt:lpstr>
      <vt:lpstr>TC_PercentPaid2</vt:lpstr>
      <vt:lpstr>TC_PercentPaid3</vt:lpstr>
      <vt:lpstr>TC_PercentPaid4</vt:lpstr>
      <vt:lpstr>TC_PercentPaid5</vt:lpstr>
      <vt:lpstr>TC_PercentPaid6</vt:lpstr>
      <vt:lpstr>TC_PercentPaid7</vt:lpstr>
      <vt:lpstr>TC_PercentPaid8</vt:lpstr>
      <vt:lpstr>TC_PercentPaid9</vt:lpstr>
      <vt:lpstr>TC_PurchaseDate1</vt:lpstr>
      <vt:lpstr>TC_PurchaseDate10</vt:lpstr>
      <vt:lpstr>TC_PurchaseDate11</vt:lpstr>
      <vt:lpstr>TC_PurchaseDate12</vt:lpstr>
      <vt:lpstr>TC_PurchaseDate13</vt:lpstr>
      <vt:lpstr>TC_PurchaseDate14</vt:lpstr>
      <vt:lpstr>TC_PurchaseDate15</vt:lpstr>
      <vt:lpstr>TC_PurchaseDate16</vt:lpstr>
      <vt:lpstr>TC_PurchaseDate17</vt:lpstr>
      <vt:lpstr>TC_PurchaseDate18</vt:lpstr>
      <vt:lpstr>TC_PurchaseDate19</vt:lpstr>
      <vt:lpstr>TC_PurchaseDate2</vt:lpstr>
      <vt:lpstr>TC_PurchaseDate20</vt:lpstr>
      <vt:lpstr>TC_PurchaseDate3</vt:lpstr>
      <vt:lpstr>TC_PurchaseDate4</vt:lpstr>
      <vt:lpstr>TC_PurchaseDate5</vt:lpstr>
      <vt:lpstr>TC_PurchaseDate6</vt:lpstr>
      <vt:lpstr>TC_PurchaseDate7</vt:lpstr>
      <vt:lpstr>TC_PurchaseDate8</vt:lpstr>
      <vt:lpstr>TC_PurchaseDate9</vt:lpstr>
      <vt:lpstr>TC_QCTDDAPerc</vt:lpstr>
      <vt:lpstr>TC_RaiseRatioFederal</vt:lpstr>
      <vt:lpstr>TC_RaiseRatioState</vt:lpstr>
      <vt:lpstr>TC_RehabCosts</vt:lpstr>
      <vt:lpstr>TC_RentalRehab</vt:lpstr>
      <vt:lpstr>TC_RentalRehabDeduct</vt:lpstr>
      <vt:lpstr>TC_RentFloorElectlloc</vt:lpstr>
      <vt:lpstr>TC_RentFloorElectPIS</vt:lpstr>
      <vt:lpstr>TC_RuralHousing</vt:lpstr>
      <vt:lpstr>TC_RuralHousingDeduct</vt:lpstr>
      <vt:lpstr>TC_SubstantialRehab</vt:lpstr>
      <vt:lpstr>TC_TenYearRuleExempt</vt:lpstr>
      <vt:lpstr>TC_TotalUnits</vt:lpstr>
      <vt:lpstr>TC_TypeofInvestorsCorp</vt:lpstr>
      <vt:lpstr>TC_TypeofInvestorsFund</vt:lpstr>
      <vt:lpstr>TC_TypeofInvestorsIndv</vt:lpstr>
      <vt:lpstr>TC_TypeofOfferingPrivate</vt:lpstr>
      <vt:lpstr>TC_TypeofOfferingPublic</vt:lpstr>
      <vt:lpstr>TC_UDAG</vt:lpstr>
      <vt:lpstr>TC_UDAGDeduct</vt:lpstr>
      <vt:lpstr>TC_YearsPISPurchase1</vt:lpstr>
      <vt:lpstr>TC_YearsPISPurchase10</vt:lpstr>
      <vt:lpstr>TC_YearsPISPurchase11</vt:lpstr>
      <vt:lpstr>TC_YearsPISPurchase12</vt:lpstr>
      <vt:lpstr>TC_YearsPISPurchase13</vt:lpstr>
      <vt:lpstr>TC_YearsPISPurchase14</vt:lpstr>
      <vt:lpstr>TC_YearsPISPurchase15</vt:lpstr>
      <vt:lpstr>TC_YearsPISPurchase16</vt:lpstr>
      <vt:lpstr>TC_YearsPISPurchase17</vt:lpstr>
      <vt:lpstr>TC_YearsPISPurchase18</vt:lpstr>
      <vt:lpstr>TC_YearsPISPurchase19</vt:lpstr>
      <vt:lpstr>TC_YearsPISPurchase2</vt:lpstr>
      <vt:lpstr>TC_YearsPISPurchase20</vt:lpstr>
      <vt:lpstr>TC_YearsPISPurchase3</vt:lpstr>
      <vt:lpstr>TC_YearsPISPurchase4</vt:lpstr>
      <vt:lpstr>TC_YearsPISPurchase5</vt:lpstr>
      <vt:lpstr>TC_YearsPISPurchase6</vt:lpstr>
      <vt:lpstr>TC_YearsPISPurchase7</vt:lpstr>
      <vt:lpstr>TC_YearsPISPurchase8</vt:lpstr>
      <vt:lpstr>TC_YearsPISPurchase9</vt:lpstr>
      <vt:lpstr>TotalScore</vt:lpstr>
      <vt:lpstr>USE_AccessibilityConsultant</vt:lpstr>
      <vt:lpstr>USE_AccountingandAuditingFee</vt:lpstr>
      <vt:lpstr>USE_AcqBAccessibilityConsultant</vt:lpstr>
      <vt:lpstr>USE_AcqBAccountingandAuditingFee</vt:lpstr>
      <vt:lpstr>USE_AcqBAppraisal</vt:lpstr>
      <vt:lpstr>USE_AcqBArchitectReimbursableDesign</vt:lpstr>
      <vt:lpstr>USE_AcqBArchitectsDesignFee</vt:lpstr>
      <vt:lpstr>USE_AcqBArchitectsSupervisionFee</vt:lpstr>
      <vt:lpstr>USE_AcqBBridgeLoanFees</vt:lpstr>
      <vt:lpstr>USE_AcqBBridgeLoanInterest</vt:lpstr>
      <vt:lpstr>USE_AcqBBuildingAcquisition</vt:lpstr>
      <vt:lpstr>USE_AcqBBuildingPermitsandFees</vt:lpstr>
      <vt:lpstr>USE_AcqBCarryingCharges</vt:lpstr>
      <vt:lpstr>USE_AcqBCDAClosingFee</vt:lpstr>
      <vt:lpstr>USE_AcqBCDAFHARiskSharingMHFAdmin</vt:lpstr>
      <vt:lpstr>USE_AcqBCDAFHARiskSharingMHFApp</vt:lpstr>
      <vt:lpstr>USE_AcqBCDAIssuerFeeXXmonthsFTEL</vt:lpstr>
      <vt:lpstr>USE_AcqBCDALoanCommitmentFeesHOMEARP</vt:lpstr>
      <vt:lpstr>USE_AcqBCDALoanCommitmentFeesMCF</vt:lpstr>
      <vt:lpstr>USE_AcqBCDALoanCommitmentFeesPRHP</vt:lpstr>
      <vt:lpstr>USE_AcqBCDALoanCommitmentFeesRHP</vt:lpstr>
      <vt:lpstr>USE_AcqBCDALoanCommitmentFeesRHW</vt:lpstr>
      <vt:lpstr>USE_AcqBCDALoanServicingFee</vt:lpstr>
      <vt:lpstr>USE_AcqBCDASubsidyLayeringFee</vt:lpstr>
      <vt:lpstr>USE_AcqBCivilEngineeringFee</vt:lpstr>
      <vt:lpstr>USE_AcqBConstructionInterest</vt:lpstr>
      <vt:lpstr>USE_AcqBConstructionLoanPeriodMIP</vt:lpstr>
      <vt:lpstr>USE_AcqBCostofIssuanceCDAExpenses</vt:lpstr>
      <vt:lpstr>USE_AcqBCostofIssuanceUnderwritersFees</vt:lpstr>
      <vt:lpstr>USE_AcqBDeveloperFeeFundedReserve</vt:lpstr>
      <vt:lpstr>USE_AcqBEnvironmentalConsultant</vt:lpstr>
      <vt:lpstr>USE_AcqBEnvironmentalReport</vt:lpstr>
      <vt:lpstr>USE_AcqBFeeonAcquisitionCosts</vt:lpstr>
      <vt:lpstr>USE_AcqBFFE</vt:lpstr>
      <vt:lpstr>USE_AcqBFHACommitmentFee</vt:lpstr>
      <vt:lpstr>USE_AcqBFHAInspectionFee</vt:lpstr>
      <vt:lpstr>USE_AcqBFHALenderDueDiligence</vt:lpstr>
      <vt:lpstr>USE_AcqBFHALenderFee</vt:lpstr>
      <vt:lpstr>USE_AcqBFHALenderLegal</vt:lpstr>
      <vt:lpstr>USE_AcqBFHAProcessingFee</vt:lpstr>
      <vt:lpstr>USE_AcqBFinancingsoftcostContingency</vt:lpstr>
      <vt:lpstr>USE_AcqBFirstYearsPermanentMIP</vt:lpstr>
      <vt:lpstr>USE_AcqBGreenConsultant</vt:lpstr>
      <vt:lpstr>USE_AcqBInsurancePremium</vt:lpstr>
      <vt:lpstr>USE_AcqBLegalsyndicationonly</vt:lpstr>
      <vt:lpstr>USE_AcqBMarketing</vt:lpstr>
      <vt:lpstr>USE_AcqBMarketStudy</vt:lpstr>
      <vt:lpstr>USE_AcqBMortgageInsurancePremium</vt:lpstr>
      <vt:lpstr>USE_AcqBNegativeArbitrage</vt:lpstr>
      <vt:lpstr>USE_AcqBOffSiteImprovements</vt:lpstr>
      <vt:lpstr>USE_AcqBOffsiteInfrastructure</vt:lpstr>
      <vt:lpstr>USE_AcqBOrganizationalCosts</vt:lpstr>
      <vt:lpstr>USE_AcqBOther10</vt:lpstr>
      <vt:lpstr>USE_AcqBOther11</vt:lpstr>
      <vt:lpstr>USE_AcqBOther12</vt:lpstr>
      <vt:lpstr>USE_AcqBOther13</vt:lpstr>
      <vt:lpstr>USE_AcqBOther16</vt:lpstr>
      <vt:lpstr>USE_AcqBOther17</vt:lpstr>
      <vt:lpstr>USE_AcqBOther18</vt:lpstr>
      <vt:lpstr>USE_AcqBOther19</vt:lpstr>
      <vt:lpstr>USE_AcqBOther26</vt:lpstr>
      <vt:lpstr>USE_AcqBOther27</vt:lpstr>
      <vt:lpstr>USE_AcqBOther28</vt:lpstr>
      <vt:lpstr>USE_AcqBOther29</vt:lpstr>
      <vt:lpstr>USE_AcqBOther3</vt:lpstr>
      <vt:lpstr>USE_AcqBOther30</vt:lpstr>
      <vt:lpstr>USE_AcqBOther7</vt:lpstr>
      <vt:lpstr>USE_AcqBOther8</vt:lpstr>
      <vt:lpstr>USE_AcqBOther9</vt:lpstr>
      <vt:lpstr>USE_AcqBOtherLendersLegalNonsynd</vt:lpstr>
      <vt:lpstr>USE_AcqBOtherLendersOriginationNonsynd</vt:lpstr>
      <vt:lpstr>USE_AcqBRealEstateAttorney</vt:lpstr>
      <vt:lpstr>USE_AcqBRealEstateTaxes</vt:lpstr>
      <vt:lpstr>USE_AcqBRelocationCosts</vt:lpstr>
      <vt:lpstr>USE_AcqBSoilBorings</vt:lpstr>
      <vt:lpstr>USE_AcqBSolarInstallation</vt:lpstr>
      <vt:lpstr>USE_AcqBSpecialAssessment</vt:lpstr>
      <vt:lpstr>USE_AcqBSurveys</vt:lpstr>
      <vt:lpstr>USE_AcqBSyndicationFee</vt:lpstr>
      <vt:lpstr>USE_AcqBTapFees</vt:lpstr>
      <vt:lpstr>USE_AcqBTaxCreditAllocationFee</vt:lpstr>
      <vt:lpstr>USE_AcqBTaxCreditApplicationFee</vt:lpstr>
      <vt:lpstr>USE_AcqBTaxCreditReservationFee</vt:lpstr>
      <vt:lpstr>USE_AcqBTitleandRecording</vt:lpstr>
      <vt:lpstr>USE_Appraisal</vt:lpstr>
      <vt:lpstr>USE_ArchitectReimbursableDesign</vt:lpstr>
      <vt:lpstr>USE_ArchitectsDesignFee</vt:lpstr>
      <vt:lpstr>USE_ArchitectsSupervisionFee</vt:lpstr>
      <vt:lpstr>USE_BondPremium</vt:lpstr>
      <vt:lpstr>USE_BridgeLoanFees</vt:lpstr>
      <vt:lpstr>USE_BridgeLoanInterest</vt:lpstr>
      <vt:lpstr>USE_BuildersGeneralOverhead</vt:lpstr>
      <vt:lpstr>USE_BuildersProfit</vt:lpstr>
      <vt:lpstr>USE_BuildingAcquisition</vt:lpstr>
      <vt:lpstr>USE_BuildingPermitsandFees</vt:lpstr>
      <vt:lpstr>USE_CarryingCharges</vt:lpstr>
      <vt:lpstr>USE_CDAClosingFee</vt:lpstr>
      <vt:lpstr>USE_CDAFHARiskSharingMHFAdmin</vt:lpstr>
      <vt:lpstr>USE_CDAFHARiskSharingMHFAppFee</vt:lpstr>
      <vt:lpstr>USE_CDAIssuerFeemonths</vt:lpstr>
      <vt:lpstr>USE_CDAIssuerFeeXXmonthsFTEL</vt:lpstr>
      <vt:lpstr>USE_CDALoanCommitmentFeesHOMEARP</vt:lpstr>
      <vt:lpstr>USE_CDALoanCommitmentFeesMCF</vt:lpstr>
      <vt:lpstr>USE_CDALoanCommitmentFeesPRHP</vt:lpstr>
      <vt:lpstr>USE_CDALoanCommitmentFeesRHP</vt:lpstr>
      <vt:lpstr>USE_CDALoanCommitmentFeesRHW</vt:lpstr>
      <vt:lpstr>USE_CDALoanServicingFee</vt:lpstr>
      <vt:lpstr>USE_CDASubsidyLayeringFee</vt:lpstr>
      <vt:lpstr>USE_CivilEngineeringFee</vt:lpstr>
      <vt:lpstr>USE_ConstBAccessibilityConsultant</vt:lpstr>
      <vt:lpstr>USE_ConstBAccountingandAuditingFee</vt:lpstr>
      <vt:lpstr>USE_ConstBAppraisal</vt:lpstr>
      <vt:lpstr>USE_ConstBArchitectReimbursableDesign</vt:lpstr>
      <vt:lpstr>USE_ConstBArchitectsDesignFee</vt:lpstr>
      <vt:lpstr>USE_ConstBArchitectsSupervisionFee</vt:lpstr>
      <vt:lpstr>USE_ConstBBondPremium</vt:lpstr>
      <vt:lpstr>USE_ConstBBridgeLoanFees</vt:lpstr>
      <vt:lpstr>USE_ConstBBridgeLoanInterest</vt:lpstr>
      <vt:lpstr>USE_ConstBBuildersGeneralOverhead</vt:lpstr>
      <vt:lpstr>USE_ConstBBuildersProfit</vt:lpstr>
      <vt:lpstr>USE_ConstBBuildingPermitsandFees</vt:lpstr>
      <vt:lpstr>USE_ConstBCDAClosingFee</vt:lpstr>
      <vt:lpstr>USE_ConstBCDAFHARiskSharingMHFAdmin</vt:lpstr>
      <vt:lpstr>USE_ConstBCDAFHARiskSharingMHFApp</vt:lpstr>
      <vt:lpstr>USE_ConstBCDAIssuerFeeXXmonthsFTEL</vt:lpstr>
      <vt:lpstr>USE_ConstBCDALoanCommitmentFeesHOMEARP</vt:lpstr>
      <vt:lpstr>USE_ConstBCDALoanCommitmentFeesMCF</vt:lpstr>
      <vt:lpstr>USE_ConstBCDALoanCommitmentFeesPRHP</vt:lpstr>
      <vt:lpstr>USE_ConstBCDALoanCommitmentFeesRHP</vt:lpstr>
      <vt:lpstr>USE_ConstBCDALoanCommitmentFeesRHW</vt:lpstr>
      <vt:lpstr>USE_ConstBCDALoanServicingFee</vt:lpstr>
      <vt:lpstr>USE_ConstBCDASubsidyLayeringFee</vt:lpstr>
      <vt:lpstr>USE_ConstBCivilEngineeringFee</vt:lpstr>
      <vt:lpstr>USE_ConstBConstructionContingency</vt:lpstr>
      <vt:lpstr>USE_ConstBConstructionInterest</vt:lpstr>
      <vt:lpstr>USE_ConstBConstructionLoanPeriodMIP</vt:lpstr>
      <vt:lpstr>USE_ConstBCostofIssuanceCDAExpenses</vt:lpstr>
      <vt:lpstr>USE_ConstBCostofIssuanceUnderwritersFees</vt:lpstr>
      <vt:lpstr>USE_ConstBDeveloperFeeFundedReserve</vt:lpstr>
      <vt:lpstr>USE_ConstBEnvironmentalConsultant</vt:lpstr>
      <vt:lpstr>USE_ConstBEnvironmentalReport</vt:lpstr>
      <vt:lpstr>USE_ConstBFeeonNonAcquisitionCosts</vt:lpstr>
      <vt:lpstr>USE_ConstBFFE</vt:lpstr>
      <vt:lpstr>USE_ConstBFHACommitmentFee</vt:lpstr>
      <vt:lpstr>USE_ConstBFHAInspectionFee</vt:lpstr>
      <vt:lpstr>USE_ConstBFHALenderDueDiligence</vt:lpstr>
      <vt:lpstr>USE_ConstBFHALenderFee</vt:lpstr>
      <vt:lpstr>USE_ConstBFHALenderLegal</vt:lpstr>
      <vt:lpstr>USE_ConstBFHAProcessingFee</vt:lpstr>
      <vt:lpstr>USE_ConstBFinancingsoftcostContingency</vt:lpstr>
      <vt:lpstr>USE_ConstBFirstYearsPermanentMIP</vt:lpstr>
      <vt:lpstr>USE_ConstBGeneralRequirements</vt:lpstr>
      <vt:lpstr>USE_ConstBGreenConsultant</vt:lpstr>
      <vt:lpstr>USE_ConstBInsurancePremium</vt:lpstr>
      <vt:lpstr>USE_ConstBLegalsyndicationonly</vt:lpstr>
      <vt:lpstr>USE_ConstBMarketing</vt:lpstr>
      <vt:lpstr>USE_ConstBMarketStudy</vt:lpstr>
      <vt:lpstr>USE_ConstBMortgageInsurancePremium</vt:lpstr>
      <vt:lpstr>USE_ConstBNegativeArbitrage</vt:lpstr>
      <vt:lpstr>USE_ConstBNetConstructionCosts</vt:lpstr>
      <vt:lpstr>USE_ConstBOffsiteInfrastructure</vt:lpstr>
      <vt:lpstr>USE_ConstBOrganizationalCosts</vt:lpstr>
      <vt:lpstr>USE_ConstBOther1</vt:lpstr>
      <vt:lpstr>USE_ConstBOther10</vt:lpstr>
      <vt:lpstr>USE_ConstBOther11</vt:lpstr>
      <vt:lpstr>USE_ConstBOther12</vt:lpstr>
      <vt:lpstr>USE_ConstBOther13</vt:lpstr>
      <vt:lpstr>USE_ConstBOther18</vt:lpstr>
      <vt:lpstr>USE_ConstBOther19</vt:lpstr>
      <vt:lpstr>USE_ConstBOther2</vt:lpstr>
      <vt:lpstr>USE_ConstBOther21</vt:lpstr>
      <vt:lpstr>USE_ConstBOther22</vt:lpstr>
      <vt:lpstr>USE_ConstBOther23</vt:lpstr>
      <vt:lpstr>USE_ConstBOther24</vt:lpstr>
      <vt:lpstr>USE_ConstBOther25</vt:lpstr>
      <vt:lpstr>USE_ConstBOther26</vt:lpstr>
      <vt:lpstr>USE_ConstBOther27</vt:lpstr>
      <vt:lpstr>USE_ConstBOther28</vt:lpstr>
      <vt:lpstr>USE_ConstBOther29</vt:lpstr>
      <vt:lpstr>USE_ConstBOther3</vt:lpstr>
      <vt:lpstr>USE_ConstBOther30</vt:lpstr>
      <vt:lpstr>USE_ConstBOther7</vt:lpstr>
      <vt:lpstr>USE_ConstBOther8</vt:lpstr>
      <vt:lpstr>USE_ConstBOther9</vt:lpstr>
      <vt:lpstr>USE_ConstBOtherLendersLegalNonsynd</vt:lpstr>
      <vt:lpstr>USE_ConstBOtherLendersOriginationNonsynd</vt:lpstr>
      <vt:lpstr>USE_ConstBRealEstateAttorney</vt:lpstr>
      <vt:lpstr>USE_ConstBRealEstateTaxes</vt:lpstr>
      <vt:lpstr>USE_ConstBSoilBorings</vt:lpstr>
      <vt:lpstr>USE_ConstBSolarInstallation</vt:lpstr>
      <vt:lpstr>USE_ConstBSurveys</vt:lpstr>
      <vt:lpstr>USE_ConstBSyndicationFee</vt:lpstr>
      <vt:lpstr>USE_ConstBTapFees</vt:lpstr>
      <vt:lpstr>USE_ConstBTaxCreditAllocationFee</vt:lpstr>
      <vt:lpstr>USE_ConstBTaxCreditApplicationFee</vt:lpstr>
      <vt:lpstr>USE_ConstBTaxCreditReservationFee</vt:lpstr>
      <vt:lpstr>USE_ConstBTitleandRecording</vt:lpstr>
      <vt:lpstr>USE_ConstructionContingency</vt:lpstr>
      <vt:lpstr>USE_ConstructionGuarantee</vt:lpstr>
      <vt:lpstr>USE_ConstructionInterest</vt:lpstr>
      <vt:lpstr>USE_ConstructionLoanPeriodMIP</vt:lpstr>
      <vt:lpstr>USE_ConstructionLoanPeriodMIPMonths</vt:lpstr>
      <vt:lpstr>USE_CostofIssuanceCDAExpenses</vt:lpstr>
      <vt:lpstr>USE_CostofIssuanceUnderwritersFees</vt:lpstr>
      <vt:lpstr>USE_DebtServiceReserve</vt:lpstr>
      <vt:lpstr>USE_DeveloperFeeFunded</vt:lpstr>
      <vt:lpstr>USE_EnvironmentalConsultant</vt:lpstr>
      <vt:lpstr>USE_EnvironmentalReport</vt:lpstr>
      <vt:lpstr>USE_FeeonAcquisitionCosts</vt:lpstr>
      <vt:lpstr>USE_FeeonNonAcquisitionCosts</vt:lpstr>
      <vt:lpstr>USE_FeePercCosts10MillionorlessAcq</vt:lpstr>
      <vt:lpstr>USE_FeePercCosts10MillionorlessNonAcq</vt:lpstr>
      <vt:lpstr>USE_FeePercCostsover10MillionAcq</vt:lpstr>
      <vt:lpstr>USE_FeePercCostsover10MillionNonAcq</vt:lpstr>
      <vt:lpstr>USE_FFE</vt:lpstr>
      <vt:lpstr>USE_FHACommitmentFee</vt:lpstr>
      <vt:lpstr>USE_FHAInspectionFee</vt:lpstr>
      <vt:lpstr>USE_FHALenderDueDiligence</vt:lpstr>
      <vt:lpstr>USE_FHALenderFee</vt:lpstr>
      <vt:lpstr>USE_FHALenderLegal</vt:lpstr>
      <vt:lpstr>USE_FHAProcessingFee</vt:lpstr>
      <vt:lpstr>USE_FinancingsoftcostContingency</vt:lpstr>
      <vt:lpstr>USE_FirstYearsPermanentMIP</vt:lpstr>
      <vt:lpstr>USE_GeneralRequirements</vt:lpstr>
      <vt:lpstr>USE_GreenConsultant</vt:lpstr>
      <vt:lpstr>USE_InsurancePremium</vt:lpstr>
      <vt:lpstr>USE_LandAcquisition</vt:lpstr>
      <vt:lpstr>USE_Legalsyndicationonly</vt:lpstr>
      <vt:lpstr>USE_Marketing</vt:lpstr>
      <vt:lpstr>USE_MarketStudy</vt:lpstr>
      <vt:lpstr>USE_MortgageInsurancePremium</vt:lpstr>
      <vt:lpstr>USE_NegativeArbitrage</vt:lpstr>
      <vt:lpstr>USE_NetConstructionCosts</vt:lpstr>
      <vt:lpstr>USE_OffSiteImprovements</vt:lpstr>
      <vt:lpstr>USE_OffsiteInfrastructure</vt:lpstr>
      <vt:lpstr>USE_OperatingReserve</vt:lpstr>
      <vt:lpstr>USE_OrganizationalCosts</vt:lpstr>
      <vt:lpstr>USE_Other1</vt:lpstr>
      <vt:lpstr>USE_Other10</vt:lpstr>
      <vt:lpstr>USE_Other10Describe</vt:lpstr>
      <vt:lpstr>USE_Other11</vt:lpstr>
      <vt:lpstr>USE_Other11Describe</vt:lpstr>
      <vt:lpstr>USE_Other12</vt:lpstr>
      <vt:lpstr>USE_Other12Describe</vt:lpstr>
      <vt:lpstr>USE_Other13</vt:lpstr>
      <vt:lpstr>USE_Other13Describe</vt:lpstr>
      <vt:lpstr>USE_Other16</vt:lpstr>
      <vt:lpstr>USE_Other16Describe</vt:lpstr>
      <vt:lpstr>USE_Other17</vt:lpstr>
      <vt:lpstr>USE_Other17Describe</vt:lpstr>
      <vt:lpstr>USE_Other18</vt:lpstr>
      <vt:lpstr>USE_Other18Describe</vt:lpstr>
      <vt:lpstr>USE_Other19</vt:lpstr>
      <vt:lpstr>USE_Other19Describe</vt:lpstr>
      <vt:lpstr>USE_Other1Describe</vt:lpstr>
      <vt:lpstr>USE_Other2</vt:lpstr>
      <vt:lpstr>USE_Other20</vt:lpstr>
      <vt:lpstr>USE_Other20Describe</vt:lpstr>
      <vt:lpstr>USE_Other21</vt:lpstr>
      <vt:lpstr>USE_Other21Describe</vt:lpstr>
      <vt:lpstr>USE_Other22</vt:lpstr>
      <vt:lpstr>USE_Other22Describe</vt:lpstr>
      <vt:lpstr>USE_Other23</vt:lpstr>
      <vt:lpstr>USE_Other23Describe</vt:lpstr>
      <vt:lpstr>USE_Other24</vt:lpstr>
      <vt:lpstr>USE_Other24Describe</vt:lpstr>
      <vt:lpstr>USE_Other25</vt:lpstr>
      <vt:lpstr>USE_Other25Describe</vt:lpstr>
      <vt:lpstr>USE_Other26</vt:lpstr>
      <vt:lpstr>USE_Other26Describe</vt:lpstr>
      <vt:lpstr>USE_Other27</vt:lpstr>
      <vt:lpstr>USE_Other27Describe</vt:lpstr>
      <vt:lpstr>USE_Other28</vt:lpstr>
      <vt:lpstr>USE_Other28Describe</vt:lpstr>
      <vt:lpstr>USE_Other29</vt:lpstr>
      <vt:lpstr>USE_Other29Describe</vt:lpstr>
      <vt:lpstr>USE_Other2Describe</vt:lpstr>
      <vt:lpstr>USE_Other3</vt:lpstr>
      <vt:lpstr>USE_Other30</vt:lpstr>
      <vt:lpstr>USE_Other30Describe</vt:lpstr>
      <vt:lpstr>USE_Other3Describe</vt:lpstr>
      <vt:lpstr>USE_Other7</vt:lpstr>
      <vt:lpstr>USE_Other7Describe</vt:lpstr>
      <vt:lpstr>USE_Other8</vt:lpstr>
      <vt:lpstr>USE_Other8Describe</vt:lpstr>
      <vt:lpstr>USE_Other9</vt:lpstr>
      <vt:lpstr>USE_Other9Describe</vt:lpstr>
      <vt:lpstr>USE_OtherLendersLegalNonsynd</vt:lpstr>
      <vt:lpstr>USE_OtherLendersOriginationNonsynd</vt:lpstr>
      <vt:lpstr>USE_OtherReserve</vt:lpstr>
      <vt:lpstr>USE_OtherReserveDescribe</vt:lpstr>
      <vt:lpstr>USE_RealEstateAttorney</vt:lpstr>
      <vt:lpstr>USE_RealEstateTaxes</vt:lpstr>
      <vt:lpstr>USE_RelocationCosts</vt:lpstr>
      <vt:lpstr>USE_RentupReserve</vt:lpstr>
      <vt:lpstr>USE_SoilBorings</vt:lpstr>
      <vt:lpstr>USE_SolarInstallation</vt:lpstr>
      <vt:lpstr>USE_SpecialAssessment</vt:lpstr>
      <vt:lpstr>USE_SupportiveServicesReserve</vt:lpstr>
      <vt:lpstr>USE_Surveys</vt:lpstr>
      <vt:lpstr>USE_SyndicationFee</vt:lpstr>
      <vt:lpstr>USE_TapFees</vt:lpstr>
      <vt:lpstr>USE_TaxCreditAllocationFee</vt:lpstr>
      <vt:lpstr>USE_TaxCreditApplicationFee</vt:lpstr>
      <vt:lpstr>USE_TaxCreditReservationFee</vt:lpstr>
      <vt:lpstr>USE_TitleandRecording</vt:lpstr>
      <vt:lpstr>USE_TransitionReserve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202 Instructions</dc:title>
  <dc:subject/>
  <dc:creator>DHCD User</dc:creator>
  <cp:keywords/>
  <dc:description/>
  <cp:lastModifiedBy>Steele, Angela</cp:lastModifiedBy>
  <cp:revision/>
  <cp:lastPrinted>2026-05-19T20:17:45Z</cp:lastPrinted>
  <dcterms:created xsi:type="dcterms:W3CDTF">1999-06-15T22:04:33Z</dcterms:created>
  <dcterms:modified xsi:type="dcterms:W3CDTF">2026-06-15T19:44:23Z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0x01010012D2809D534E2E4791F34A639EDE4B8D</vt:lpwstr>
  </property>
  <property fmtid="{D5CDD505-2E9C-101B-9397-08002B2CF9AE}" pid="4" name="Order">
    <vt:r8>17800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SchemaType">
    <vt:lpwstr>Development</vt:lpwstr>
  </property>
  <property fmtid="{D5CDD505-2E9C-101B-9397-08002B2CF9AE}" pid="9" name="MediaServiceImageTags">
    <vt:lpwstr/>
  </property>
  <property fmtid="{D5CDD505-2E9C-101B-9397-08002B2CF9AE}" pid="10" name="SD_RESERVED_IsProtected">
    <vt:lpwstr>True</vt:lpwstr>
  </property>
  <property fmtid="{D5CDD505-2E9C-101B-9397-08002B2CF9AE}" pid="11" name="SmartDoxTemplateName">
    <vt:lpwstr/>
  </property>
  <property fmtid="{D5CDD505-2E9C-101B-9397-08002B2CF9AE}" pid="12" name="AfterGetVBAMethod">
    <vt:lpwstr/>
  </property>
  <property fmtid="{D5CDD505-2E9C-101B-9397-08002B2CF9AE}" pid="13" name="BeforeGetVBAMethod">
    <vt:lpwstr/>
  </property>
  <property fmtid="{D5CDD505-2E9C-101B-9397-08002B2CF9AE}" pid="14" name="AfterSendVBAMethod">
    <vt:lpwstr/>
  </property>
  <property fmtid="{D5CDD505-2E9C-101B-9397-08002B2CF9AE}" pid="15" name="SD_RESERVED_Protection0«XZDLTsMwEEV/xfKCHUoJEhuSSsaZpEaxPXjsprCraJFAbahIAfH3JCp1IjbWnDu+88qQGOYcrmc/X0/JW3q1STeLhW539/vDd55zphqEnB8/PrdDTCMIkfMbzhqks9Jgk/OX9a7b8nnWkMfhnWuBqEyVJX08cDpLmWq73vJ8fH1vu5iowIATdeS7oOpi6qSgtXCPkQtYMg9CR6FUhkmBo8EGJ4EiB5qADM6xwXG">
    <vt:lpwstr>SD_RESERVED_Protection1«x3h9umZAPQZHyypr4xYsVkw4K5aOkjLQaIsIKwUyrorOstE6Lfw7mhavAT9ep+/FPvaUlz6AsQXq17K9AYz2Curwkad1fz+R01wRp/gs=§</vt:lpwstr>
  </property>
</Properties>
</file>